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omments16.xml" ContentType="application/vnd.openxmlformats-officedocument.spreadsheetml.comments+xml"/>
  <Override PartName="/xl/drawings/drawing7.xml" ContentType="application/vnd.openxmlformats-officedocument.drawing+xml"/>
  <Override PartName="/xl/charts/chart6.xml" ContentType="application/vnd.openxmlformats-officedocument.drawingml.chart+xml"/>
  <Override PartName="/xl/comments17.xml" ContentType="application/vnd.openxmlformats-officedocument.spreadsheetml.comments+xml"/>
  <Override PartName="/xl/drawings/drawing8.xml" ContentType="application/vnd.openxmlformats-officedocument.drawing+xml"/>
  <Override PartName="/xl/charts/chart7.xml" ContentType="application/vnd.openxmlformats-officedocument.drawingml.chart+xml"/>
  <Override PartName="/xl/comments18.xml" ContentType="application/vnd.openxmlformats-officedocument.spreadsheetml.comments+xml"/>
  <Override PartName="/xl/drawings/drawing9.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drawings/drawing10.xml" ContentType="application/vnd.openxmlformats-officedocument.drawing+xml"/>
  <Override PartName="/xl/charts/chart8.xml" ContentType="application/vnd.openxmlformats-officedocument.drawingml.chart+xml"/>
  <Override PartName="/xl/comments26.xml" ContentType="application/vnd.openxmlformats-officedocument.spreadsheetml.comments+xml"/>
  <Override PartName="/xl/comments27.xml" ContentType="application/vnd.openxmlformats-officedocument.spreadsheetml.comments+xml"/>
  <Override PartName="/xl/drawings/drawing11.xml" ContentType="application/vnd.openxmlformats-officedocument.drawing+xml"/>
  <Override PartName="/xl/comments28.xml" ContentType="application/vnd.openxmlformats-officedocument.spreadsheetml.comments+xml"/>
  <Override PartName="/xl/charts/chart9.xml" ContentType="application/vnd.openxmlformats-officedocument.drawingml.chart+xml"/>
  <Override PartName="/xl/comments29.xml" ContentType="application/vnd.openxmlformats-officedocument.spreadsheetml.comments+xml"/>
  <Override PartName="/xl/comments3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PC\Dropbox\PEF Plan Financiero\"/>
    </mc:Choice>
  </mc:AlternateContent>
  <xr:revisionPtr revIDLastSave="0" documentId="13_ncr:1_{02461823-ACA9-4CE6-B933-56A3D00B1A94}" xr6:coauthVersionLast="47" xr6:coauthVersionMax="47" xr10:uidLastSave="{00000000-0000-0000-0000-000000000000}"/>
  <bookViews>
    <workbookView xWindow="-120" yWindow="-120" windowWidth="29040" windowHeight="15840" activeTab="2" xr2:uid="{D29760E4-4FB5-40CA-94F3-2ED577CC9644}"/>
  </bookViews>
  <sheets>
    <sheet name="Índice" sheetId="14662" r:id="rId1"/>
    <sheet name="Condições de Uso" sheetId="14658" r:id="rId2"/>
    <sheet name="Dados Básicos" sheetId="4129" r:id="rId3"/>
    <sheet name="Parametros" sheetId="14665" r:id="rId4"/>
    <sheet name="Bal. Inicial Previo" sheetId="14705" state="hidden" r:id="rId5"/>
    <sheet name="Inv. Iniciais ANC" sheetId="14685" r:id="rId6"/>
    <sheet name="Inv. Adicionais ANC" sheetId="14689" state="hidden" r:id="rId7"/>
    <sheet name="Despesas Iniciais" sheetId="14693" r:id="rId8"/>
    <sheet name="Investimentos AC" sheetId="14622" r:id="rId9"/>
    <sheet name="Finançamento" sheetId="14690" r:id="rId10"/>
    <sheet name="Finançamento Inicial" sheetId="11" state="hidden" r:id="rId11"/>
    <sheet name="Empréstimos" sheetId="14692" state="hidden" r:id="rId12"/>
    <sheet name="Leasing" sheetId="14694" state="hidden" r:id="rId13"/>
    <sheet name="Renting" sheetId="14695" state="hidden" r:id="rId14"/>
    <sheet name="Quadro Pessoal" sheetId="14687" state="hidden" r:id="rId15"/>
    <sheet name="RR.HH." sheetId="14686" r:id="rId16"/>
    <sheet name="Despesas de Marketing" sheetId="14708" r:id="rId17"/>
    <sheet name="Despesas Fixas Dados" sheetId="14655" r:id="rId18"/>
    <sheet name="Preços-CV" sheetId="14652" r:id="rId19"/>
    <sheet name="Pol. Cobranças e Pagamentos" sheetId="14647" state="hidden" r:id="rId20"/>
    <sheet name="Estimações Vendas" sheetId="14653" r:id="rId21"/>
    <sheet name="Prev.Vendas 0" sheetId="7" state="hidden" r:id="rId22"/>
    <sheet name="Prev.Vendas 1" sheetId="14630" state="hidden" r:id="rId23"/>
    <sheet name="Prev.Vendas 2" sheetId="14637" state="hidden" r:id="rId24"/>
    <sheet name="Prev.Vendas 3" sheetId="14668" state="hidden" r:id="rId25"/>
    <sheet name="Prev.Vendas 4" sheetId="14669" state="hidden" r:id="rId26"/>
    <sheet name="Produção" sheetId="14699" state="hidden" r:id="rId27"/>
    <sheet name="Distr CV 0" sheetId="14703" state="hidden" r:id="rId28"/>
    <sheet name="Distr CV 1" sheetId="14698" state="hidden" r:id="rId29"/>
    <sheet name="Distr CV 2" sheetId="14700" state="hidden" r:id="rId30"/>
    <sheet name="Distr CV 3" sheetId="14701" state="hidden" r:id="rId31"/>
    <sheet name="Distr CV 4" sheetId="14702" state="hidden" r:id="rId32"/>
    <sheet name="Distr CV 5" sheetId="14704" state="hidden" r:id="rId33"/>
    <sheet name="Resumo Vendas 5 anos" sheetId="14683" r:id="rId34"/>
    <sheet name="PyG 0" sheetId="8" state="hidden" r:id="rId35"/>
    <sheet name="PyG 1" sheetId="14631" state="hidden" r:id="rId36"/>
    <sheet name="PyG 2" sheetId="14640" state="hidden" r:id="rId37"/>
    <sheet name="PyG 3" sheetId="14670" state="hidden" r:id="rId38"/>
    <sheet name="PyG 4" sheetId="14671" state="hidden" r:id="rId39"/>
    <sheet name="Bal. Inicial Previo 00" sheetId="14626" state="hidden" r:id="rId40"/>
    <sheet name="Balanços anuais" sheetId="14667" r:id="rId41"/>
    <sheet name="Balancços anuais (2)" sheetId="14706" state="hidden" r:id="rId42"/>
    <sheet name="PPeGG anuais" sheetId="14617" r:id="rId43"/>
    <sheet name="IRC Coletivas" sheetId="14659" r:id="rId44"/>
    <sheet name="IRS Singulares" sheetId="14657" r:id="rId45"/>
    <sheet name="Receitas e pagamentos 0" sheetId="14623" state="hidden" r:id="rId46"/>
    <sheet name="Receitas e pagamentos 1" sheetId="14632" state="hidden" r:id="rId47"/>
    <sheet name="Receitas e pagamentos 2" sheetId="14638" state="hidden" r:id="rId48"/>
    <sheet name="Receitas e pagamentos 3" sheetId="14678" state="hidden" r:id="rId49"/>
    <sheet name="Receitas e pagamentos 4" sheetId="14679" state="hidden" r:id="rId50"/>
    <sheet name="Seguridade Sócial" sheetId="14710" state="hidden" r:id="rId51"/>
    <sheet name="Ret IRS" sheetId="14681" state="hidden" r:id="rId52"/>
    <sheet name="G.F. 0" sheetId="14624" state="hidden" r:id="rId53"/>
    <sheet name="G.F. 1" sheetId="14629" state="hidden" r:id="rId54"/>
    <sheet name="G.F. 2" sheetId="14636" state="hidden" r:id="rId55"/>
    <sheet name="G.F. 3" sheetId="14672" state="hidden" r:id="rId56"/>
    <sheet name="G.F. 4" sheetId="14673" state="hidden" r:id="rId57"/>
    <sheet name="IVA 0" sheetId="14628" state="hidden" r:id="rId58"/>
    <sheet name="IVA 1" sheetId="14634" state="hidden" r:id="rId59"/>
    <sheet name="IVA 2" sheetId="14639" state="hidden" r:id="rId60"/>
    <sheet name="IVA 3" sheetId="14674" state="hidden" r:id="rId61"/>
    <sheet name="IVA 4" sheetId="14675" state="hidden" r:id="rId62"/>
    <sheet name="Resumo Despesas Fixas" sheetId="14682" r:id="rId63"/>
    <sheet name="Amortiçações" sheetId="14661" r:id="rId64"/>
    <sheet name="Despesas Financeiras" sheetId="14648" r:id="rId65"/>
    <sheet name="Tesorería 0" sheetId="14625" state="hidden" r:id="rId66"/>
    <sheet name="Tesorería 1" sheetId="14633" state="hidden" r:id="rId67"/>
    <sheet name="Tesorería 2" sheetId="14641" state="hidden" r:id="rId68"/>
    <sheet name="Tesorería 3" sheetId="14676" state="hidden" r:id="rId69"/>
    <sheet name="Tesorería 4" sheetId="14677" state="hidden" r:id="rId70"/>
    <sheet name="Otros cobros y pagos" sheetId="14645" state="hidden" r:id="rId71"/>
    <sheet name="Resumo Tesourarias" sheetId="14684" r:id="rId72"/>
    <sheet name="P. Equilíbrio" sheetId="14643" r:id="rId73"/>
    <sheet name="Ratios Básicos" sheetId="4128" r:id="rId74"/>
    <sheet name="Viabilidad" sheetId="14711" r:id="rId75"/>
    <sheet name="Valoração da Empresa" sheetId="14696" r:id="rId76"/>
    <sheet name="Dados Evaluação" sheetId="14649" r:id="rId77"/>
    <sheet name="Quadros Plano de Negócio" sheetId="14707" state="hidden" r:id="rId78"/>
    <sheet name="Ficha Investidores" sheetId="14709" state="hidden" r:id="rId79"/>
  </sheets>
  <definedNames>
    <definedName name="___INDEX_SHEET___ASAP_Utilities" localSheetId="7">[0]!_R1C1</definedName>
    <definedName name="___INDEX_SHEET___ASAP_Utilities" localSheetId="6">[0]!_R1C1</definedName>
    <definedName name="___INDEX_SHEET___ASAP_Utilities" localSheetId="14">[0]!_R1C1</definedName>
    <definedName name="aa">'Dados Básicos'!$O$19</definedName>
    <definedName name="anni">Parametros!$B$77:$F$77</definedName>
    <definedName name="annivert">Parametros!$B$77:$B$81</definedName>
    <definedName name="_xlnm.Print_Area" localSheetId="63">Amortiçações!$A$1:$H$41</definedName>
    <definedName name="_xlnm.Print_Area" localSheetId="41">'Balancços anuais (2)'!$1:$1048576</definedName>
    <definedName name="_xlnm.Print_Area" localSheetId="40">'Balanços anuais'!$1:$1048576</definedName>
    <definedName name="_xlnm.Print_Area" localSheetId="1">'Condições de Uso'!$A$1:$J$66</definedName>
    <definedName name="_xlnm.Print_Area" localSheetId="2">'Dados Básicos'!$A$1:$I$40</definedName>
    <definedName name="_xlnm.Print_Area" localSheetId="76">'Dados Evaluação'!$A$1:$F$69</definedName>
    <definedName name="_xlnm.Print_Area" localSheetId="7">'Despesas Iniciais'!$A$1:$F$29</definedName>
    <definedName name="_xlnm.Print_Area" localSheetId="11">Empréstimos!$A$1:$N$56</definedName>
    <definedName name="_xlnm.Print_Area" localSheetId="20">'Estimações Vendas'!$A$1:$N$66</definedName>
    <definedName name="_xlnm.Print_Area" localSheetId="78">'Ficha Investidores'!$A$1:$F$75</definedName>
    <definedName name="_xlnm.Print_Area" localSheetId="9">Finançamento!$A$1:$H$81</definedName>
    <definedName name="_xlnm.Print_Area" localSheetId="10">'Finançamento Inicial'!$A$1:$E$38</definedName>
    <definedName name="_xlnm.Print_Area" localSheetId="0">Índice!$A$1:$K$74</definedName>
    <definedName name="_xlnm.Print_Area" localSheetId="5">'Inv. Iniciais ANC'!$A$1:$J$63</definedName>
    <definedName name="_xlnm.Print_Area" localSheetId="8">'Investimentos AC'!$A$1:$F$48</definedName>
    <definedName name="_xlnm.Print_Area" localSheetId="44">'IRS Singulares'!$A$1:$O$40</definedName>
    <definedName name="_xlnm.Print_Area" localSheetId="12">Leasing!$A$1:$N$56</definedName>
    <definedName name="_xlnm.Print_Area" localSheetId="72">'P. Equilíbrio'!$B$1:$K$33</definedName>
    <definedName name="_xlnm.Print_Area" localSheetId="3">Parametros!$A$1:$H$48</definedName>
    <definedName name="_xlnm.Print_Area" localSheetId="19">'Pol. Cobranças e Pagamentos'!$A$1:$J$95</definedName>
    <definedName name="_xlnm.Print_Area" localSheetId="18">'Preços-CV'!$A$1:$K$64</definedName>
    <definedName name="_xlnm.Print_Area" localSheetId="14">'Quadro Pessoal'!$A$1:$O$99</definedName>
    <definedName name="_xlnm.Print_Area" localSheetId="73">'Ratios Básicos'!$A$1:$G$45</definedName>
    <definedName name="_xlnm.Print_Area" localSheetId="45">'Receitas e pagamentos 0'!$A$1:$S$57</definedName>
    <definedName name="_xlnm.Print_Area" localSheetId="46">'Receitas e pagamentos 1'!$1:$1048576</definedName>
    <definedName name="_xlnm.Print_Area" localSheetId="47">'Receitas e pagamentos 2'!$1:$1048576</definedName>
    <definedName name="_xlnm.Print_Area" localSheetId="48">'Receitas e pagamentos 3'!$1:$1048576</definedName>
    <definedName name="_xlnm.Print_Area" localSheetId="49">'Receitas e pagamentos 4'!$1:$1048576</definedName>
    <definedName name="_xlnm.Print_Area" localSheetId="13">Renting!$A$1:$N$52</definedName>
    <definedName name="_xlnm.Print_Area" localSheetId="71">'Resumo Tesourarias'!$A$1:$G$59</definedName>
    <definedName name="_xlnm.Print_Area" localSheetId="33">'Resumo Vendas 5 anos'!$A$1:$J$88</definedName>
    <definedName name="_xlnm.Print_Area" localSheetId="15">'RR.HH.'!$A$1:$F$50</definedName>
    <definedName name="_xlnm.Print_Area" localSheetId="75">'Valoração da Empresa'!$A$1:$H$34</definedName>
    <definedName name="catlaborales">'RR.HH.'!$A$19:$A$26</definedName>
    <definedName name="CNV_Inversiones" localSheetId="63">Amortiçações!$B$7:$B$15,Amortiçações!#REF!,Amortiçações!#REF!,Amortiçações!#REF!,Amortiçações!#REF!,Amortiçações!#REF!,Amortiçações!#REF!,Amortiçações!$C$8:$C$15,Amortiçações!#REF!,Amortiçações!#REF!</definedName>
    <definedName name="consolidacion">'Dados Básicos'!$F$13</definedName>
    <definedName name="euro">Parametros!$G$13</definedName>
    <definedName name="finTemporada">Parametros!$C$14</definedName>
    <definedName name="inflacion">Parametros!$C$11</definedName>
    <definedName name="inicioTemporada">Parametros!$B$14</definedName>
    <definedName name="inv_propia">Finançamento!$C$14:$H$17</definedName>
    <definedName name="irpf">'Dados Básicos'!$I$28</definedName>
    <definedName name="isoc">'Dados Básicos'!$C$36</definedName>
    <definedName name="ITP">'Dados Básicos'!$C$82</definedName>
    <definedName name="IVAcc">'Dados Básicos'!$D$32</definedName>
    <definedName name="IVAdev">'Dados Básicos'!$D$31</definedName>
    <definedName name="IVAmensual">'Dados Básicos'!$D$30</definedName>
    <definedName name="mes0">'Dados Básicos'!$C$21</definedName>
    <definedName name="meses">Parametros!$B$75:$M$75</definedName>
    <definedName name="mesesrampainicial">'Estimações Vendas'!$Q$3</definedName>
    <definedName name="Moneda">Parametros!$G$11</definedName>
    <definedName name="morisidad">Parametros!$I$6</definedName>
    <definedName name="periodicidad">Parametros!$B$92:$C$98</definedName>
    <definedName name="productos">'Preços-CV'!$A$19:$A$26</definedName>
    <definedName name="recmorosos">Parametros!$I$8</definedName>
    <definedName name="resprevio">'Finançamento Inicial'!$D$9:$D$12</definedName>
    <definedName name="ret_irpf">'Dados Básicos'!$J$30</definedName>
    <definedName name="tesoreriasec">Parametros!$C$9</definedName>
    <definedName name="_xlnm.Print_Titles" localSheetId="64">'Despesas Financeiras'!$1:$3</definedName>
    <definedName name="_xlnm.Print_Titles" localSheetId="70">'Otros cobros y pagos'!$1:$3</definedName>
    <definedName name="_xlnm.Print_Titles" localSheetId="19">'Pol. Cobranças e Pagamentos'!$1:$2</definedName>
    <definedName name="_xlnm.Print_Titles" localSheetId="14">'Quadro Pessoal'!$1:$2</definedName>
    <definedName name="version">'Dados Básicos'!$A$2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4653" l="1"/>
  <c r="D6" i="14653"/>
  <c r="E6" i="14653"/>
  <c r="F6" i="14653"/>
  <c r="G6" i="14653"/>
  <c r="H6" i="14653"/>
  <c r="I6" i="14653"/>
  <c r="J6" i="14653"/>
  <c r="K6" i="14653"/>
  <c r="L6" i="14653"/>
  <c r="M6" i="14653"/>
  <c r="B40" i="4129"/>
  <c r="C40" i="4129" s="1"/>
  <c r="D40" i="4129" s="1"/>
  <c r="E40" i="4129" s="1"/>
  <c r="F40" i="4129" s="1"/>
  <c r="K59" i="14653"/>
  <c r="O33" i="14653"/>
  <c r="O34" i="14653" s="1"/>
  <c r="O35" i="14653" s="1"/>
  <c r="O36" i="14653" s="1"/>
  <c r="O37" i="14653" s="1"/>
  <c r="O38" i="14653" s="1"/>
  <c r="O39" i="14653" s="1"/>
  <c r="C7" i="14653"/>
  <c r="D7" i="14653"/>
  <c r="E7" i="14653"/>
  <c r="F7" i="14653"/>
  <c r="G7" i="14653"/>
  <c r="H7" i="14653"/>
  <c r="I7" i="14653"/>
  <c r="J7" i="14653"/>
  <c r="K7" i="14653"/>
  <c r="L7" i="14653"/>
  <c r="M7" i="14653"/>
  <c r="C8" i="14653"/>
  <c r="D8" i="14653"/>
  <c r="E8" i="14653"/>
  <c r="F8" i="14653"/>
  <c r="G8" i="14653"/>
  <c r="H8" i="14653"/>
  <c r="I8" i="14653"/>
  <c r="J8" i="14653"/>
  <c r="K8" i="14653"/>
  <c r="L8" i="14653"/>
  <c r="M8" i="14653"/>
  <c r="C9" i="14653"/>
  <c r="D9" i="14653"/>
  <c r="E9" i="14653"/>
  <c r="F9" i="14653"/>
  <c r="G9" i="14653"/>
  <c r="H9" i="14653"/>
  <c r="I9" i="14653"/>
  <c r="J9" i="14653"/>
  <c r="K9" i="14653"/>
  <c r="L9" i="14653"/>
  <c r="M9" i="14653"/>
  <c r="C10" i="14653"/>
  <c r="D10" i="14653"/>
  <c r="E10" i="14653"/>
  <c r="F10" i="14653"/>
  <c r="G10" i="14653"/>
  <c r="H10" i="14653"/>
  <c r="I10" i="14653"/>
  <c r="J10" i="14653"/>
  <c r="K10" i="14653"/>
  <c r="L10" i="14653"/>
  <c r="M10" i="14653"/>
  <c r="C11" i="14653"/>
  <c r="D11" i="14653"/>
  <c r="E11" i="14653"/>
  <c r="F11" i="14653"/>
  <c r="G11" i="14653"/>
  <c r="H11" i="14653"/>
  <c r="I11" i="14653"/>
  <c r="J11" i="14653"/>
  <c r="K11" i="14653"/>
  <c r="L11" i="14653"/>
  <c r="M11" i="14653"/>
  <c r="C12" i="14653"/>
  <c r="D12" i="14653"/>
  <c r="E12" i="14653"/>
  <c r="F12" i="14653"/>
  <c r="G12" i="14653"/>
  <c r="H12" i="14653"/>
  <c r="I12" i="14653"/>
  <c r="J12" i="14653"/>
  <c r="K12" i="14653"/>
  <c r="L12" i="14653"/>
  <c r="M12" i="14653"/>
  <c r="C13" i="14653"/>
  <c r="D13" i="14653"/>
  <c r="E13" i="14653"/>
  <c r="F13" i="14653"/>
  <c r="G13" i="14653"/>
  <c r="H13" i="14653"/>
  <c r="I13" i="14653"/>
  <c r="J13" i="14653"/>
  <c r="K13" i="14653"/>
  <c r="L13" i="14653"/>
  <c r="M13" i="14653"/>
  <c r="Q4" i="14653"/>
  <c r="O20" i="14657"/>
  <c r="N20" i="14657"/>
  <c r="M20" i="14657"/>
  <c r="L20" i="14657"/>
  <c r="K20" i="14657"/>
  <c r="C22" i="4129" l="1"/>
  <c r="A2" i="14711"/>
  <c r="I52" i="4129"/>
  <c r="C7" i="14710" s="1"/>
  <c r="B7" i="14710"/>
  <c r="D17" i="14710" s="1"/>
  <c r="I51" i="4129"/>
  <c r="J51" i="4129" s="1"/>
  <c r="K51" i="4129" s="1"/>
  <c r="L51" i="4129" s="1"/>
  <c r="I50" i="4129"/>
  <c r="J50" i="4129" s="1"/>
  <c r="K50" i="4129" s="1"/>
  <c r="L50" i="4129" s="1"/>
  <c r="H50" i="4129"/>
  <c r="J52" i="4129" l="1"/>
  <c r="K52" i="4129" s="1"/>
  <c r="L52" i="4129" s="1"/>
  <c r="F7" i="14710" s="1"/>
  <c r="B17" i="14710"/>
  <c r="C17" i="14710"/>
  <c r="N47" i="14710" l="1"/>
  <c r="N38" i="14710"/>
  <c r="N29" i="14710"/>
  <c r="N20" i="14710"/>
  <c r="N11" i="14710"/>
  <c r="A7" i="14681" l="1"/>
  <c r="A11" i="14681"/>
  <c r="A9" i="14681"/>
  <c r="F28" i="4129"/>
  <c r="A1" i="14681"/>
  <c r="A2" i="14657"/>
  <c r="J6" i="14657"/>
  <c r="N15" i="14657"/>
  <c r="K13" i="14657"/>
  <c r="K14" i="14657"/>
  <c r="K15" i="14657"/>
  <c r="C42" i="14634" l="1"/>
  <c r="C42" i="14639" s="1"/>
  <c r="C42" i="14674" s="1"/>
  <c r="C42" i="14675" s="1"/>
  <c r="A61" i="14665" l="1"/>
  <c r="A62" i="14665" s="1"/>
  <c r="A63" i="14665" s="1"/>
  <c r="A64" i="14665" s="1"/>
  <c r="A65" i="14665" s="1"/>
  <c r="A66" i="14665" s="1"/>
  <c r="A67" i="14665" s="1"/>
  <c r="A68" i="14665" s="1"/>
  <c r="A69" i="14665" s="1"/>
  <c r="A70" i="14665" s="1"/>
  <c r="A71" i="14665" s="1"/>
  <c r="A72" i="14665" s="1"/>
  <c r="I53" i="4129" l="1"/>
  <c r="D7" i="14710"/>
  <c r="J53" i="4129" l="1"/>
  <c r="K53" i="4129" l="1"/>
  <c r="E7" i="14710"/>
  <c r="R6" i="14657"/>
  <c r="B23" i="14655" l="1"/>
  <c r="C23" i="14655"/>
  <c r="C25" i="14655"/>
  <c r="B25" i="14655"/>
  <c r="H49" i="4129" l="1"/>
  <c r="I49" i="4129" l="1"/>
  <c r="J49" i="4129" l="1"/>
  <c r="K49" i="4129" s="1"/>
  <c r="L49" i="4129" s="1"/>
  <c r="O31" i="14653"/>
  <c r="O44" i="14653"/>
  <c r="O57" i="14653"/>
  <c r="F37" i="14708" l="1"/>
  <c r="F38" i="14708" s="1"/>
  <c r="H26" i="14708" l="1"/>
  <c r="J26" i="14708" s="1"/>
  <c r="L26" i="14708" s="1"/>
  <c r="N26" i="14708" s="1"/>
  <c r="H27" i="14708"/>
  <c r="A62" i="14709"/>
  <c r="C72" i="14709"/>
  <c r="A2" i="14709"/>
  <c r="F65" i="14709"/>
  <c r="D23" i="14708"/>
  <c r="I12" i="14708"/>
  <c r="K12" i="14708" s="1"/>
  <c r="M12" i="14708" s="1"/>
  <c r="F12" i="14708"/>
  <c r="H12" i="14708" s="1"/>
  <c r="I11" i="14708"/>
  <c r="K11" i="14708" s="1"/>
  <c r="M11" i="14708" s="1"/>
  <c r="F11" i="14708"/>
  <c r="H11" i="14708" s="1"/>
  <c r="N10" i="14708"/>
  <c r="M10" i="14708"/>
  <c r="L10" i="14708"/>
  <c r="K10" i="14708"/>
  <c r="J10" i="14708"/>
  <c r="I10" i="14708"/>
  <c r="H10" i="14708"/>
  <c r="G8" i="14708"/>
  <c r="I8" i="14708" s="1"/>
  <c r="K8" i="14708" s="1"/>
  <c r="M8" i="14708" s="1"/>
  <c r="G7" i="14708"/>
  <c r="I7" i="14708" s="1"/>
  <c r="K7" i="14708" s="1"/>
  <c r="M7" i="14708" s="1"/>
  <c r="N6" i="14708"/>
  <c r="M6" i="14708"/>
  <c r="L6" i="14708"/>
  <c r="K6" i="14708"/>
  <c r="J6" i="14708"/>
  <c r="I6" i="14708"/>
  <c r="H6" i="14708"/>
  <c r="G6" i="14708"/>
  <c r="A2" i="14708"/>
  <c r="B78" i="14648"/>
  <c r="B63" i="14648"/>
  <c r="B48" i="14648"/>
  <c r="B33" i="14648"/>
  <c r="B18" i="14648"/>
  <c r="A72" i="14648" a="1"/>
  <c r="A78" i="14648" s="1"/>
  <c r="A57" i="14648" a="1"/>
  <c r="A63" i="14648" s="1"/>
  <c r="A42" i="14648" a="1"/>
  <c r="A48" i="14648" s="1"/>
  <c r="A27" i="14648" a="1"/>
  <c r="A28" i="14648" s="1"/>
  <c r="K8" i="14652"/>
  <c r="K9" i="14652" s="1"/>
  <c r="K10" i="14652" s="1"/>
  <c r="K11" i="14652" s="1"/>
  <c r="K12" i="14652" s="1"/>
  <c r="K13" i="14652" s="1"/>
  <c r="K14" i="14652" s="1"/>
  <c r="C29" i="14696"/>
  <c r="E30" i="14696" s="1"/>
  <c r="C39" i="4129"/>
  <c r="J17" i="14661"/>
  <c r="J9" i="14661"/>
  <c r="J7" i="14661"/>
  <c r="L7" i="14661" s="1"/>
  <c r="L16" i="14661"/>
  <c r="L8" i="14661"/>
  <c r="B22" i="14706"/>
  <c r="B20" i="14706"/>
  <c r="B19" i="14706"/>
  <c r="B6" i="14667"/>
  <c r="B11" i="14667"/>
  <c r="B7" i="14667"/>
  <c r="C5" i="11"/>
  <c r="M19" i="14662"/>
  <c r="M18" i="14662"/>
  <c r="M17" i="14662"/>
  <c r="H23" i="14622"/>
  <c r="H8" i="14622"/>
  <c r="H7" i="14622" s="1"/>
  <c r="G24" i="14622"/>
  <c r="L11" i="14645" s="1"/>
  <c r="L12" i="14645" s="1"/>
  <c r="G23" i="14622"/>
  <c r="B18" i="14667" s="1"/>
  <c r="G22" i="14622"/>
  <c r="G21" i="14622"/>
  <c r="G20" i="14622"/>
  <c r="G16" i="14622"/>
  <c r="I16" i="14622" s="1"/>
  <c r="G9" i="14622"/>
  <c r="I9" i="14622" s="1"/>
  <c r="H14" i="14622"/>
  <c r="I14" i="14622" s="1"/>
  <c r="H13" i="14622"/>
  <c r="I13" i="14622" s="1"/>
  <c r="H12" i="14622"/>
  <c r="I12" i="14622" s="1"/>
  <c r="A7" i="14661"/>
  <c r="A8" i="14661"/>
  <c r="A43" i="14622"/>
  <c r="B79" i="14689"/>
  <c r="B78" i="14689"/>
  <c r="B71" i="14689"/>
  <c r="C30" i="11"/>
  <c r="B30" i="11"/>
  <c r="B32" i="14706" s="1"/>
  <c r="B43" i="14667"/>
  <c r="B29" i="11"/>
  <c r="B28" i="11"/>
  <c r="B30" i="14706" s="1"/>
  <c r="D30" i="14706"/>
  <c r="B27" i="11"/>
  <c r="B29" i="14706" s="1"/>
  <c r="B25" i="11"/>
  <c r="B39" i="14667" s="1"/>
  <c r="B20" i="11"/>
  <c r="B37" i="14706" s="1"/>
  <c r="B12" i="11"/>
  <c r="B11" i="11"/>
  <c r="D11" i="11" s="1"/>
  <c r="B10" i="11"/>
  <c r="D10" i="11" s="1"/>
  <c r="C14" i="11"/>
  <c r="C13" i="11"/>
  <c r="B8" i="11"/>
  <c r="C7" i="11"/>
  <c r="D12" i="11"/>
  <c r="A63" i="14685"/>
  <c r="A17" i="14661" s="1"/>
  <c r="A39" i="14661" s="1"/>
  <c r="A55" i="14685"/>
  <c r="A15" i="14661" s="1"/>
  <c r="A50" i="14685"/>
  <c r="A43" i="14685"/>
  <c r="A13" i="14661" s="1"/>
  <c r="A31" i="14685"/>
  <c r="A11" i="14661" s="1"/>
  <c r="A37" i="14685"/>
  <c r="A12" i="14661" s="1"/>
  <c r="A26" i="14685"/>
  <c r="A20" i="14685"/>
  <c r="A9" i="14661" s="1"/>
  <c r="A10" i="14685"/>
  <c r="N19" i="14653"/>
  <c r="N20" i="14653"/>
  <c r="N21" i="14653"/>
  <c r="N22" i="14653"/>
  <c r="N23" i="14653"/>
  <c r="N24" i="14653"/>
  <c r="N25" i="14653"/>
  <c r="N26" i="14653"/>
  <c r="A29" i="4129"/>
  <c r="N16" i="14657"/>
  <c r="B30" i="14628"/>
  <c r="A22" i="14665"/>
  <c r="C11" i="14622"/>
  <c r="A48" i="14683"/>
  <c r="A46" i="14683"/>
  <c r="A31" i="14683"/>
  <c r="A2" i="14683"/>
  <c r="F13" i="14626"/>
  <c r="F14" i="14626"/>
  <c r="F11" i="14626"/>
  <c r="C60" i="4129"/>
  <c r="C36" i="4129"/>
  <c r="E9" i="14626"/>
  <c r="A9" i="14626"/>
  <c r="A19" i="14626"/>
  <c r="B29" i="14626"/>
  <c r="F29" i="14626"/>
  <c r="F27" i="14626"/>
  <c r="F24" i="14626"/>
  <c r="A41" i="14667"/>
  <c r="F22" i="14626"/>
  <c r="F23" i="14626"/>
  <c r="E21" i="14626"/>
  <c r="F19" i="14626"/>
  <c r="F18" i="14626"/>
  <c r="E17" i="14626"/>
  <c r="A21" i="14667"/>
  <c r="A19" i="14667"/>
  <c r="A21" i="14622"/>
  <c r="C27" i="14705"/>
  <c r="D76" i="4129"/>
  <c r="C76" i="4129"/>
  <c r="C73" i="4129"/>
  <c r="C72" i="4129"/>
  <c r="C71" i="4129"/>
  <c r="D73" i="4129"/>
  <c r="D72" i="4129"/>
  <c r="D71" i="4129"/>
  <c r="D69" i="4129"/>
  <c r="D68" i="4129"/>
  <c r="C69" i="4129"/>
  <c r="C68" i="4129"/>
  <c r="C67" i="4129"/>
  <c r="C66" i="4129"/>
  <c r="D59" i="4129"/>
  <c r="D60" i="4129"/>
  <c r="C37" i="4129" s="1"/>
  <c r="A13" i="14659" s="1"/>
  <c r="D61" i="4129"/>
  <c r="C59" i="4129"/>
  <c r="C61" i="4129"/>
  <c r="N8" i="14657"/>
  <c r="N9" i="14657"/>
  <c r="N10" i="14657"/>
  <c r="A20" i="14684"/>
  <c r="A20" i="14677" s="1" a="1"/>
  <c r="B20" i="14657"/>
  <c r="A1" i="14657"/>
  <c r="A5" i="14657"/>
  <c r="I28" i="4129"/>
  <c r="H1" i="14681" s="1"/>
  <c r="F13" i="4129"/>
  <c r="D3" i="11"/>
  <c r="A5" i="14659"/>
  <c r="A1" i="14659"/>
  <c r="F27" i="4129"/>
  <c r="B41" i="14662"/>
  <c r="B42" i="14662"/>
  <c r="A35" i="4129"/>
  <c r="A1" i="14706"/>
  <c r="H11" i="14665"/>
  <c r="A14" i="14696"/>
  <c r="B33" i="14685" a="1"/>
  <c r="B33" i="14685" s="1"/>
  <c r="B37" i="14685" s="1"/>
  <c r="B91" i="14643" a="1"/>
  <c r="I91" i="14643"/>
  <c r="B78" i="14643" a="1"/>
  <c r="E78" i="14643"/>
  <c r="B65" i="14643" a="1"/>
  <c r="B52" i="14643" a="1"/>
  <c r="D52" i="14643" s="1"/>
  <c r="C52" i="14643"/>
  <c r="E52" i="14643"/>
  <c r="F52" i="14643"/>
  <c r="G52" i="14643"/>
  <c r="I52" i="14643"/>
  <c r="B100" i="14643"/>
  <c r="B87" i="14643"/>
  <c r="B74" i="14643"/>
  <c r="B61" i="14643"/>
  <c r="B37" i="14643"/>
  <c r="A102" i="14645" a="1"/>
  <c r="A105" i="14645" s="1"/>
  <c r="A92" i="14645" a="1"/>
  <c r="A82" i="14645" a="1"/>
  <c r="A84" i="14645" s="1"/>
  <c r="A72" i="14645" a="1"/>
  <c r="A75" i="14645" s="1"/>
  <c r="A38" i="14645"/>
  <c r="A40" i="14645" a="1"/>
  <c r="A41" i="14645" s="1"/>
  <c r="A28" i="14645" a="1"/>
  <c r="A29" i="14645" s="1"/>
  <c r="A18" i="14645" a="1"/>
  <c r="A18" i="14645" s="1"/>
  <c r="A21" i="14645"/>
  <c r="A14" i="14684"/>
  <c r="A19" i="14684"/>
  <c r="A16" i="14684"/>
  <c r="A13" i="14684"/>
  <c r="A8" i="14684"/>
  <c r="A1" i="14641"/>
  <c r="A1" i="14676"/>
  <c r="A1" i="14677"/>
  <c r="A1" i="14633"/>
  <c r="C38" i="14641" a="1"/>
  <c r="C38" i="14641" s="1"/>
  <c r="C38" i="14676" a="1"/>
  <c r="D38" i="14676" s="1"/>
  <c r="C38" i="14676"/>
  <c r="C38" i="14677" a="1"/>
  <c r="C38" i="14633" a="1"/>
  <c r="B39" i="14641" a="1"/>
  <c r="B39" i="14676" a="1"/>
  <c r="B39" i="14676" s="1"/>
  <c r="B39" i="14677" a="1"/>
  <c r="B39" i="14633" a="1"/>
  <c r="B39" i="14633" s="1"/>
  <c r="A35" i="14641"/>
  <c r="A35" i="14676"/>
  <c r="A35" i="14677"/>
  <c r="A35" i="14633"/>
  <c r="A33" i="14641"/>
  <c r="A33" i="14676"/>
  <c r="A33" i="14677"/>
  <c r="A33" i="14633"/>
  <c r="A28" i="14641" a="1"/>
  <c r="A28" i="14676" a="1"/>
  <c r="A29" i="14676" s="1"/>
  <c r="A31" i="14676"/>
  <c r="A28" i="14677" a="1"/>
  <c r="A28" i="14677" s="1"/>
  <c r="A28" i="14633" a="1"/>
  <c r="A29" i="14633" s="1"/>
  <c r="A20" i="14633" a="1"/>
  <c r="A20" i="14633" s="1"/>
  <c r="A21" i="14633"/>
  <c r="B104" i="14648"/>
  <c r="B89" i="14648"/>
  <c r="B99" i="14648"/>
  <c r="B94" i="14648"/>
  <c r="B84" i="14648"/>
  <c r="B71" i="14648"/>
  <c r="B56" i="14648"/>
  <c r="B41" i="14648"/>
  <c r="B26" i="14648"/>
  <c r="B107" i="14648"/>
  <c r="B102" i="14648"/>
  <c r="B97" i="14648"/>
  <c r="B92" i="14648"/>
  <c r="B87" i="14648"/>
  <c r="B79" i="14648"/>
  <c r="B64" i="14648"/>
  <c r="B49" i="14648"/>
  <c r="B34" i="14648"/>
  <c r="C18" i="4129"/>
  <c r="D18" i="4129" s="1"/>
  <c r="A84" i="14648"/>
  <c r="O84" i="14648"/>
  <c r="O89" i="14648"/>
  <c r="O94" i="14648"/>
  <c r="O99" i="14648"/>
  <c r="O104" i="14648"/>
  <c r="O71" i="14648"/>
  <c r="O56" i="14648"/>
  <c r="O41" i="14648"/>
  <c r="O26" i="14648"/>
  <c r="O21" i="14648"/>
  <c r="O36" i="14648"/>
  <c r="O51" i="14648"/>
  <c r="O66" i="14648"/>
  <c r="A6" i="14648"/>
  <c r="D4" i="14661"/>
  <c r="A55" i="14624"/>
  <c r="A20" i="14624"/>
  <c r="A25" i="14624"/>
  <c r="A53" i="14682"/>
  <c r="A28" i="14682"/>
  <c r="A27" i="14624"/>
  <c r="A27" i="14673" s="1"/>
  <c r="A15" i="14624"/>
  <c r="A15" i="14636" s="1"/>
  <c r="A1" i="14628"/>
  <c r="D30" i="4129"/>
  <c r="D22" i="14674" s="1"/>
  <c r="D24" i="14674" s="1"/>
  <c r="B15" i="14628"/>
  <c r="B15" i="14634" s="1"/>
  <c r="A26" i="14628"/>
  <c r="A22" i="14628"/>
  <c r="A40" i="14628"/>
  <c r="A39" i="14675" s="1" a="1"/>
  <c r="A39" i="14628"/>
  <c r="A13" i="14628"/>
  <c r="A17" i="14628"/>
  <c r="A17" i="14639" s="1"/>
  <c r="A6" i="14628"/>
  <c r="A7" i="14628"/>
  <c r="A24" i="14628"/>
  <c r="A21" i="14628"/>
  <c r="A20" i="14628"/>
  <c r="A12" i="14628"/>
  <c r="A8" i="14628"/>
  <c r="A5" i="14628"/>
  <c r="A60" i="14624"/>
  <c r="A29" i="14639"/>
  <c r="A29" i="14674"/>
  <c r="A29" i="14675"/>
  <c r="A29" i="14634"/>
  <c r="O18" i="14628"/>
  <c r="O30" i="14628"/>
  <c r="O30" i="14639"/>
  <c r="O18" i="14639"/>
  <c r="O4" i="14639"/>
  <c r="O30" i="14674"/>
  <c r="O18" i="14674"/>
  <c r="O4" i="14674"/>
  <c r="O30" i="14675"/>
  <c r="O18" i="14675"/>
  <c r="O4" i="14675"/>
  <c r="O30" i="14634"/>
  <c r="O18" i="14634"/>
  <c r="O4" i="14634"/>
  <c r="A19" i="14628"/>
  <c r="A11" i="14628"/>
  <c r="A4" i="14628"/>
  <c r="N32" i="14624"/>
  <c r="N32" i="14629" s="1"/>
  <c r="N4" i="14636"/>
  <c r="N4" i="14672"/>
  <c r="N4" i="14673"/>
  <c r="N4" i="14629"/>
  <c r="A58" i="14636"/>
  <c r="A58" i="14672"/>
  <c r="A58" i="14673"/>
  <c r="A58" i="14629"/>
  <c r="A32" i="14636"/>
  <c r="A32" i="14672"/>
  <c r="A32" i="14673"/>
  <c r="A32" i="14629"/>
  <c r="A15" i="14673"/>
  <c r="A6" i="14636"/>
  <c r="A6" i="14672"/>
  <c r="A6" i="14673"/>
  <c r="A6" i="14629"/>
  <c r="A4" i="14636"/>
  <c r="A4" i="14672"/>
  <c r="A4" i="14673"/>
  <c r="A4" i="14629"/>
  <c r="A1" i="14636"/>
  <c r="A1" i="14672"/>
  <c r="A1" i="14673"/>
  <c r="A1" i="14629"/>
  <c r="A22" i="14681" a="1"/>
  <c r="A22" i="14681" s="1"/>
  <c r="A45" i="14681" a="1"/>
  <c r="A47" i="14681" s="1"/>
  <c r="A36" i="14681" a="1"/>
  <c r="A27" i="14681" a="1"/>
  <c r="A27" i="14681" s="1"/>
  <c r="A18" i="14681" a="1"/>
  <c r="N17" i="14681"/>
  <c r="N26" i="14681"/>
  <c r="N35" i="14681"/>
  <c r="N44" i="14681"/>
  <c r="A45" i="14623"/>
  <c r="A32" i="14623"/>
  <c r="A4" i="14623"/>
  <c r="P18" i="14638"/>
  <c r="P18" i="14678"/>
  <c r="P46" i="14678" s="1"/>
  <c r="P18" i="14679"/>
  <c r="P18" i="14632"/>
  <c r="P46" i="14632" s="1"/>
  <c r="R31" i="14638"/>
  <c r="R31" i="14678"/>
  <c r="R31" i="14679"/>
  <c r="R31" i="14632"/>
  <c r="A47" i="14638" a="1"/>
  <c r="A49" i="14638" s="1"/>
  <c r="A47" i="14678" a="1"/>
  <c r="A47" i="14679" a="1"/>
  <c r="A54" i="14679" s="1"/>
  <c r="A47" i="14632" a="1"/>
  <c r="A54" i="14632" s="1"/>
  <c r="A34" i="14638"/>
  <c r="A34" i="14678"/>
  <c r="A34" i="14679"/>
  <c r="A34" i="14632"/>
  <c r="A32" i="14678"/>
  <c r="A32" i="14632"/>
  <c r="A19" i="14638" a="1"/>
  <c r="A19" i="14678" a="1"/>
  <c r="A26" i="14678" s="1"/>
  <c r="A22" i="14678"/>
  <c r="A19" i="14679" a="1"/>
  <c r="A22" i="14679" s="1"/>
  <c r="A19" i="14632" a="1"/>
  <c r="A22" i="14632" s="1"/>
  <c r="A26" i="14632"/>
  <c r="A17" i="14638"/>
  <c r="A17" i="14678"/>
  <c r="A17" i="14679"/>
  <c r="A17" i="14632"/>
  <c r="A6" i="14638"/>
  <c r="A6" i="14678"/>
  <c r="A6" i="14679"/>
  <c r="A6" i="14632"/>
  <c r="A1" i="14638"/>
  <c r="A1" i="14678"/>
  <c r="A1" i="14679"/>
  <c r="A1" i="14632"/>
  <c r="I30" i="14659"/>
  <c r="L30" i="14659"/>
  <c r="O30" i="14659"/>
  <c r="F30" i="14659"/>
  <c r="H30" i="14659"/>
  <c r="K30" i="14659"/>
  <c r="N30" i="14659"/>
  <c r="E30" i="14659"/>
  <c r="I6" i="14659"/>
  <c r="L6" i="14659"/>
  <c r="O6" i="14659"/>
  <c r="A35" i="14659"/>
  <c r="B14" i="14626"/>
  <c r="B12" i="14626"/>
  <c r="B10" i="14626"/>
  <c r="A29" i="14631"/>
  <c r="A29" i="14640"/>
  <c r="A29" i="14670"/>
  <c r="A29" i="14671"/>
  <c r="A29" i="8"/>
  <c r="A25" i="14631" a="1"/>
  <c r="A26" i="14631" s="1"/>
  <c r="A25" i="14640" a="1"/>
  <c r="A26" i="14640" s="1"/>
  <c r="A25" i="14670" a="1"/>
  <c r="A26" i="14670"/>
  <c r="A25" i="14671" a="1"/>
  <c r="A26" i="14671" s="1"/>
  <c r="A25" i="8" a="1"/>
  <c r="A26" i="8" s="1"/>
  <c r="A22" i="14631" a="1"/>
  <c r="A23" i="14631" s="1"/>
  <c r="A22" i="8" a="1"/>
  <c r="A23" i="8" s="1"/>
  <c r="A22" i="14640" a="1"/>
  <c r="A23" i="14640" s="1"/>
  <c r="A22" i="14670" a="1"/>
  <c r="A23" i="14670" s="1"/>
  <c r="A22" i="14671" a="1"/>
  <c r="A23" i="14671" s="1"/>
  <c r="A20" i="14631"/>
  <c r="A20" i="14640"/>
  <c r="A20" i="14670"/>
  <c r="A20" i="14671"/>
  <c r="A20" i="8"/>
  <c r="A15" i="14631" a="1"/>
  <c r="A15" i="14640" a="1"/>
  <c r="A16" i="14640" s="1"/>
  <c r="A15" i="14670" a="1"/>
  <c r="A15" i="14670" s="1"/>
  <c r="A15" i="14671" a="1"/>
  <c r="A17" i="14671" s="1"/>
  <c r="A15" i="8" a="1"/>
  <c r="A15" i="8" s="1"/>
  <c r="A13" i="14631"/>
  <c r="A13" i="14640"/>
  <c r="A13" i="14670"/>
  <c r="A13" i="14671"/>
  <c r="A13" i="8"/>
  <c r="A9" i="8" a="1"/>
  <c r="A10" i="8" s="1"/>
  <c r="A9" i="14640" a="1"/>
  <c r="A11" i="14640" s="1"/>
  <c r="A10" i="14640"/>
  <c r="A9" i="14670" a="1"/>
  <c r="A9" i="14671" a="1"/>
  <c r="A9" i="14631" a="1"/>
  <c r="A4" i="8" a="1"/>
  <c r="A5" i="8"/>
  <c r="A7" i="8"/>
  <c r="A4" i="14640" a="1"/>
  <c r="A4" i="14670" a="1"/>
  <c r="A5" i="14670" s="1"/>
  <c r="A4" i="14671" a="1"/>
  <c r="A7" i="14671" s="1"/>
  <c r="A4" i="14631" a="1"/>
  <c r="A7" i="14631" s="1"/>
  <c r="C19" i="14686"/>
  <c r="D19" i="14686" s="1"/>
  <c r="B9" i="14687" a="1"/>
  <c r="B9" i="14687" s="1"/>
  <c r="C18" i="14687"/>
  <c r="F53" i="14706"/>
  <c r="A49" i="14706"/>
  <c r="A51" i="14706"/>
  <c r="A45" i="14706"/>
  <c r="A46" i="14706"/>
  <c r="A47" i="14706"/>
  <c r="A39" i="14706"/>
  <c r="A41" i="14706"/>
  <c r="A42" i="14706"/>
  <c r="A43" i="14706"/>
  <c r="A34" i="14706"/>
  <c r="A35" i="14706"/>
  <c r="A36" i="14706"/>
  <c r="A37" i="14706"/>
  <c r="A27" i="14706"/>
  <c r="A28" i="14706"/>
  <c r="A29" i="14706"/>
  <c r="A32" i="14706"/>
  <c r="A26" i="14706"/>
  <c r="A24" i="14706"/>
  <c r="A22" i="14706"/>
  <c r="A19" i="14706"/>
  <c r="A20" i="14706"/>
  <c r="A21" i="14706"/>
  <c r="A16" i="14706"/>
  <c r="A14" i="14706"/>
  <c r="A13" i="14706"/>
  <c r="A12" i="14706"/>
  <c r="A11" i="14706"/>
  <c r="A10" i="14706"/>
  <c r="A9" i="14706"/>
  <c r="A7" i="14706"/>
  <c r="A6" i="14706"/>
  <c r="A5" i="14706"/>
  <c r="A31" i="14640"/>
  <c r="A31" i="14670"/>
  <c r="A31" i="14671"/>
  <c r="A31" i="14631"/>
  <c r="A13" i="14662"/>
  <c r="A14" i="14662" s="1"/>
  <c r="A15" i="14662" s="1"/>
  <c r="A16" i="14662" s="1"/>
  <c r="A17" i="14662" s="1"/>
  <c r="A236" i="14703"/>
  <c r="A236" i="14704" s="1"/>
  <c r="A218" i="14703"/>
  <c r="A218" i="14704" s="1"/>
  <c r="A200" i="14703"/>
  <c r="A182" i="14703"/>
  <c r="A182" i="14704" s="1"/>
  <c r="A182" i="14701"/>
  <c r="A164" i="14703"/>
  <c r="A164" i="14704" s="1"/>
  <c r="A146" i="14703"/>
  <c r="A146" i="14701" s="1"/>
  <c r="A146" i="14704"/>
  <c r="A128" i="14703"/>
  <c r="A110" i="14700"/>
  <c r="A110" i="14701"/>
  <c r="A110" i="14702"/>
  <c r="A110" i="14704"/>
  <c r="A110" i="14698"/>
  <c r="A90" i="14700"/>
  <c r="A90" i="14701"/>
  <c r="A90" i="14702"/>
  <c r="A90" i="14704"/>
  <c r="A90" i="14698"/>
  <c r="K108" i="14700"/>
  <c r="K108" i="14701"/>
  <c r="K108" i="14702"/>
  <c r="K108" i="14704"/>
  <c r="K108" i="14698"/>
  <c r="F108" i="14700"/>
  <c r="F108" i="14701"/>
  <c r="F108" i="14702"/>
  <c r="F108" i="14704"/>
  <c r="F108" i="14698"/>
  <c r="I18" i="14703"/>
  <c r="I18" i="14701" s="1"/>
  <c r="A89" i="14703"/>
  <c r="A89" i="14704" s="1"/>
  <c r="A58" i="14703"/>
  <c r="A55" i="14701"/>
  <c r="A55" i="14702"/>
  <c r="A55" i="14704"/>
  <c r="A55" i="14700"/>
  <c r="B41" i="14703"/>
  <c r="B41" i="14702" s="1"/>
  <c r="A106" i="14703"/>
  <c r="A71" i="14703"/>
  <c r="A45" i="14703"/>
  <c r="A45" i="14700" s="1"/>
  <c r="A57" i="14703"/>
  <c r="A40" i="14703"/>
  <c r="A54" i="14703"/>
  <c r="A67" i="14703"/>
  <c r="A85" i="14703"/>
  <c r="A104" i="14703"/>
  <c r="A28" i="14700"/>
  <c r="A85" i="14700" s="1"/>
  <c r="A28" i="14701"/>
  <c r="A28" i="14702"/>
  <c r="A54" i="14702" s="1"/>
  <c r="A28" i="14704"/>
  <c r="A85" i="14704" s="1"/>
  <c r="A28" i="14698"/>
  <c r="A85" i="14698" s="1"/>
  <c r="A54" i="14698"/>
  <c r="A31" i="14703"/>
  <c r="A1" i="14700"/>
  <c r="A1" i="14701"/>
  <c r="A1" i="14702"/>
  <c r="A1" i="14704"/>
  <c r="A1" i="14698"/>
  <c r="N7" i="14700"/>
  <c r="N19" i="14700" s="1"/>
  <c r="N7" i="14701"/>
  <c r="N31" i="14701" s="1"/>
  <c r="N7" i="14702"/>
  <c r="N7" i="14704"/>
  <c r="N7" i="14698"/>
  <c r="N19" i="14698" s="1"/>
  <c r="N58" i="14703"/>
  <c r="N45" i="14703"/>
  <c r="N31" i="14703"/>
  <c r="N19" i="14703"/>
  <c r="N58" i="14701"/>
  <c r="N19" i="14702"/>
  <c r="N45" i="14704"/>
  <c r="N19" i="14704"/>
  <c r="A70" i="14700"/>
  <c r="A71" i="14700"/>
  <c r="A70" i="14701"/>
  <c r="A71" i="14701"/>
  <c r="A70" i="14702"/>
  <c r="A71" i="14702"/>
  <c r="A70" i="14704"/>
  <c r="A71" i="14704"/>
  <c r="A70" i="14698"/>
  <c r="A71" i="14698"/>
  <c r="A57" i="14701"/>
  <c r="A57" i="14704"/>
  <c r="A44" i="14700"/>
  <c r="A44" i="14701"/>
  <c r="A44" i="14702"/>
  <c r="A44" i="14704"/>
  <c r="A44" i="14698"/>
  <c r="A31" i="14702"/>
  <c r="A19" i="14698"/>
  <c r="A19" i="14700"/>
  <c r="A19" i="14701"/>
  <c r="A19" i="14702"/>
  <c r="A19" i="14704"/>
  <c r="A7" i="14698"/>
  <c r="A7" i="14700"/>
  <c r="A7" i="14701"/>
  <c r="A7" i="14702"/>
  <c r="A7" i="14704"/>
  <c r="A6" i="14698"/>
  <c r="A6" i="14700"/>
  <c r="A6" i="14701"/>
  <c r="A6" i="14702"/>
  <c r="A6" i="14704"/>
  <c r="A18" i="14698"/>
  <c r="A18" i="14700"/>
  <c r="A18" i="14701"/>
  <c r="A18" i="14702"/>
  <c r="A18" i="14704"/>
  <c r="A40" i="14630"/>
  <c r="A40" i="14637"/>
  <c r="A40" i="14668"/>
  <c r="A40" i="14669"/>
  <c r="A16" i="7"/>
  <c r="A1" i="14683"/>
  <c r="A19" i="14652"/>
  <c r="A20" i="14652"/>
  <c r="A21" i="14652"/>
  <c r="A22" i="14652"/>
  <c r="A23" i="14652"/>
  <c r="A24" i="14652"/>
  <c r="A25" i="14652"/>
  <c r="A26" i="14652"/>
  <c r="E3" i="14655"/>
  <c r="F3" i="14655"/>
  <c r="F16" i="14655" s="1"/>
  <c r="G3" i="14655"/>
  <c r="H3" i="14655"/>
  <c r="H19" i="14655" s="1"/>
  <c r="I3" i="14655"/>
  <c r="I14" i="14655" s="1"/>
  <c r="J3" i="14655"/>
  <c r="K3" i="14655"/>
  <c r="L3" i="14655"/>
  <c r="M3" i="14655"/>
  <c r="N3" i="14655"/>
  <c r="O3" i="14655"/>
  <c r="P3" i="14655"/>
  <c r="P6" i="14655" s="1"/>
  <c r="E10" i="14655"/>
  <c r="I10" i="14655"/>
  <c r="O10" i="14655"/>
  <c r="I11" i="14655"/>
  <c r="E14" i="14655"/>
  <c r="O14" i="14655"/>
  <c r="E18" i="14655"/>
  <c r="O18" i="14655"/>
  <c r="A7" i="14655"/>
  <c r="A48" i="14686"/>
  <c r="A47" i="14686"/>
  <c r="C34" i="14686"/>
  <c r="A20" i="14622"/>
  <c r="A19" i="14622"/>
  <c r="E33" i="14665"/>
  <c r="F23" i="14665"/>
  <c r="E23" i="14665"/>
  <c r="A2" i="14665"/>
  <c r="A2" i="14685"/>
  <c r="A2" i="14622"/>
  <c r="A20" i="14693"/>
  <c r="A12" i="14693"/>
  <c r="D21" i="4129"/>
  <c r="I8" i="14665"/>
  <c r="I6" i="14665"/>
  <c r="C82" i="4129"/>
  <c r="C81" i="4129"/>
  <c r="C79" i="4129"/>
  <c r="D38" i="4129"/>
  <c r="D32" i="4129"/>
  <c r="D31" i="4129"/>
  <c r="A32" i="4129"/>
  <c r="A27" i="4129"/>
  <c r="B20" i="14652"/>
  <c r="B21" i="14652"/>
  <c r="B22" i="14652"/>
  <c r="B23" i="14652"/>
  <c r="B24" i="14652"/>
  <c r="B25" i="14652"/>
  <c r="B26" i="14652"/>
  <c r="A137" i="14707"/>
  <c r="B20" i="14693"/>
  <c r="D18" i="14687"/>
  <c r="B10" i="14687"/>
  <c r="E18" i="14687"/>
  <c r="F18" i="14687"/>
  <c r="G18" i="14687"/>
  <c r="H18" i="14687"/>
  <c r="I18" i="14687"/>
  <c r="I13" i="14687" s="1"/>
  <c r="J18" i="14687"/>
  <c r="K18" i="14687"/>
  <c r="K12" i="14687" s="1"/>
  <c r="L18" i="14687"/>
  <c r="M18" i="14687"/>
  <c r="N18" i="14687"/>
  <c r="B11" i="14687"/>
  <c r="B12" i="14687"/>
  <c r="B13" i="14687"/>
  <c r="E13" i="14687" s="1"/>
  <c r="B14" i="14687"/>
  <c r="B15" i="14687"/>
  <c r="B16" i="14687"/>
  <c r="H16" i="14687" s="1"/>
  <c r="K15" i="14687"/>
  <c r="A19" i="14686"/>
  <c r="A20" i="14686"/>
  <c r="A21" i="14686"/>
  <c r="B57" i="14685" a="1"/>
  <c r="B62" i="14685"/>
  <c r="B58" i="14689" s="1" a="1"/>
  <c r="B58" i="14689" s="1"/>
  <c r="E58" i="14685"/>
  <c r="E59" i="14685"/>
  <c r="E57" i="14685"/>
  <c r="E60" i="14685"/>
  <c r="E61" i="14685"/>
  <c r="E62" i="14685"/>
  <c r="B19" i="14685"/>
  <c r="B20" i="14685" s="1"/>
  <c r="B22" i="14685" a="1"/>
  <c r="E23" i="14685"/>
  <c r="E24" i="14685"/>
  <c r="E25" i="14685"/>
  <c r="B28" i="14685" a="1"/>
  <c r="E29" i="14685"/>
  <c r="E30" i="14685"/>
  <c r="E33" i="14685"/>
  <c r="E34" i="14685"/>
  <c r="E35" i="14685"/>
  <c r="E36" i="14685"/>
  <c r="B39" i="14685" a="1"/>
  <c r="E39" i="14685" s="1"/>
  <c r="E40" i="14685"/>
  <c r="E41" i="14685"/>
  <c r="E42" i="14685"/>
  <c r="B45" i="14685" a="1"/>
  <c r="E45" i="14685"/>
  <c r="E46" i="14685"/>
  <c r="E47" i="14685"/>
  <c r="E48" i="14685"/>
  <c r="E49" i="14685"/>
  <c r="B52" i="14685" a="1"/>
  <c r="E53" i="14685"/>
  <c r="E54" i="14685"/>
  <c r="B7" i="14661"/>
  <c r="B9" i="14685"/>
  <c r="E7" i="14685"/>
  <c r="E8" i="14685"/>
  <c r="E13" i="14685"/>
  <c r="E14" i="14685"/>
  <c r="E15" i="14685"/>
  <c r="E16" i="14685"/>
  <c r="E17" i="14685"/>
  <c r="E18" i="14685"/>
  <c r="E19" i="14685"/>
  <c r="D62" i="14685"/>
  <c r="D19" i="14685"/>
  <c r="D10" i="14685" a="1"/>
  <c r="D10" i="14685" s="1"/>
  <c r="B30" i="14661" s="1"/>
  <c r="C46" i="14665"/>
  <c r="C33" i="14685"/>
  <c r="C39" i="14685"/>
  <c r="C14" i="14690"/>
  <c r="I57" i="14685" a="1"/>
  <c r="I52" i="14685" a="1"/>
  <c r="I45" i="14685" a="1"/>
  <c r="I39" i="14685" a="1"/>
  <c r="I39" i="14685" s="1"/>
  <c r="I43" i="14685" s="1"/>
  <c r="I33" i="14685" a="1"/>
  <c r="I33" i="14685" s="1"/>
  <c r="I37" i="14685" s="1"/>
  <c r="J34" i="14685" s="1" a="1"/>
  <c r="J36" i="14685" s="1"/>
  <c r="I28" i="14685" a="1"/>
  <c r="I28" i="14685" s="1"/>
  <c r="I31" i="14685" s="1"/>
  <c r="I22" i="14685" a="1"/>
  <c r="I20" i="14685"/>
  <c r="J13" i="14685" s="1" a="1"/>
  <c r="J13" i="14685" s="1"/>
  <c r="I10" i="14685"/>
  <c r="C17" i="14690"/>
  <c r="B13" i="11" s="1"/>
  <c r="A24" i="14707" a="1"/>
  <c r="A26" i="14707" s="1"/>
  <c r="A23" i="14707"/>
  <c r="B55" i="14707" a="1"/>
  <c r="D48" i="14665"/>
  <c r="C55" i="14689"/>
  <c r="E15" i="14661" s="1"/>
  <c r="D55" i="14689"/>
  <c r="F15" i="14661" s="1"/>
  <c r="E55" i="14689"/>
  <c r="G15" i="14661" s="1"/>
  <c r="F55" i="14689"/>
  <c r="H15" i="14661" s="1"/>
  <c r="C20" i="14689"/>
  <c r="D20" i="14689"/>
  <c r="F9" i="14661" s="1"/>
  <c r="E20" i="14689"/>
  <c r="G9" i="14661" s="1"/>
  <c r="F20" i="14689"/>
  <c r="H9" i="14661" s="1"/>
  <c r="C26" i="14689"/>
  <c r="E10" i="14661" s="1"/>
  <c r="D26" i="14689"/>
  <c r="F10" i="14661" s="1"/>
  <c r="E26" i="14689"/>
  <c r="F26" i="14689"/>
  <c r="H10" i="14661" s="1"/>
  <c r="C37" i="14689"/>
  <c r="E12" i="14661" s="1"/>
  <c r="D37" i="14689"/>
  <c r="F12" i="14661" s="1"/>
  <c r="E37" i="14689"/>
  <c r="G12" i="14661" s="1"/>
  <c r="F37" i="14689"/>
  <c r="H12" i="14661" s="1"/>
  <c r="C43" i="14689"/>
  <c r="D43" i="14689"/>
  <c r="F13" i="14661" s="1"/>
  <c r="E43" i="14689"/>
  <c r="G13" i="14661" s="1"/>
  <c r="F43" i="14689"/>
  <c r="H13" i="14661" s="1"/>
  <c r="C50" i="14689"/>
  <c r="E14" i="14661" s="1"/>
  <c r="D50" i="14689"/>
  <c r="F14" i="14661" s="1"/>
  <c r="E50" i="14689"/>
  <c r="F50" i="14689"/>
  <c r="H14" i="14661" s="1"/>
  <c r="C63" i="14689"/>
  <c r="D63" i="14689"/>
  <c r="E63" i="14689"/>
  <c r="F63" i="14689"/>
  <c r="D62" i="14665"/>
  <c r="B53" i="14665"/>
  <c r="B23" i="14622"/>
  <c r="D54" i="14665"/>
  <c r="G54" i="14665"/>
  <c r="G55" i="14665" s="1"/>
  <c r="G56" i="14665" s="1"/>
  <c r="G57" i="14665" s="1"/>
  <c r="E54" i="14665"/>
  <c r="E55" i="14665" s="1"/>
  <c r="E56" i="14665" s="1"/>
  <c r="E57" i="14665" s="1"/>
  <c r="F54" i="14665"/>
  <c r="H54" i="14665"/>
  <c r="H55" i="14665" s="1"/>
  <c r="H56" i="14665" s="1"/>
  <c r="H57" i="14665" s="1"/>
  <c r="I54" i="14665"/>
  <c r="I55" i="14665" s="1"/>
  <c r="I56" i="14665" s="1"/>
  <c r="I57" i="14665" s="1"/>
  <c r="J54" i="14665"/>
  <c r="J55" i="14665" s="1"/>
  <c r="J56" i="14665" s="1"/>
  <c r="J57" i="14665" s="1"/>
  <c r="K54" i="14665"/>
  <c r="K55" i="14665" s="1"/>
  <c r="K56" i="14665" s="1"/>
  <c r="K57" i="14665" s="1"/>
  <c r="L54" i="14665"/>
  <c r="L55" i="14665" s="1"/>
  <c r="L56" i="14665" s="1"/>
  <c r="L57" i="14665" s="1"/>
  <c r="M54" i="14665"/>
  <c r="M55" i="14665" s="1"/>
  <c r="M56" i="14665" s="1"/>
  <c r="M57" i="14665" s="1"/>
  <c r="C54" i="14665"/>
  <c r="C55" i="14665" s="1"/>
  <c r="F18" i="14667"/>
  <c r="B24" i="14622"/>
  <c r="C19" i="14690"/>
  <c r="B38" i="14665"/>
  <c r="E6" i="8" s="1"/>
  <c r="D38" i="14665"/>
  <c r="L18" i="14667"/>
  <c r="J18" i="14667"/>
  <c r="H18" i="14667"/>
  <c r="L10" i="14706"/>
  <c r="J10" i="14706"/>
  <c r="H10" i="14706"/>
  <c r="F10" i="14706"/>
  <c r="B35" i="14690"/>
  <c r="B34" i="14690"/>
  <c r="B32" i="14690"/>
  <c r="H39" i="14705"/>
  <c r="B16" i="14692"/>
  <c r="C16" i="14692"/>
  <c r="D16" i="14692"/>
  <c r="B61" i="14690"/>
  <c r="B62" i="14690"/>
  <c r="B16" i="14694"/>
  <c r="B58" i="14690"/>
  <c r="H47" i="14705"/>
  <c r="B57" i="14690" s="1"/>
  <c r="C23" i="14690" s="1"/>
  <c r="B59" i="14690"/>
  <c r="C16" i="14694"/>
  <c r="D16" i="14694"/>
  <c r="B15" i="14694"/>
  <c r="C15" i="14694"/>
  <c r="D15" i="14694"/>
  <c r="B23" i="14693"/>
  <c r="D19" i="14705" s="1"/>
  <c r="D9" i="14705" s="1"/>
  <c r="B25" i="14693"/>
  <c r="B22" i="14622"/>
  <c r="B9" i="14622"/>
  <c r="B7" i="14622" s="1"/>
  <c r="B36" i="14622" s="1"/>
  <c r="A2" i="14706"/>
  <c r="F33" i="14665"/>
  <c r="E24" i="14665"/>
  <c r="E26" i="14665" s="1"/>
  <c r="C15" i="14634"/>
  <c r="C15" i="14639"/>
  <c r="C15" i="14674"/>
  <c r="C15" i="14675"/>
  <c r="C15" i="14628"/>
  <c r="D15" i="14674"/>
  <c r="G37" i="14686" a="1"/>
  <c r="G37" i="14686" s="1"/>
  <c r="E49" i="14690"/>
  <c r="F49" i="14690" s="1"/>
  <c r="G49" i="14690" s="1"/>
  <c r="E50" i="14690"/>
  <c r="F50" i="14690" s="1"/>
  <c r="G50" i="14690" s="1"/>
  <c r="H50" i="14690" s="1"/>
  <c r="C31" i="14689"/>
  <c r="E11" i="14661" s="1"/>
  <c r="D31" i="14689"/>
  <c r="F11" i="14661" s="1"/>
  <c r="E31" i="14689"/>
  <c r="F31" i="14689"/>
  <c r="H11" i="14661" s="1"/>
  <c r="A17" i="14675"/>
  <c r="K8" i="14657"/>
  <c r="K9" i="14657"/>
  <c r="C27" i="14657"/>
  <c r="A106" i="14698"/>
  <c r="A106" i="14700"/>
  <c r="A106" i="14701"/>
  <c r="A106" i="14702"/>
  <c r="A106" i="14704"/>
  <c r="A6" i="14647" a="1"/>
  <c r="A56" i="14652" a="1"/>
  <c r="F56" i="14652" s="1"/>
  <c r="J32" i="14652" a="1"/>
  <c r="J32" i="14652" s="1"/>
  <c r="H32" i="14652" a="1"/>
  <c r="F32" i="14652" a="1"/>
  <c r="D32" i="14652" a="1"/>
  <c r="D32" i="14652" s="1"/>
  <c r="A93" i="14687"/>
  <c r="A74" i="14687"/>
  <c r="A55" i="14687"/>
  <c r="A84" i="14687"/>
  <c r="A82" i="14687"/>
  <c r="A65" i="14687"/>
  <c r="A63" i="14687"/>
  <c r="A46" i="14687"/>
  <c r="A44" i="14687"/>
  <c r="A36" i="14687"/>
  <c r="A25" i="14687"/>
  <c r="A27" i="14687"/>
  <c r="A95" i="14687" a="1"/>
  <c r="A76" i="14687" a="1"/>
  <c r="A80" i="14687" s="1"/>
  <c r="A57" i="14687" a="1"/>
  <c r="A38" i="14687" a="1"/>
  <c r="A39" i="14687" s="1"/>
  <c r="A27" i="14694" a="1"/>
  <c r="A60" i="14692" a="1"/>
  <c r="A32" i="14692"/>
  <c r="A28" i="14692" a="1"/>
  <c r="A13" i="11"/>
  <c r="A14" i="11"/>
  <c r="A9" i="11"/>
  <c r="A5" i="14689" a="1"/>
  <c r="A33" i="14689" a="1"/>
  <c r="A35" i="14689" s="1"/>
  <c r="A12" i="14689" a="1"/>
  <c r="A28" i="14689" a="1"/>
  <c r="A39" i="14689" a="1"/>
  <c r="A52" i="14689" a="1"/>
  <c r="B53" i="14689" a="1"/>
  <c r="B46" i="14689" a="1"/>
  <c r="B47" i="14689"/>
  <c r="B40" i="14689" a="1"/>
  <c r="B41" i="14689" s="1"/>
  <c r="B40" i="14689"/>
  <c r="B34" i="14689" a="1"/>
  <c r="B29" i="14689" a="1"/>
  <c r="B30" i="14689" s="1"/>
  <c r="B23" i="14689" a="1"/>
  <c r="J33" i="14685"/>
  <c r="J39" i="14685"/>
  <c r="J28" i="14685"/>
  <c r="C24" i="14625" a="1"/>
  <c r="C24" i="14625" s="1"/>
  <c r="D24" i="14625"/>
  <c r="L24" i="14625"/>
  <c r="C24" i="14633" a="1"/>
  <c r="C24" i="14633" s="1"/>
  <c r="D24" i="14633"/>
  <c r="L24" i="14633"/>
  <c r="C24" i="14641" a="1"/>
  <c r="C24" i="14641" s="1"/>
  <c r="C24" i="14676" a="1"/>
  <c r="C24" i="14676" s="1"/>
  <c r="L24" i="14676"/>
  <c r="C24" i="14677" a="1"/>
  <c r="C24" i="14677" s="1"/>
  <c r="L24" i="14677"/>
  <c r="C8" i="14652"/>
  <c r="C9" i="14652" s="1"/>
  <c r="C10" i="14652" s="1"/>
  <c r="C11" i="14652" s="1"/>
  <c r="B39" i="14622"/>
  <c r="B40" i="14622"/>
  <c r="B41" i="14622"/>
  <c r="J46" i="14652" a="1"/>
  <c r="J46" i="14652" s="1"/>
  <c r="J47" i="14652" a="1"/>
  <c r="J47" i="14652" s="1"/>
  <c r="J48" i="14652" a="1"/>
  <c r="J48" i="14652" s="1"/>
  <c r="J49" i="14652" a="1"/>
  <c r="J49" i="14652" s="1"/>
  <c r="J50" i="14652" a="1"/>
  <c r="J50" i="14652" s="1"/>
  <c r="J51" i="14652" a="1"/>
  <c r="J51" i="14652" s="1"/>
  <c r="J52" i="14652" a="1"/>
  <c r="J52" i="14652" s="1"/>
  <c r="J45" i="14652" a="1"/>
  <c r="J45" i="14652" s="1"/>
  <c r="B71" i="14690"/>
  <c r="B72" i="14690"/>
  <c r="B69" i="14690"/>
  <c r="D53" i="14705"/>
  <c r="O12" i="14696"/>
  <c r="C10" i="14689"/>
  <c r="E16" i="14695" a="1"/>
  <c r="H16" i="14695" s="1"/>
  <c r="D16" i="14695"/>
  <c r="B16" i="14695"/>
  <c r="C16" i="14695"/>
  <c r="E16" i="14694" a="1"/>
  <c r="F16" i="14694" s="1"/>
  <c r="B15" i="14695"/>
  <c r="B67" i="14690"/>
  <c r="B56" i="14690"/>
  <c r="B30" i="14690"/>
  <c r="B20" i="14622"/>
  <c r="B21" i="14622"/>
  <c r="B16" i="14622"/>
  <c r="E1" i="14705"/>
  <c r="D49" i="14705"/>
  <c r="D48" i="14705"/>
  <c r="H9" i="14705"/>
  <c r="E23" i="14690" a="1"/>
  <c r="F23" i="14690" s="1"/>
  <c r="E21" i="14690" a="1"/>
  <c r="B48" i="14686" a="1"/>
  <c r="B48" i="14686" s="1"/>
  <c r="B30" i="14686" a="1"/>
  <c r="B30" i="14686" s="1"/>
  <c r="B29" i="14686" a="1"/>
  <c r="B29" i="14686" s="1"/>
  <c r="D11" i="14648"/>
  <c r="E11" i="14648"/>
  <c r="F11" i="14648"/>
  <c r="G11" i="14648"/>
  <c r="H11" i="14648"/>
  <c r="I11" i="14648"/>
  <c r="J11" i="14648"/>
  <c r="K11" i="14648"/>
  <c r="L11" i="14648"/>
  <c r="M11" i="14648"/>
  <c r="N11" i="14648"/>
  <c r="C11" i="14648"/>
  <c r="N8" i="14699"/>
  <c r="N9" i="14699"/>
  <c r="N10" i="14699"/>
  <c r="N11" i="14699"/>
  <c r="O11" i="14699" a="1"/>
  <c r="O11" i="14699" s="1"/>
  <c r="N12" i="14699"/>
  <c r="O12" i="14699" s="1" a="1"/>
  <c r="O12" i="14699" s="1"/>
  <c r="N13" i="14699"/>
  <c r="N14" i="14699"/>
  <c r="O14" i="14699" s="1" a="1"/>
  <c r="O14" i="14699" s="1"/>
  <c r="N15" i="14699"/>
  <c r="A67" i="14648" a="1"/>
  <c r="A52" i="14648" a="1"/>
  <c r="A37" i="14648" a="1"/>
  <c r="A22" i="14648" a="1"/>
  <c r="A105" i="14648" a="1"/>
  <c r="A106" i="14648" s="1"/>
  <c r="A100" i="14648" a="1"/>
  <c r="A101" i="14648" s="1"/>
  <c r="A95" i="14648" a="1"/>
  <c r="A90" i="14648" a="1"/>
  <c r="C7" i="14647"/>
  <c r="D7" i="14647"/>
  <c r="D24" i="14647" s="1"/>
  <c r="D39" i="14647" s="1"/>
  <c r="E7" i="14647"/>
  <c r="E24" i="14647" s="1"/>
  <c r="E39" i="14647" s="1"/>
  <c r="E12" i="14622" a="1"/>
  <c r="E34" i="14686"/>
  <c r="B17" i="14659"/>
  <c r="D17" i="14659"/>
  <c r="E13" i="14665"/>
  <c r="C79" i="14649" s="1"/>
  <c r="F79" i="14649" s="1"/>
  <c r="C19" i="14652"/>
  <c r="A24" i="14665"/>
  <c r="A25" i="14665"/>
  <c r="A26" i="14665"/>
  <c r="A27" i="14665"/>
  <c r="A28" i="14665"/>
  <c r="A29" i="14665"/>
  <c r="A30" i="14665"/>
  <c r="A31" i="14665"/>
  <c r="A91" i="14698"/>
  <c r="A92" i="14698"/>
  <c r="A93" i="14698"/>
  <c r="A94" i="14698"/>
  <c r="A95" i="14698"/>
  <c r="A96" i="14698"/>
  <c r="A97" i="14698"/>
  <c r="A98" i="14698"/>
  <c r="A99" i="14698"/>
  <c r="A100" i="14698"/>
  <c r="A101" i="14698"/>
  <c r="A102" i="14698"/>
  <c r="A103" i="14698"/>
  <c r="A91" i="14704"/>
  <c r="A92" i="14704"/>
  <c r="A93" i="14704"/>
  <c r="A94" i="14704"/>
  <c r="A95" i="14704"/>
  <c r="A96" i="14704"/>
  <c r="A97" i="14704"/>
  <c r="A98" i="14704"/>
  <c r="A99" i="14704"/>
  <c r="A100" i="14704"/>
  <c r="A101" i="14704"/>
  <c r="A102" i="14704"/>
  <c r="A103" i="14704"/>
  <c r="A91" i="14702"/>
  <c r="A92" i="14702"/>
  <c r="A93" i="14702"/>
  <c r="A94" i="14702"/>
  <c r="A95" i="14702"/>
  <c r="A96" i="14702"/>
  <c r="A97" i="14702"/>
  <c r="A98" i="14702"/>
  <c r="A99" i="14702"/>
  <c r="A100" i="14702"/>
  <c r="A101" i="14702"/>
  <c r="A102" i="14702"/>
  <c r="A103" i="14702"/>
  <c r="A91" i="14701"/>
  <c r="A92" i="14701"/>
  <c r="A93" i="14701"/>
  <c r="A94" i="14701"/>
  <c r="A95" i="14701"/>
  <c r="A96" i="14701"/>
  <c r="A97" i="14701"/>
  <c r="A98" i="14701"/>
  <c r="A99" i="14701"/>
  <c r="A100" i="14701"/>
  <c r="A101" i="14701"/>
  <c r="A102" i="14701"/>
  <c r="A103" i="14701"/>
  <c r="A91" i="14700"/>
  <c r="A92" i="14700"/>
  <c r="A93" i="14700"/>
  <c r="A94" i="14700"/>
  <c r="A95" i="14700"/>
  <c r="A96" i="14700"/>
  <c r="A97" i="14700"/>
  <c r="A98" i="14700"/>
  <c r="A99" i="14700"/>
  <c r="A100" i="14700"/>
  <c r="A101" i="14700"/>
  <c r="A102" i="14700"/>
  <c r="A103" i="14700"/>
  <c r="A91" i="14703"/>
  <c r="A92" i="14703"/>
  <c r="A93" i="14703"/>
  <c r="A94" i="14703"/>
  <c r="A95" i="14703"/>
  <c r="A96" i="14703"/>
  <c r="A97" i="14703"/>
  <c r="A98" i="14703"/>
  <c r="A99" i="14703"/>
  <c r="A100" i="14703"/>
  <c r="A101" i="14703"/>
  <c r="A102" i="14703"/>
  <c r="A103" i="14703"/>
  <c r="A2" i="14704"/>
  <c r="F24" i="14665"/>
  <c r="K109" i="14701" s="1"/>
  <c r="A111" i="14704"/>
  <c r="A112" i="14704"/>
  <c r="A113" i="14704"/>
  <c r="A114" i="14704"/>
  <c r="A115" i="14704"/>
  <c r="A116" i="14704"/>
  <c r="A117" i="14704"/>
  <c r="A118" i="14704"/>
  <c r="A119" i="14704"/>
  <c r="A120" i="14704"/>
  <c r="A121" i="14704"/>
  <c r="A122" i="14704"/>
  <c r="A123" i="14704"/>
  <c r="A129" i="14704"/>
  <c r="A130" i="14704"/>
  <c r="A131" i="14704"/>
  <c r="A132" i="14704"/>
  <c r="A133" i="14704"/>
  <c r="A134" i="14704"/>
  <c r="A135" i="14704"/>
  <c r="A136" i="14704"/>
  <c r="A137" i="14704"/>
  <c r="A138" i="14704"/>
  <c r="A139" i="14704"/>
  <c r="A140" i="14704"/>
  <c r="A141" i="14704"/>
  <c r="A147" i="14704"/>
  <c r="A148" i="14704"/>
  <c r="A149" i="14704"/>
  <c r="A150" i="14704"/>
  <c r="A151" i="14704"/>
  <c r="A152" i="14704"/>
  <c r="A153" i="14704"/>
  <c r="A154" i="14704"/>
  <c r="A155" i="14704"/>
  <c r="A156" i="14704"/>
  <c r="A157" i="14704"/>
  <c r="A158" i="14704"/>
  <c r="A159" i="14704"/>
  <c r="A165" i="14704"/>
  <c r="A166" i="14704"/>
  <c r="A167" i="14704"/>
  <c r="A168" i="14704"/>
  <c r="A169" i="14704"/>
  <c r="A170" i="14704"/>
  <c r="A171" i="14704"/>
  <c r="A172" i="14704"/>
  <c r="A173" i="14704"/>
  <c r="A174" i="14704"/>
  <c r="A175" i="14704"/>
  <c r="A176" i="14704"/>
  <c r="A177" i="14704"/>
  <c r="A183" i="14704"/>
  <c r="A184" i="14704"/>
  <c r="A185" i="14704"/>
  <c r="A186" i="14704"/>
  <c r="A187" i="14704"/>
  <c r="A188" i="14704"/>
  <c r="A189" i="14704"/>
  <c r="A190" i="14704"/>
  <c r="A191" i="14704"/>
  <c r="A192" i="14704"/>
  <c r="A193" i="14704"/>
  <c r="A194" i="14704"/>
  <c r="A195" i="14704"/>
  <c r="A201" i="14704"/>
  <c r="A202" i="14704"/>
  <c r="A203" i="14704"/>
  <c r="A204" i="14704"/>
  <c r="A205" i="14704"/>
  <c r="A206" i="14704"/>
  <c r="A207" i="14704"/>
  <c r="A208" i="14704"/>
  <c r="A209" i="14704"/>
  <c r="A210" i="14704"/>
  <c r="A211" i="14704"/>
  <c r="A212" i="14704"/>
  <c r="A213" i="14704"/>
  <c r="A219" i="14704"/>
  <c r="A220" i="14704"/>
  <c r="A221" i="14704"/>
  <c r="A222" i="14704"/>
  <c r="A223" i="14704"/>
  <c r="A224" i="14704"/>
  <c r="A225" i="14704"/>
  <c r="A226" i="14704"/>
  <c r="A227" i="14704"/>
  <c r="A228" i="14704"/>
  <c r="A229" i="14704"/>
  <c r="A230" i="14704"/>
  <c r="A231" i="14704"/>
  <c r="A237" i="14704"/>
  <c r="A238" i="14704"/>
  <c r="A239" i="14704"/>
  <c r="A240" i="14704"/>
  <c r="A241" i="14704"/>
  <c r="A242" i="14704"/>
  <c r="A243" i="14704"/>
  <c r="A244" i="14704"/>
  <c r="A245" i="14704"/>
  <c r="A246" i="14704"/>
  <c r="A247" i="14704"/>
  <c r="A248" i="14704"/>
  <c r="A249" i="14704"/>
  <c r="G4" i="14685"/>
  <c r="H55" i="14647"/>
  <c r="G55" i="14647"/>
  <c r="G73" i="14647" s="1"/>
  <c r="G88" i="14647" s="1"/>
  <c r="F55" i="14647"/>
  <c r="F73" i="14647" s="1"/>
  <c r="E55" i="14647"/>
  <c r="D55" i="14647"/>
  <c r="D73" i="14647" s="1"/>
  <c r="D88" i="14647" s="1"/>
  <c r="A249" i="14700"/>
  <c r="A248" i="14700"/>
  <c r="A247" i="14700"/>
  <c r="A246" i="14700"/>
  <c r="A245" i="14700"/>
  <c r="A244" i="14700"/>
  <c r="A243" i="14700"/>
  <c r="A242" i="14700"/>
  <c r="A241" i="14700"/>
  <c r="A240" i="14700"/>
  <c r="A239" i="14700"/>
  <c r="A238" i="14700"/>
  <c r="A237" i="14700"/>
  <c r="A231" i="14700"/>
  <c r="A230" i="14700"/>
  <c r="A229" i="14700"/>
  <c r="A228" i="14700"/>
  <c r="A227" i="14700"/>
  <c r="A226" i="14700"/>
  <c r="A225" i="14700"/>
  <c r="A224" i="14700"/>
  <c r="A223" i="14700"/>
  <c r="A222" i="14700"/>
  <c r="A221" i="14700"/>
  <c r="A220" i="14700"/>
  <c r="A219" i="14700"/>
  <c r="A213" i="14700"/>
  <c r="A212" i="14700"/>
  <c r="A211" i="14700"/>
  <c r="A210" i="14700"/>
  <c r="A209" i="14700"/>
  <c r="A208" i="14700"/>
  <c r="A207" i="14700"/>
  <c r="A206" i="14700"/>
  <c r="A205" i="14700"/>
  <c r="A204" i="14700"/>
  <c r="A203" i="14700"/>
  <c r="A202" i="14700"/>
  <c r="A201" i="14700"/>
  <c r="A195" i="14700"/>
  <c r="A194" i="14700"/>
  <c r="A193" i="14700"/>
  <c r="A192" i="14700"/>
  <c r="A191" i="14700"/>
  <c r="A190" i="14700"/>
  <c r="A189" i="14700"/>
  <c r="A188" i="14700"/>
  <c r="A187" i="14700"/>
  <c r="A186" i="14700"/>
  <c r="A185" i="14700"/>
  <c r="A184" i="14700"/>
  <c r="A183" i="14700"/>
  <c r="A177" i="14700"/>
  <c r="A176" i="14700"/>
  <c r="A175" i="14700"/>
  <c r="A174" i="14700"/>
  <c r="A173" i="14700"/>
  <c r="A172" i="14700"/>
  <c r="A171" i="14700"/>
  <c r="A170" i="14700"/>
  <c r="A169" i="14700"/>
  <c r="A168" i="14700"/>
  <c r="A167" i="14700"/>
  <c r="A166" i="14700"/>
  <c r="A165" i="14700"/>
  <c r="A159" i="14700"/>
  <c r="A158" i="14700"/>
  <c r="A157" i="14700"/>
  <c r="A156" i="14700"/>
  <c r="A155" i="14700"/>
  <c r="A154" i="14700"/>
  <c r="A153" i="14700"/>
  <c r="A152" i="14700"/>
  <c r="A151" i="14700"/>
  <c r="A150" i="14700"/>
  <c r="A149" i="14700"/>
  <c r="A148" i="14700"/>
  <c r="A147" i="14700"/>
  <c r="A141" i="14700"/>
  <c r="A140" i="14700"/>
  <c r="A139" i="14700"/>
  <c r="A138" i="14700"/>
  <c r="A137" i="14700"/>
  <c r="A136" i="14700"/>
  <c r="A135" i="14700"/>
  <c r="A134" i="14700"/>
  <c r="A133" i="14700"/>
  <c r="A132" i="14700"/>
  <c r="A131" i="14700"/>
  <c r="A130" i="14700"/>
  <c r="A129" i="14700"/>
  <c r="A123" i="14700"/>
  <c r="A122" i="14700"/>
  <c r="A121" i="14700"/>
  <c r="A120" i="14700"/>
  <c r="A119" i="14700"/>
  <c r="A118" i="14700"/>
  <c r="A117" i="14700"/>
  <c r="A116" i="14700"/>
  <c r="A115" i="14700"/>
  <c r="A114" i="14700"/>
  <c r="A113" i="14700"/>
  <c r="A112" i="14700"/>
  <c r="A111" i="14700"/>
  <c r="A249" i="14701"/>
  <c r="A248" i="14701"/>
  <c r="A247" i="14701"/>
  <c r="A246" i="14701"/>
  <c r="A245" i="14701"/>
  <c r="A244" i="14701"/>
  <c r="A243" i="14701"/>
  <c r="A242" i="14701"/>
  <c r="A241" i="14701"/>
  <c r="A240" i="14701"/>
  <c r="A239" i="14701"/>
  <c r="A238" i="14701"/>
  <c r="A237" i="14701"/>
  <c r="A231" i="14701"/>
  <c r="A230" i="14701"/>
  <c r="A229" i="14701"/>
  <c r="A228" i="14701"/>
  <c r="A227" i="14701"/>
  <c r="A226" i="14701"/>
  <c r="A225" i="14701"/>
  <c r="A224" i="14701"/>
  <c r="A223" i="14701"/>
  <c r="A222" i="14701"/>
  <c r="A221" i="14701"/>
  <c r="A220" i="14701"/>
  <c r="A219" i="14701"/>
  <c r="A213" i="14701"/>
  <c r="A212" i="14701"/>
  <c r="A211" i="14701"/>
  <c r="A210" i="14701"/>
  <c r="A209" i="14701"/>
  <c r="A208" i="14701"/>
  <c r="A207" i="14701"/>
  <c r="A206" i="14701"/>
  <c r="A205" i="14701"/>
  <c r="A204" i="14701"/>
  <c r="A203" i="14701"/>
  <c r="A202" i="14701"/>
  <c r="A201" i="14701"/>
  <c r="A195" i="14701"/>
  <c r="A194" i="14701"/>
  <c r="A193" i="14701"/>
  <c r="A192" i="14701"/>
  <c r="A191" i="14701"/>
  <c r="A190" i="14701"/>
  <c r="A189" i="14701"/>
  <c r="A188" i="14701"/>
  <c r="A187" i="14701"/>
  <c r="A186" i="14701"/>
  <c r="A185" i="14701"/>
  <c r="A184" i="14701"/>
  <c r="A183" i="14701"/>
  <c r="A177" i="14701"/>
  <c r="A176" i="14701"/>
  <c r="A175" i="14701"/>
  <c r="A174" i="14701"/>
  <c r="A173" i="14701"/>
  <c r="A172" i="14701"/>
  <c r="A171" i="14701"/>
  <c r="A170" i="14701"/>
  <c r="A169" i="14701"/>
  <c r="A168" i="14701"/>
  <c r="A167" i="14701"/>
  <c r="A166" i="14701"/>
  <c r="A165" i="14701"/>
  <c r="A159" i="14701"/>
  <c r="A158" i="14701"/>
  <c r="A157" i="14701"/>
  <c r="A156" i="14701"/>
  <c r="A155" i="14701"/>
  <c r="A154" i="14701"/>
  <c r="A153" i="14701"/>
  <c r="A152" i="14701"/>
  <c r="A151" i="14701"/>
  <c r="A150" i="14701"/>
  <c r="A149" i="14701"/>
  <c r="A148" i="14701"/>
  <c r="A147" i="14701"/>
  <c r="A141" i="14701"/>
  <c r="A140" i="14701"/>
  <c r="A139" i="14701"/>
  <c r="A138" i="14701"/>
  <c r="A137" i="14701"/>
  <c r="A136" i="14701"/>
  <c r="A135" i="14701"/>
  <c r="A134" i="14701"/>
  <c r="A133" i="14701"/>
  <c r="A132" i="14701"/>
  <c r="A131" i="14701"/>
  <c r="A130" i="14701"/>
  <c r="A129" i="14701"/>
  <c r="A123" i="14701"/>
  <c r="A122" i="14701"/>
  <c r="A121" i="14701"/>
  <c r="A120" i="14701"/>
  <c r="A119" i="14701"/>
  <c r="A118" i="14701"/>
  <c r="A117" i="14701"/>
  <c r="A116" i="14701"/>
  <c r="A115" i="14701"/>
  <c r="A114" i="14701"/>
  <c r="A113" i="14701"/>
  <c r="A112" i="14701"/>
  <c r="A111" i="14701"/>
  <c r="A249" i="14702"/>
  <c r="A248" i="14702"/>
  <c r="A247" i="14702"/>
  <c r="A246" i="14702"/>
  <c r="A245" i="14702"/>
  <c r="A244" i="14702"/>
  <c r="A243" i="14702"/>
  <c r="A242" i="14702"/>
  <c r="A241" i="14702"/>
  <c r="A240" i="14702"/>
  <c r="A239" i="14702"/>
  <c r="A238" i="14702"/>
  <c r="A237" i="14702"/>
  <c r="A231" i="14702"/>
  <c r="A230" i="14702"/>
  <c r="A229" i="14702"/>
  <c r="A228" i="14702"/>
  <c r="A227" i="14702"/>
  <c r="A226" i="14702"/>
  <c r="A225" i="14702"/>
  <c r="A224" i="14702"/>
  <c r="A223" i="14702"/>
  <c r="A222" i="14702"/>
  <c r="A221" i="14702"/>
  <c r="A220" i="14702"/>
  <c r="A219" i="14702"/>
  <c r="A213" i="14702"/>
  <c r="A212" i="14702"/>
  <c r="A211" i="14702"/>
  <c r="A210" i="14702"/>
  <c r="A209" i="14702"/>
  <c r="A208" i="14702"/>
  <c r="A207" i="14702"/>
  <c r="A206" i="14702"/>
  <c r="A205" i="14702"/>
  <c r="A204" i="14702"/>
  <c r="A203" i="14702"/>
  <c r="A202" i="14702"/>
  <c r="A201" i="14702"/>
  <c r="A195" i="14702"/>
  <c r="A194" i="14702"/>
  <c r="A193" i="14702"/>
  <c r="A192" i="14702"/>
  <c r="A191" i="14702"/>
  <c r="A190" i="14702"/>
  <c r="A189" i="14702"/>
  <c r="A188" i="14702"/>
  <c r="A187" i="14702"/>
  <c r="A186" i="14702"/>
  <c r="A185" i="14702"/>
  <c r="A184" i="14702"/>
  <c r="A183" i="14702"/>
  <c r="A177" i="14702"/>
  <c r="A176" i="14702"/>
  <c r="A175" i="14702"/>
  <c r="A174" i="14702"/>
  <c r="A173" i="14702"/>
  <c r="A172" i="14702"/>
  <c r="A171" i="14702"/>
  <c r="A170" i="14702"/>
  <c r="A169" i="14702"/>
  <c r="A168" i="14702"/>
  <c r="A167" i="14702"/>
  <c r="A166" i="14702"/>
  <c r="A165" i="14702"/>
  <c r="A159" i="14702"/>
  <c r="A158" i="14702"/>
  <c r="A157" i="14702"/>
  <c r="A156" i="14702"/>
  <c r="A155" i="14702"/>
  <c r="A154" i="14702"/>
  <c r="A153" i="14702"/>
  <c r="A152" i="14702"/>
  <c r="A151" i="14702"/>
  <c r="A150" i="14702"/>
  <c r="A149" i="14702"/>
  <c r="A148" i="14702"/>
  <c r="A147" i="14702"/>
  <c r="A141" i="14702"/>
  <c r="A140" i="14702"/>
  <c r="A139" i="14702"/>
  <c r="A138" i="14702"/>
  <c r="A137" i="14702"/>
  <c r="A136" i="14702"/>
  <c r="A135" i="14702"/>
  <c r="A134" i="14702"/>
  <c r="A133" i="14702"/>
  <c r="A132" i="14702"/>
  <c r="A131" i="14702"/>
  <c r="A130" i="14702"/>
  <c r="A129" i="14702"/>
  <c r="A123" i="14702"/>
  <c r="A122" i="14702"/>
  <c r="A121" i="14702"/>
  <c r="A120" i="14702"/>
  <c r="A119" i="14702"/>
  <c r="A118" i="14702"/>
  <c r="A117" i="14702"/>
  <c r="A116" i="14702"/>
  <c r="A115" i="14702"/>
  <c r="A114" i="14702"/>
  <c r="A113" i="14702"/>
  <c r="A112" i="14702"/>
  <c r="A111" i="14702"/>
  <c r="A249" i="14698"/>
  <c r="A248" i="14698"/>
  <c r="A247" i="14698"/>
  <c r="A246" i="14698"/>
  <c r="A245" i="14698"/>
  <c r="A244" i="14698"/>
  <c r="A243" i="14698"/>
  <c r="A242" i="14698"/>
  <c r="A241" i="14698"/>
  <c r="A240" i="14698"/>
  <c r="A239" i="14698"/>
  <c r="A238" i="14698"/>
  <c r="A237" i="14698"/>
  <c r="A231" i="14698"/>
  <c r="A230" i="14698"/>
  <c r="A229" i="14698"/>
  <c r="A228" i="14698"/>
  <c r="A227" i="14698"/>
  <c r="A226" i="14698"/>
  <c r="A225" i="14698"/>
  <c r="A224" i="14698"/>
  <c r="A223" i="14698"/>
  <c r="A222" i="14698"/>
  <c r="A221" i="14698"/>
  <c r="A220" i="14698"/>
  <c r="A219" i="14698"/>
  <c r="A213" i="14698"/>
  <c r="A212" i="14698"/>
  <c r="A211" i="14698"/>
  <c r="A210" i="14698"/>
  <c r="A209" i="14698"/>
  <c r="A208" i="14698"/>
  <c r="A207" i="14698"/>
  <c r="A206" i="14698"/>
  <c r="A205" i="14698"/>
  <c r="A204" i="14698"/>
  <c r="A203" i="14698"/>
  <c r="A202" i="14698"/>
  <c r="A201" i="14698"/>
  <c r="A195" i="14698"/>
  <c r="A194" i="14698"/>
  <c r="A193" i="14698"/>
  <c r="A192" i="14698"/>
  <c r="A191" i="14698"/>
  <c r="A190" i="14698"/>
  <c r="A189" i="14698"/>
  <c r="A188" i="14698"/>
  <c r="A187" i="14698"/>
  <c r="A186" i="14698"/>
  <c r="A185" i="14698"/>
  <c r="A184" i="14698"/>
  <c r="A183" i="14698"/>
  <c r="A177" i="14698"/>
  <c r="A176" i="14698"/>
  <c r="A175" i="14698"/>
  <c r="A174" i="14698"/>
  <c r="A173" i="14698"/>
  <c r="A172" i="14698"/>
  <c r="A171" i="14698"/>
  <c r="A170" i="14698"/>
  <c r="A169" i="14698"/>
  <c r="A168" i="14698"/>
  <c r="A167" i="14698"/>
  <c r="A166" i="14698"/>
  <c r="A165" i="14698"/>
  <c r="A159" i="14698"/>
  <c r="A158" i="14698"/>
  <c r="A157" i="14698"/>
  <c r="A156" i="14698"/>
  <c r="A155" i="14698"/>
  <c r="A154" i="14698"/>
  <c r="A153" i="14698"/>
  <c r="A152" i="14698"/>
  <c r="A151" i="14698"/>
  <c r="A150" i="14698"/>
  <c r="A149" i="14698"/>
  <c r="A148" i="14698"/>
  <c r="A147" i="14698"/>
  <c r="A141" i="14698"/>
  <c r="A140" i="14698"/>
  <c r="A139" i="14698"/>
  <c r="A138" i="14698"/>
  <c r="A137" i="14698"/>
  <c r="A136" i="14698"/>
  <c r="A135" i="14698"/>
  <c r="A134" i="14698"/>
  <c r="A133" i="14698"/>
  <c r="A132" i="14698"/>
  <c r="A131" i="14698"/>
  <c r="A130" i="14698"/>
  <c r="A129" i="14698"/>
  <c r="A123" i="14698"/>
  <c r="A122" i="14698"/>
  <c r="A121" i="14698"/>
  <c r="A120" i="14698"/>
  <c r="A119" i="14698"/>
  <c r="A118" i="14698"/>
  <c r="A117" i="14698"/>
  <c r="A116" i="14698"/>
  <c r="A115" i="14698"/>
  <c r="A114" i="14698"/>
  <c r="A113" i="14698"/>
  <c r="A112" i="14698"/>
  <c r="A111" i="14698"/>
  <c r="I109" i="14703"/>
  <c r="A249" i="14703"/>
  <c r="A248" i="14703"/>
  <c r="A247" i="14703"/>
  <c r="A246" i="14703"/>
  <c r="A245" i="14703"/>
  <c r="A244" i="14703"/>
  <c r="A243" i="14703"/>
  <c r="A242" i="14703"/>
  <c r="A241" i="14703"/>
  <c r="A240" i="14703"/>
  <c r="A239" i="14703"/>
  <c r="A238" i="14703"/>
  <c r="A237" i="14703"/>
  <c r="A231" i="14703"/>
  <c r="A230" i="14703"/>
  <c r="A229" i="14703"/>
  <c r="A228" i="14703"/>
  <c r="A227" i="14703"/>
  <c r="A226" i="14703"/>
  <c r="A225" i="14703"/>
  <c r="A224" i="14703"/>
  <c r="A223" i="14703"/>
  <c r="A222" i="14703"/>
  <c r="A221" i="14703"/>
  <c r="A220" i="14703"/>
  <c r="A219" i="14703"/>
  <c r="A213" i="14703"/>
  <c r="A212" i="14703"/>
  <c r="A211" i="14703"/>
  <c r="A210" i="14703"/>
  <c r="A209" i="14703"/>
  <c r="A208" i="14703"/>
  <c r="A207" i="14703"/>
  <c r="A206" i="14703"/>
  <c r="A205" i="14703"/>
  <c r="A204" i="14703"/>
  <c r="A203" i="14703"/>
  <c r="A202" i="14703"/>
  <c r="A201" i="14703"/>
  <c r="A195" i="14703"/>
  <c r="A194" i="14703"/>
  <c r="A193" i="14703"/>
  <c r="A192" i="14703"/>
  <c r="A191" i="14703"/>
  <c r="A190" i="14703"/>
  <c r="A189" i="14703"/>
  <c r="A188" i="14703"/>
  <c r="A187" i="14703"/>
  <c r="A186" i="14703"/>
  <c r="A185" i="14703"/>
  <c r="A184" i="14703"/>
  <c r="A183" i="14703"/>
  <c r="A177" i="14703"/>
  <c r="A176" i="14703"/>
  <c r="A175" i="14703"/>
  <c r="A174" i="14703"/>
  <c r="A173" i="14703"/>
  <c r="A172" i="14703"/>
  <c r="A171" i="14703"/>
  <c r="A170" i="14703"/>
  <c r="A169" i="14703"/>
  <c r="A168" i="14703"/>
  <c r="A167" i="14703"/>
  <c r="A166" i="14703"/>
  <c r="A165" i="14703"/>
  <c r="A159" i="14703"/>
  <c r="A158" i="14703"/>
  <c r="A157" i="14703"/>
  <c r="A156" i="14703"/>
  <c r="A155" i="14703"/>
  <c r="A154" i="14703"/>
  <c r="A153" i="14703"/>
  <c r="A152" i="14703"/>
  <c r="A151" i="14703"/>
  <c r="A150" i="14703"/>
  <c r="A149" i="14703"/>
  <c r="A148" i="14703"/>
  <c r="A147" i="14703"/>
  <c r="A141" i="14703"/>
  <c r="A140" i="14703"/>
  <c r="A139" i="14703"/>
  <c r="A138" i="14703"/>
  <c r="A137" i="14703"/>
  <c r="A136" i="14703"/>
  <c r="A135" i="14703"/>
  <c r="A134" i="14703"/>
  <c r="A133" i="14703"/>
  <c r="A132" i="14703"/>
  <c r="A131" i="14703"/>
  <c r="A130" i="14703"/>
  <c r="A129" i="14703"/>
  <c r="A123" i="14703"/>
  <c r="A122" i="14703"/>
  <c r="A121" i="14703"/>
  <c r="A120" i="14703"/>
  <c r="A119" i="14703"/>
  <c r="A118" i="14703"/>
  <c r="A117" i="14703"/>
  <c r="A116" i="14703"/>
  <c r="A115" i="14703"/>
  <c r="A114" i="14703"/>
  <c r="A113" i="14703"/>
  <c r="A112" i="14703"/>
  <c r="A111" i="14703"/>
  <c r="A64" i="14622"/>
  <c r="B64" i="14622"/>
  <c r="A65" i="14622"/>
  <c r="B65" i="14622"/>
  <c r="A66" i="14622"/>
  <c r="B66" i="14622"/>
  <c r="B63" i="14622"/>
  <c r="A63" i="14622"/>
  <c r="A107" i="14665"/>
  <c r="B107" i="14665"/>
  <c r="A108" i="14665"/>
  <c r="B108" i="14665"/>
  <c r="A109" i="14665"/>
  <c r="B109" i="14665"/>
  <c r="B106" i="14665"/>
  <c r="A106" i="14665"/>
  <c r="A2" i="14703"/>
  <c r="B86" i="14665"/>
  <c r="B85" i="14665"/>
  <c r="A2" i="14702"/>
  <c r="A2" i="14701"/>
  <c r="A2" i="14700"/>
  <c r="A2" i="14699"/>
  <c r="B45" i="14652"/>
  <c r="I45" i="14652" s="1"/>
  <c r="K45" i="14652" s="1"/>
  <c r="D8" i="14647"/>
  <c r="H8" i="14647"/>
  <c r="H25" i="14647" s="1"/>
  <c r="H40" i="14647" s="1"/>
  <c r="A2" i="14698"/>
  <c r="E7" i="14652"/>
  <c r="A102" i="14665"/>
  <c r="C6" i="14686"/>
  <c r="C7" i="14686"/>
  <c r="D7" i="14686" s="1"/>
  <c r="E7" i="14686" s="1"/>
  <c r="F7" i="14686" s="1"/>
  <c r="C8" i="14686"/>
  <c r="D8" i="14686" s="1"/>
  <c r="E8" i="14686" s="1"/>
  <c r="C9" i="14686"/>
  <c r="D9" i="14686" s="1"/>
  <c r="E9" i="14686" s="1"/>
  <c r="F9" i="14686" s="1"/>
  <c r="C10" i="14686"/>
  <c r="D10" i="14686" s="1"/>
  <c r="E10" i="14686" s="1"/>
  <c r="F10" i="14686" s="1"/>
  <c r="C11" i="14686"/>
  <c r="D11" i="14686" s="1"/>
  <c r="E11" i="14686" s="1"/>
  <c r="F11" i="14686" s="1"/>
  <c r="C12" i="14686"/>
  <c r="D12" i="14686" s="1"/>
  <c r="E12" i="14686" s="1"/>
  <c r="F12" i="14686" s="1"/>
  <c r="C13" i="14686"/>
  <c r="D13" i="14686" s="1"/>
  <c r="E13" i="14686" s="1"/>
  <c r="F13" i="14686" s="1"/>
  <c r="C25" i="14686"/>
  <c r="D25" i="14686" s="1"/>
  <c r="E25" i="14686" s="1"/>
  <c r="F25" i="14686" s="1"/>
  <c r="C26" i="14686"/>
  <c r="D26" i="14686" s="1"/>
  <c r="E26" i="14686" s="1"/>
  <c r="F26" i="14686" s="1"/>
  <c r="A24" i="14686"/>
  <c r="A25" i="14686"/>
  <c r="A26" i="14686"/>
  <c r="C24" i="14686"/>
  <c r="D24" i="14686" s="1"/>
  <c r="E24" i="14686" s="1"/>
  <c r="F24" i="14686" s="1"/>
  <c r="C20" i="14686"/>
  <c r="C21" i="14686"/>
  <c r="C22" i="14686"/>
  <c r="C23" i="14686"/>
  <c r="D23" i="14686" s="1"/>
  <c r="E23" i="14686" s="1"/>
  <c r="F23" i="14686" s="1"/>
  <c r="C54" i="14686"/>
  <c r="D54" i="14686" s="1"/>
  <c r="E54" i="14686" s="1"/>
  <c r="C44" i="14686"/>
  <c r="D44" i="14686" s="1"/>
  <c r="E44" i="14686" s="1"/>
  <c r="F44" i="14686" s="1"/>
  <c r="C43" i="14686"/>
  <c r="D43" i="14686" s="1"/>
  <c r="E43" i="14686" s="1"/>
  <c r="B14" i="14686"/>
  <c r="B33" i="14649"/>
  <c r="B23" i="14696"/>
  <c r="B25" i="14696" s="1"/>
  <c r="B27" i="14696" s="1"/>
  <c r="C61" i="14690"/>
  <c r="D61" i="14690"/>
  <c r="C15" i="14695"/>
  <c r="D15" i="14695"/>
  <c r="C71" i="14690"/>
  <c r="D71" i="14690"/>
  <c r="C34" i="14690"/>
  <c r="B13" i="14648"/>
  <c r="I29" i="4129"/>
  <c r="J30" i="4129" s="1"/>
  <c r="D5" i="14681" s="1"/>
  <c r="A34" i="14662"/>
  <c r="B31" i="14696"/>
  <c r="E7" i="14661"/>
  <c r="F7" i="14661"/>
  <c r="D10" i="14689"/>
  <c r="G7" i="14661"/>
  <c r="E10" i="14689"/>
  <c r="H7" i="14661"/>
  <c r="F10" i="14689"/>
  <c r="B85" i="14648"/>
  <c r="B14" i="14648"/>
  <c r="B29" i="14648" s="1"/>
  <c r="B44" i="14648" s="1"/>
  <c r="B59" i="14648" s="1"/>
  <c r="B74" i="14648" s="1"/>
  <c r="B12" i="14648"/>
  <c r="E51" i="14690"/>
  <c r="F51" i="14690" s="1"/>
  <c r="A2" i="14696"/>
  <c r="B70" i="14684"/>
  <c r="E52" i="14690"/>
  <c r="F52" i="14690" s="1"/>
  <c r="B43" i="14648" s="1"/>
  <c r="B25" i="4129"/>
  <c r="C11" i="14690" s="1"/>
  <c r="E35" i="14690"/>
  <c r="A23" i="14662"/>
  <c r="A24" i="14662" s="1"/>
  <c r="A25" i="14662" s="1"/>
  <c r="A26" i="14662" s="1"/>
  <c r="A27" i="14662" s="1"/>
  <c r="A8" i="14662"/>
  <c r="A9" i="14662" s="1"/>
  <c r="A10" i="14662" s="1"/>
  <c r="A12" i="14662"/>
  <c r="A22" i="14662"/>
  <c r="A29" i="14662"/>
  <c r="A30" i="14662" s="1"/>
  <c r="A31" i="14662" s="1"/>
  <c r="A32" i="14662" s="1"/>
  <c r="A33" i="14662" s="1"/>
  <c r="E61" i="14690"/>
  <c r="F61" i="14690"/>
  <c r="G61" i="14690"/>
  <c r="H61" i="14690"/>
  <c r="E71" i="14690"/>
  <c r="F71" i="14690"/>
  <c r="G71" i="14690"/>
  <c r="H71" i="14690"/>
  <c r="C12" i="14622"/>
  <c r="B43" i="14622" s="1" a="1"/>
  <c r="B43" i="14622" s="1"/>
  <c r="H7" i="14647"/>
  <c r="H24" i="14647" s="1"/>
  <c r="H39" i="14647" s="1"/>
  <c r="G7" i="14647"/>
  <c r="F7" i="14647"/>
  <c r="F24" i="14647" s="1"/>
  <c r="F39" i="14647" s="1"/>
  <c r="F8" i="14647"/>
  <c r="F25" i="14647"/>
  <c r="F40" i="14647" s="1"/>
  <c r="C8" i="14647"/>
  <c r="C25" i="14647" s="1"/>
  <c r="C40" i="14647" s="1"/>
  <c r="E56" i="14647"/>
  <c r="D56" i="14647"/>
  <c r="D74" i="14647" s="1"/>
  <c r="D89" i="14647" s="1"/>
  <c r="C55" i="14647"/>
  <c r="C73" i="14647"/>
  <c r="C88" i="14647" s="1"/>
  <c r="C56" i="14647"/>
  <c r="D18" i="14665"/>
  <c r="E18" i="14665" s="1"/>
  <c r="F18" i="14665" s="1"/>
  <c r="E60" i="14690"/>
  <c r="F60" i="14690" s="1"/>
  <c r="G60" i="14690" s="1"/>
  <c r="H60" i="14690" s="1"/>
  <c r="E58" i="14690"/>
  <c r="F58" i="14690" s="1"/>
  <c r="G58" i="14690" s="1"/>
  <c r="H58" i="14690" s="1"/>
  <c r="E70" i="14690"/>
  <c r="E69" i="14690"/>
  <c r="F69" i="14690" s="1"/>
  <c r="G69" i="14690" s="1"/>
  <c r="H69" i="14690" s="1"/>
  <c r="D42" i="14665"/>
  <c r="E42" i="14665" s="1"/>
  <c r="F42" i="14665" s="1"/>
  <c r="N64" i="14645"/>
  <c r="N74" i="14645"/>
  <c r="N84" i="14645"/>
  <c r="N94" i="14645"/>
  <c r="N104" i="14645"/>
  <c r="D65" i="14690"/>
  <c r="E81" i="14649" s="1"/>
  <c r="E36" i="14690"/>
  <c r="E32" i="14690"/>
  <c r="B39" i="14645"/>
  <c r="N39" i="14645" s="1"/>
  <c r="B86" i="14645"/>
  <c r="C86" i="14645"/>
  <c r="D86" i="14645"/>
  <c r="E86" i="14645"/>
  <c r="F86" i="14645"/>
  <c r="G86" i="14645"/>
  <c r="I86" i="14645"/>
  <c r="J86" i="14645"/>
  <c r="K86" i="14645"/>
  <c r="L86" i="14645"/>
  <c r="B50" i="14645"/>
  <c r="N50" i="14645" s="1"/>
  <c r="E33" i="14690"/>
  <c r="F33" i="14690"/>
  <c r="G33" i="14690" s="1"/>
  <c r="H33" i="14690" s="1"/>
  <c r="C42" i="14690" s="1" a="1"/>
  <c r="E42" i="14690" s="1"/>
  <c r="G32" i="14690"/>
  <c r="H32" i="14690" s="1"/>
  <c r="B96" i="14645"/>
  <c r="C96" i="14645"/>
  <c r="D96" i="14645"/>
  <c r="E96" i="14645"/>
  <c r="F96" i="14645"/>
  <c r="G96" i="14645"/>
  <c r="I96" i="14645"/>
  <c r="J96" i="14645"/>
  <c r="K96" i="14645"/>
  <c r="L96" i="14645"/>
  <c r="A24" i="14695"/>
  <c r="A24" i="14694"/>
  <c r="A31" i="14694" s="1" a="1"/>
  <c r="A32" i="14694" s="1"/>
  <c r="C64" i="14690"/>
  <c r="D64" i="14690"/>
  <c r="E64" i="14690"/>
  <c r="F64" i="14690"/>
  <c r="G64" i="14690"/>
  <c r="H64" i="14690"/>
  <c r="A2" i="14695"/>
  <c r="A2" i="14694"/>
  <c r="D23" i="14690"/>
  <c r="D21" i="14690"/>
  <c r="A2" i="14693"/>
  <c r="B46" i="14652"/>
  <c r="I46" i="14652"/>
  <c r="K46" i="14652" s="1"/>
  <c r="B57" i="14652"/>
  <c r="I57" i="14652" s="1"/>
  <c r="K57" i="14652" s="1"/>
  <c r="F88" i="14647"/>
  <c r="C29" i="14705"/>
  <c r="A18" i="14683"/>
  <c r="D16" i="14649"/>
  <c r="E16" i="14649"/>
  <c r="F16" i="14649"/>
  <c r="G16" i="14649"/>
  <c r="A3" i="14649"/>
  <c r="B10" i="14649"/>
  <c r="A9" i="14649"/>
  <c r="A2" i="14692"/>
  <c r="C39" i="14686"/>
  <c r="D39" i="14686" s="1"/>
  <c r="E39" i="14686" s="1"/>
  <c r="F39" i="14686" s="1"/>
  <c r="A2" i="14690"/>
  <c r="B3" i="14649"/>
  <c r="B4" i="14649"/>
  <c r="B6" i="14649"/>
  <c r="B8" i="14649"/>
  <c r="B9" i="14649"/>
  <c r="B91" i="14649"/>
  <c r="A2" i="4128"/>
  <c r="B2" i="14643"/>
  <c r="D38" i="14643"/>
  <c r="A2" i="14684"/>
  <c r="B106" i="14645"/>
  <c r="C106" i="14645"/>
  <c r="D106" i="14645"/>
  <c r="E106" i="14645"/>
  <c r="F106" i="14645"/>
  <c r="G106" i="14645"/>
  <c r="A2" i="14677"/>
  <c r="I106" i="14645"/>
  <c r="J106" i="14645"/>
  <c r="K106" i="14645"/>
  <c r="L106" i="14645"/>
  <c r="O28" i="14677"/>
  <c r="A2" i="14676"/>
  <c r="O28" i="14676"/>
  <c r="A2" i="14641"/>
  <c r="O28" i="14641"/>
  <c r="A2" i="14633"/>
  <c r="O28" i="14633"/>
  <c r="A2" i="14625"/>
  <c r="O28" i="14625"/>
  <c r="A2" i="14648"/>
  <c r="O86" i="14648"/>
  <c r="O91" i="14648"/>
  <c r="O96" i="14648"/>
  <c r="O101" i="14648"/>
  <c r="O106" i="14648"/>
  <c r="A2" i="14682"/>
  <c r="A22" i="14686"/>
  <c r="A23" i="14686"/>
  <c r="A2" i="7"/>
  <c r="A30" i="14628"/>
  <c r="B30" i="14674"/>
  <c r="O7" i="14628"/>
  <c r="A2" i="14673"/>
  <c r="A2" i="14672"/>
  <c r="A2" i="14636"/>
  <c r="A2" i="14629"/>
  <c r="A2" i="14624"/>
  <c r="A16" i="14681"/>
  <c r="A25" i="14681"/>
  <c r="A34" i="14681"/>
  <c r="A43" i="14681"/>
  <c r="A2" i="14679"/>
  <c r="P46" i="14679"/>
  <c r="A2" i="14678"/>
  <c r="A2" i="14638"/>
  <c r="P46" i="14638"/>
  <c r="A2" i="14632"/>
  <c r="A2" i="14623"/>
  <c r="K10" i="14657"/>
  <c r="K11" i="14657"/>
  <c r="K12" i="14657"/>
  <c r="A2" i="14659"/>
  <c r="A35" i="14617"/>
  <c r="A2" i="14617"/>
  <c r="A33" i="14683"/>
  <c r="A1" i="14669"/>
  <c r="A2" i="14669"/>
  <c r="A28" i="14669"/>
  <c r="A29" i="14669"/>
  <c r="A1" i="14668"/>
  <c r="A2" i="14668"/>
  <c r="A28" i="14668"/>
  <c r="A29" i="14668"/>
  <c r="A1" i="14671"/>
  <c r="A2" i="14671"/>
  <c r="A1" i="14670"/>
  <c r="A2" i="14670"/>
  <c r="A1" i="14640"/>
  <c r="A2" i="14640"/>
  <c r="A1" i="14631"/>
  <c r="A2" i="14631"/>
  <c r="A2" i="8"/>
  <c r="A1" i="14637"/>
  <c r="A2" i="14637"/>
  <c r="A28" i="14637"/>
  <c r="A29" i="14637"/>
  <c r="A1" i="14630"/>
  <c r="A2" i="14630"/>
  <c r="A28" i="14630"/>
  <c r="A29" i="14630"/>
  <c r="A29" i="7"/>
  <c r="A1" i="14626"/>
  <c r="A1" i="14647"/>
  <c r="A2" i="14653"/>
  <c r="A17" i="14653"/>
  <c r="A30" i="14653" s="1"/>
  <c r="A43" i="14653" s="1"/>
  <c r="A56" i="14653" s="1"/>
  <c r="A69" i="14653" s="1"/>
  <c r="B27" i="14653"/>
  <c r="A3" i="14652"/>
  <c r="A2" i="14655"/>
  <c r="A2" i="14687"/>
  <c r="C4" i="14687"/>
  <c r="A2" i="14686"/>
  <c r="C40" i="14686"/>
  <c r="D40" i="14686" s="1"/>
  <c r="E40" i="14686" s="1"/>
  <c r="F40" i="14686" s="1"/>
  <c r="C41" i="14686"/>
  <c r="D41" i="14686" s="1"/>
  <c r="E41" i="14686" s="1"/>
  <c r="F41" i="14686" s="1"/>
  <c r="C42" i="14686"/>
  <c r="D42" i="14686" s="1"/>
  <c r="E42" i="14686" s="1"/>
  <c r="F42" i="14686" s="1"/>
  <c r="C53" i="14686"/>
  <c r="D53" i="14686" s="1"/>
  <c r="E53" i="14686" s="1"/>
  <c r="F53" i="14686" s="1"/>
  <c r="A2" i="14645"/>
  <c r="N8" i="14645"/>
  <c r="N9" i="14645"/>
  <c r="A15" i="14645"/>
  <c r="A35" i="14645" s="1"/>
  <c r="N18" i="14645"/>
  <c r="N19" i="14645"/>
  <c r="A25" i="14645"/>
  <c r="A46" i="14645" s="1"/>
  <c r="N28" i="14645"/>
  <c r="N29" i="14645"/>
  <c r="N38" i="14645"/>
  <c r="N40" i="14645"/>
  <c r="N49" i="14645"/>
  <c r="N51" i="14645"/>
  <c r="N62" i="14645"/>
  <c r="N63" i="14645"/>
  <c r="A69" i="14645"/>
  <c r="A89" i="14645"/>
  <c r="N72" i="14645"/>
  <c r="A79" i="14645"/>
  <c r="A99" i="14645" s="1"/>
  <c r="N82" i="14645"/>
  <c r="N85" i="14645"/>
  <c r="N92" i="14645"/>
  <c r="N95" i="14645"/>
  <c r="N102" i="14645"/>
  <c r="N105" i="14645"/>
  <c r="A2" i="11"/>
  <c r="A2" i="14667"/>
  <c r="A2" i="14661"/>
  <c r="A44" i="14622"/>
  <c r="A2" i="14689"/>
  <c r="K6" i="14685"/>
  <c r="K7" i="14685"/>
  <c r="K8" i="14685"/>
  <c r="K13" i="14685"/>
  <c r="K14" i="14685"/>
  <c r="K15" i="14685"/>
  <c r="K16" i="14685"/>
  <c r="K17" i="14685"/>
  <c r="K18" i="14685"/>
  <c r="K23" i="14685"/>
  <c r="K24" i="14685"/>
  <c r="K25" i="14685"/>
  <c r="K29" i="14685"/>
  <c r="K30" i="14685"/>
  <c r="K34" i="14685"/>
  <c r="K35" i="14685"/>
  <c r="K36" i="14685"/>
  <c r="K40" i="14685"/>
  <c r="K41" i="14685"/>
  <c r="K42" i="14685"/>
  <c r="K46" i="14685"/>
  <c r="K47" i="14685"/>
  <c r="K48" i="14685"/>
  <c r="K49" i="14685"/>
  <c r="K53" i="14685"/>
  <c r="K54" i="14685"/>
  <c r="K58" i="14685"/>
  <c r="K59" i="14685"/>
  <c r="K60" i="14685"/>
  <c r="K61" i="14685"/>
  <c r="B2" i="14662"/>
  <c r="J73" i="14662"/>
  <c r="J74" i="14662"/>
  <c r="O21" i="14641"/>
  <c r="O21" i="14676"/>
  <c r="O21" i="14677"/>
  <c r="B14" i="14653"/>
  <c r="D27" i="14653"/>
  <c r="E27" i="14653"/>
  <c r="F27" i="14653"/>
  <c r="G27" i="14653"/>
  <c r="H27" i="14653"/>
  <c r="I27" i="14653"/>
  <c r="J27" i="14653"/>
  <c r="K27" i="14653"/>
  <c r="L27" i="14653"/>
  <c r="M27" i="14653"/>
  <c r="C27" i="14653"/>
  <c r="F34" i="14690"/>
  <c r="G34" i="14690" s="1"/>
  <c r="F35" i="14690"/>
  <c r="G35" i="14690" s="1"/>
  <c r="H35" i="14690" s="1"/>
  <c r="G36" i="14690"/>
  <c r="H36" i="14690" s="1"/>
  <c r="F54" i="14686"/>
  <c r="B58" i="14652"/>
  <c r="I58" i="14652"/>
  <c r="K58" i="14652" s="1"/>
  <c r="H10" i="14647"/>
  <c r="H27" i="14647" s="1"/>
  <c r="H42" i="14647" s="1"/>
  <c r="F70" i="14690"/>
  <c r="C57" i="14647"/>
  <c r="C75" i="14647" s="1"/>
  <c r="C90" i="14647" s="1"/>
  <c r="G70" i="14690"/>
  <c r="H70" i="14690"/>
  <c r="D57" i="14647"/>
  <c r="E57" i="14647"/>
  <c r="E75" i="14647" s="1"/>
  <c r="E90" i="14647" s="1"/>
  <c r="E8" i="14647"/>
  <c r="C9" i="14647"/>
  <c r="C33" i="14649"/>
  <c r="F9" i="14647"/>
  <c r="F26" i="14647" s="1"/>
  <c r="F41" i="14647" s="1"/>
  <c r="G56" i="14647"/>
  <c r="G74" i="14647" s="1"/>
  <c r="G89" i="14647" s="1"/>
  <c r="G57" i="14647"/>
  <c r="G75" i="14647" s="1"/>
  <c r="G90" i="14647" s="1"/>
  <c r="F56" i="14647"/>
  <c r="F74" i="14647" s="1"/>
  <c r="F89" i="14647" s="1"/>
  <c r="H56" i="14647"/>
  <c r="H74" i="14647" s="1"/>
  <c r="H89" i="14647" s="1"/>
  <c r="B28" i="14648"/>
  <c r="E25" i="14647"/>
  <c r="E40" i="14647" s="1"/>
  <c r="G8" i="14647"/>
  <c r="G25" i="14647" s="1"/>
  <c r="G40" i="14647" s="1"/>
  <c r="G58" i="14647"/>
  <c r="G76" i="14647" s="1"/>
  <c r="G91" i="14647" s="1"/>
  <c r="E58" i="14647"/>
  <c r="E76" i="14647" s="1"/>
  <c r="E91" i="14647" s="1"/>
  <c r="D58" i="14647"/>
  <c r="D76" i="14647" s="1"/>
  <c r="D91" i="14647" s="1"/>
  <c r="H57" i="14647"/>
  <c r="F57" i="14647"/>
  <c r="F75" i="14647" s="1"/>
  <c r="B59" i="14652"/>
  <c r="I59" i="14652" s="1"/>
  <c r="K59" i="14652" s="1"/>
  <c r="F58" i="14647"/>
  <c r="F59" i="14647"/>
  <c r="F77" i="14647" s="1"/>
  <c r="F92" i="14647"/>
  <c r="B60" i="14652"/>
  <c r="I60" i="14652" s="1"/>
  <c r="K60" i="14652" s="1"/>
  <c r="H58" i="14647"/>
  <c r="H76" i="14647" s="1"/>
  <c r="H91" i="14647" s="1"/>
  <c r="D59" i="14647"/>
  <c r="D60" i="14647"/>
  <c r="D78" i="14647" s="1"/>
  <c r="D93" i="14647" s="1"/>
  <c r="E59" i="14647"/>
  <c r="E60" i="14647"/>
  <c r="E78" i="14647" s="1"/>
  <c r="E93" i="14647" s="1"/>
  <c r="G59" i="14647"/>
  <c r="G77" i="14647" s="1"/>
  <c r="G92" i="14647" s="1"/>
  <c r="G60" i="14647"/>
  <c r="G78" i="14647" s="1"/>
  <c r="G93" i="14647" s="1"/>
  <c r="E61" i="14647"/>
  <c r="E79" i="14647"/>
  <c r="E94" i="14647" s="1"/>
  <c r="F62" i="14647"/>
  <c r="F80" i="14647" s="1"/>
  <c r="F95" i="14647" s="1"/>
  <c r="H60" i="14647"/>
  <c r="H78" i="14647" s="1"/>
  <c r="H93" i="14647" s="1"/>
  <c r="B62" i="14652"/>
  <c r="I62" i="14652" s="1"/>
  <c r="K62" i="14652" s="1"/>
  <c r="H61" i="14647"/>
  <c r="H79" i="14647" s="1"/>
  <c r="H94" i="14647" s="1"/>
  <c r="D61" i="14647"/>
  <c r="D79" i="14647" s="1"/>
  <c r="D94" i="14647" s="1"/>
  <c r="D62" i="14647"/>
  <c r="D80" i="14647" s="1"/>
  <c r="H62" i="14647"/>
  <c r="H80" i="14647" s="1"/>
  <c r="H95" i="14647" s="1"/>
  <c r="F61" i="14647"/>
  <c r="F79" i="14647" s="1"/>
  <c r="F94" i="14647" s="1"/>
  <c r="E19" i="14686"/>
  <c r="F19" i="14686" s="1"/>
  <c r="D9" i="14647"/>
  <c r="D26" i="14647" s="1"/>
  <c r="D41" i="14647" s="1"/>
  <c r="D11" i="14647"/>
  <c r="D28" i="14647" s="1"/>
  <c r="D43" i="14647" s="1"/>
  <c r="D12" i="14647"/>
  <c r="D29" i="14647" s="1"/>
  <c r="D44" i="14647" s="1"/>
  <c r="F60" i="14647"/>
  <c r="F78" i="14647" s="1"/>
  <c r="F93" i="14647" s="1"/>
  <c r="G62" i="14647"/>
  <c r="G80" i="14647" s="1"/>
  <c r="G95" i="14647" s="1"/>
  <c r="G61" i="14647"/>
  <c r="G79" i="14647" s="1"/>
  <c r="G94" i="14647" s="1"/>
  <c r="E62" i="14647"/>
  <c r="E80" i="14647" s="1"/>
  <c r="B61" i="14652"/>
  <c r="I61" i="14652" s="1"/>
  <c r="K61" i="14652" s="1"/>
  <c r="H9" i="14647"/>
  <c r="H26" i="14647" s="1"/>
  <c r="H41" i="14647" s="1"/>
  <c r="C60" i="14647"/>
  <c r="C78" i="14647" s="1"/>
  <c r="D10" i="14647"/>
  <c r="D27" i="14647" s="1"/>
  <c r="D42" i="14647" s="1"/>
  <c r="H59" i="14647"/>
  <c r="H77" i="14647" s="1"/>
  <c r="H92" i="14647" s="1"/>
  <c r="C59" i="14647"/>
  <c r="C77" i="14647"/>
  <c r="C92" i="14647" s="1"/>
  <c r="C58" i="14647"/>
  <c r="C76" i="14647" s="1"/>
  <c r="C91" i="14647" s="1"/>
  <c r="C61" i="14647"/>
  <c r="B63" i="14652"/>
  <c r="I63" i="14652" s="1"/>
  <c r="K63" i="14652" s="1"/>
  <c r="C62" i="14647"/>
  <c r="C80" i="14647" s="1"/>
  <c r="C95" i="14647" s="1"/>
  <c r="B64" i="14652"/>
  <c r="I64" i="14652" s="1"/>
  <c r="K64" i="14652" s="1"/>
  <c r="A24" i="14648"/>
  <c r="A105" i="14648"/>
  <c r="A100" i="14648"/>
  <c r="G9" i="14647"/>
  <c r="G26" i="14647" s="1"/>
  <c r="G41" i="14647" s="1"/>
  <c r="F10" i="14647"/>
  <c r="F27" i="14647" s="1"/>
  <c r="F42" i="14647" s="1"/>
  <c r="E9" i="14647"/>
  <c r="E26" i="14647" s="1"/>
  <c r="B47" i="14652"/>
  <c r="I47" i="14652" s="1"/>
  <c r="K47" i="14652" s="1"/>
  <c r="C10" i="14647"/>
  <c r="E10" i="14647"/>
  <c r="E27" i="14647" s="1"/>
  <c r="E42" i="14647" s="1"/>
  <c r="G10" i="14647"/>
  <c r="G27" i="14647" s="1"/>
  <c r="G42" i="14647" s="1"/>
  <c r="B48" i="14652"/>
  <c r="I48" i="14652" s="1"/>
  <c r="K48" i="14652" s="1"/>
  <c r="H11" i="14647"/>
  <c r="H28" i="14647" s="1"/>
  <c r="H43" i="14647" s="1"/>
  <c r="F11" i="14647"/>
  <c r="F28" i="14647" s="1"/>
  <c r="F43" i="14647" s="1"/>
  <c r="D13" i="14647"/>
  <c r="D30" i="14647" s="1"/>
  <c r="D45" i="14647" s="1"/>
  <c r="D14" i="14647"/>
  <c r="D31" i="14647" s="1"/>
  <c r="D46" i="14647" s="1"/>
  <c r="B49" i="14652"/>
  <c r="I49" i="14652"/>
  <c r="K49" i="14652" s="1"/>
  <c r="C11" i="14647"/>
  <c r="C28" i="14647" s="1"/>
  <c r="H12" i="14647"/>
  <c r="H29" i="14647" s="1"/>
  <c r="H44" i="14647" s="1"/>
  <c r="G11" i="14647"/>
  <c r="G28" i="14647" s="1"/>
  <c r="G43" i="14647" s="1"/>
  <c r="F12" i="14647"/>
  <c r="F29" i="14647" s="1"/>
  <c r="F44" i="14647" s="1"/>
  <c r="E11" i="14647"/>
  <c r="E28" i="14647" s="1"/>
  <c r="B50" i="14652"/>
  <c r="I50" i="14652" s="1"/>
  <c r="K50" i="14652" s="1"/>
  <c r="C12" i="14647"/>
  <c r="C29" i="14647" s="1"/>
  <c r="C44" i="14647" s="1"/>
  <c r="B44" i="14647" s="1"/>
  <c r="I44" i="14647" s="1"/>
  <c r="H13" i="14647"/>
  <c r="H30" i="14647" s="1"/>
  <c r="H45" i="14647" s="1"/>
  <c r="H14" i="14647"/>
  <c r="G12" i="14647"/>
  <c r="G29" i="14647" s="1"/>
  <c r="G44" i="14647" s="1"/>
  <c r="F14" i="14647"/>
  <c r="F31" i="14647"/>
  <c r="F46" i="14647" s="1"/>
  <c r="F13" i="14647"/>
  <c r="F30" i="14647" s="1"/>
  <c r="F45" i="14647" s="1"/>
  <c r="E12" i="14647"/>
  <c r="E29" i="14647" s="1"/>
  <c r="E44" i="14647" s="1"/>
  <c r="C13" i="14647"/>
  <c r="C30" i="14647" s="1"/>
  <c r="C45" i="14647" s="1"/>
  <c r="B51" i="14652"/>
  <c r="I51" i="14652" s="1"/>
  <c r="K51" i="14652" s="1"/>
  <c r="G14" i="14647"/>
  <c r="G31" i="14647"/>
  <c r="G46" i="14647" s="1"/>
  <c r="G13" i="14647"/>
  <c r="G30" i="14647" s="1"/>
  <c r="G45" i="14647" s="1"/>
  <c r="E14" i="14647"/>
  <c r="E31" i="14647" s="1"/>
  <c r="E46" i="14647" s="1"/>
  <c r="E13" i="14647"/>
  <c r="C14" i="14647"/>
  <c r="C31" i="14647" s="1"/>
  <c r="B52" i="14652"/>
  <c r="I52" i="14652" s="1"/>
  <c r="K52" i="14652"/>
  <c r="G23" i="14690"/>
  <c r="G21" i="14690"/>
  <c r="B53" i="14649"/>
  <c r="A34" i="14617" s="1"/>
  <c r="C25" i="14693"/>
  <c r="C9" i="14622"/>
  <c r="C24" i="14622" s="1"/>
  <c r="A54" i="14667"/>
  <c r="E43" i="14647"/>
  <c r="E13" i="14622"/>
  <c r="C12" i="14652"/>
  <c r="G11" i="14661"/>
  <c r="M24" i="14625"/>
  <c r="K24" i="14625"/>
  <c r="I24" i="14625"/>
  <c r="G24" i="14625"/>
  <c r="E24" i="14625"/>
  <c r="M24" i="14633"/>
  <c r="K24" i="14633"/>
  <c r="I24" i="14633"/>
  <c r="G24" i="14633"/>
  <c r="E24" i="14633"/>
  <c r="M24" i="14641"/>
  <c r="K24" i="14641"/>
  <c r="I24" i="14641"/>
  <c r="G24" i="14641"/>
  <c r="E24" i="14641"/>
  <c r="M24" i="14676"/>
  <c r="K24" i="14676"/>
  <c r="I24" i="14676"/>
  <c r="G24" i="14676"/>
  <c r="E24" i="14676"/>
  <c r="M24" i="14677"/>
  <c r="K24" i="14677"/>
  <c r="I24" i="14677"/>
  <c r="G24" i="14677"/>
  <c r="E24" i="14677"/>
  <c r="A20" i="14689"/>
  <c r="A16" i="14689"/>
  <c r="B42" i="14689"/>
  <c r="D57" i="14685"/>
  <c r="D52" i="14685"/>
  <c r="D45" i="14685"/>
  <c r="D33" i="14685"/>
  <c r="D22" i="14685"/>
  <c r="A39" i="14622" a="1"/>
  <c r="A30" i="14692"/>
  <c r="A77" i="14687"/>
  <c r="A79" i="14687"/>
  <c r="A76" i="14687"/>
  <c r="A78" i="14687"/>
  <c r="A59" i="14687"/>
  <c r="A42" i="14687"/>
  <c r="A40" i="14687"/>
  <c r="I56" i="14652"/>
  <c r="G56" i="14652"/>
  <c r="E56" i="14652"/>
  <c r="C56" i="14652"/>
  <c r="C6" i="14647"/>
  <c r="D22" i="14628"/>
  <c r="E22" i="14634"/>
  <c r="E24" i="14634" s="1"/>
  <c r="H22" i="14634"/>
  <c r="H24" i="14634" s="1"/>
  <c r="M22" i="14634"/>
  <c r="H22" i="14639"/>
  <c r="H24" i="14639" s="1"/>
  <c r="N22" i="14639"/>
  <c r="N24" i="14639" s="1"/>
  <c r="G22" i="14674"/>
  <c r="G24" i="14674" s="1"/>
  <c r="J22" i="14674"/>
  <c r="J24" i="14674" s="1"/>
  <c r="M22" i="14674"/>
  <c r="M24" i="14674" s="1"/>
  <c r="E22" i="14675"/>
  <c r="E24" i="14675" s="1"/>
  <c r="H22" i="14675"/>
  <c r="H24" i="14675" s="1"/>
  <c r="N22" i="14675"/>
  <c r="N24" i="14675" s="1"/>
  <c r="A30" i="14674"/>
  <c r="F30" i="14665"/>
  <c r="A24" i="14674"/>
  <c r="H31" i="14647"/>
  <c r="H46" i="14647" s="1"/>
  <c r="A48" i="14695" a="1"/>
  <c r="A50" i="14695" s="1"/>
  <c r="A7" i="14638" a="1"/>
  <c r="A7" i="14678" a="1"/>
  <c r="D6" i="14686"/>
  <c r="E6" i="14686" s="1"/>
  <c r="F6" i="14686" s="1"/>
  <c r="A39" i="14647" a="1"/>
  <c r="A55" i="14647" a="1"/>
  <c r="A55" i="14647" s="1"/>
  <c r="A73" i="14647" a="1"/>
  <c r="A88" i="14647" a="1"/>
  <c r="A5" i="7" a="1"/>
  <c r="A5" i="14669" a="1"/>
  <c r="A5" i="14630" a="1"/>
  <c r="A6" i="14630" s="1"/>
  <c r="A17" i="7" a="1"/>
  <c r="A17" i="14637" a="1"/>
  <c r="A17" i="14630" a="1"/>
  <c r="A23" i="14630" s="1"/>
  <c r="A32" i="14668" a="1"/>
  <c r="A39" i="14668" s="1"/>
  <c r="A32" i="14637" a="1"/>
  <c r="A33" i="14637" s="1"/>
  <c r="A8" i="14699" a="1"/>
  <c r="A8" i="14702" a="1"/>
  <c r="A11" i="14702" s="1"/>
  <c r="A8" i="14698" a="1"/>
  <c r="A20" i="14702" a="1"/>
  <c r="A20" i="14701" a="1"/>
  <c r="A32" i="14703" a="1"/>
  <c r="A32" i="14704" a="1"/>
  <c r="A36" i="14704" s="1"/>
  <c r="A32" i="14700" a="1"/>
  <c r="A32" i="14698" a="1"/>
  <c r="A46" i="14702" a="1"/>
  <c r="A51" i="14702" s="1"/>
  <c r="A46" i="14701" a="1"/>
  <c r="A51" i="14701" s="1"/>
  <c r="A59" i="14703" a="1"/>
  <c r="A63" i="14703" s="1"/>
  <c r="A59" i="14704" a="1"/>
  <c r="A66" i="14704" s="1"/>
  <c r="A59" i="14700" a="1"/>
  <c r="A63" i="14700" s="1"/>
  <c r="A59" i="14698" a="1"/>
  <c r="A35" i="14623" a="1"/>
  <c r="A35" i="14679" a="1"/>
  <c r="A35" i="14632" a="1"/>
  <c r="A31" i="14628" a="1"/>
  <c r="A32" i="14628" s="1"/>
  <c r="A31" i="14675" a="1"/>
  <c r="A31" i="14674" a="1"/>
  <c r="A37" i="14674" s="1"/>
  <c r="A31" i="14639" a="1"/>
  <c r="A37" i="14639" s="1"/>
  <c r="A31" i="14634" a="1"/>
  <c r="A38" i="14634" s="1"/>
  <c r="B66" i="14643" a="1"/>
  <c r="B69" i="14643" s="1"/>
  <c r="B79" i="14643" a="1"/>
  <c r="B79" i="14643" s="1"/>
  <c r="A7" i="14632" a="1"/>
  <c r="A12" i="14632" s="1"/>
  <c r="E16" i="14694"/>
  <c r="H16" i="14694"/>
  <c r="G16" i="14694"/>
  <c r="A7" i="14647" a="1"/>
  <c r="A24" i="14647" a="1"/>
  <c r="A28" i="14647" s="1"/>
  <c r="A6" i="14653" a="1"/>
  <c r="A19" i="14653" a="1"/>
  <c r="A32" i="14653" a="1"/>
  <c r="A38" i="14653" s="1"/>
  <c r="A45" i="14653" a="1"/>
  <c r="A58" i="14653" a="1"/>
  <c r="A63" i="14653" s="1"/>
  <c r="A71" i="14653" a="1"/>
  <c r="A72" i="14653" s="1"/>
  <c r="A5" i="14668" a="1"/>
  <c r="A8" i="14668" s="1"/>
  <c r="A5" i="14637" a="1"/>
  <c r="A10" i="14637" s="1"/>
  <c r="A17" i="14669" a="1"/>
  <c r="A17" i="14668" a="1"/>
  <c r="A32" i="7" a="1"/>
  <c r="A32" i="14669" a="1"/>
  <c r="A33" i="14669" s="1"/>
  <c r="A32" i="14630" a="1"/>
  <c r="A39" i="14630" s="1"/>
  <c r="A8" i="14704" a="1"/>
  <c r="A8" i="14701" a="1"/>
  <c r="A11" i="14701" s="1"/>
  <c r="A178" i="14701" s="1"/>
  <c r="A8" i="14700" a="1"/>
  <c r="A12" i="14700" s="1"/>
  <c r="A20" i="14703" a="1"/>
  <c r="A25" i="14703" s="1"/>
  <c r="A20" i="14704" a="1"/>
  <c r="A27" i="14704" s="1"/>
  <c r="A20" i="14700" a="1"/>
  <c r="A25" i="14700" s="1"/>
  <c r="A20" i="14698" a="1"/>
  <c r="A27" i="14698" s="1"/>
  <c r="A32" i="14702" a="1"/>
  <c r="A32" i="14702" s="1"/>
  <c r="A32" i="14701" a="1"/>
  <c r="A46" i="14703" a="1"/>
  <c r="A46" i="14704" a="1"/>
  <c r="A46" i="14700" a="1"/>
  <c r="A46" i="14698" a="1"/>
  <c r="A59" i="14702" a="1"/>
  <c r="A61" i="14702" s="1"/>
  <c r="A59" i="14701" a="1"/>
  <c r="A66" i="14701" s="1"/>
  <c r="A6" i="14683" a="1"/>
  <c r="A11" i="14683" s="1"/>
  <c r="A19" i="14683" a="1"/>
  <c r="A34" i="14683" a="1"/>
  <c r="A41" i="14683" s="1"/>
  <c r="A35" i="14678" a="1"/>
  <c r="A35" i="14638" a="1"/>
  <c r="A36" i="14638" s="1"/>
  <c r="B40" i="14643" a="1"/>
  <c r="B53" i="14643" a="1"/>
  <c r="B92" i="14643" a="1"/>
  <c r="B98" i="14643" s="1"/>
  <c r="A7" i="14623" a="1"/>
  <c r="A11" i="14623" s="1"/>
  <c r="A7" i="14679" a="1"/>
  <c r="B13" i="14689" a="1"/>
  <c r="B24" i="14689"/>
  <c r="J6" i="14647"/>
  <c r="H21" i="14690"/>
  <c r="E23" i="14690"/>
  <c r="H23" i="14690"/>
  <c r="A38" i="14687"/>
  <c r="A41" i="14687"/>
  <c r="C46" i="14647"/>
  <c r="B15" i="14689"/>
  <c r="B9" i="14628"/>
  <c r="A17" i="14674"/>
  <c r="A26" i="14675"/>
  <c r="B30" i="14675"/>
  <c r="F26" i="14665"/>
  <c r="K145" i="14702" s="1"/>
  <c r="F25" i="14665"/>
  <c r="K109" i="14703"/>
  <c r="K109" i="14702"/>
  <c r="F31" i="14665"/>
  <c r="K235" i="14700" s="1"/>
  <c r="F27" i="14665"/>
  <c r="K109" i="14704"/>
  <c r="F28" i="14665"/>
  <c r="F29" i="14665"/>
  <c r="K199" i="14704" s="1"/>
  <c r="A17" i="14634"/>
  <c r="G22" i="14685"/>
  <c r="B71" i="14684"/>
  <c r="B72" i="14684"/>
  <c r="B26" i="14626"/>
  <c r="K163" i="14698"/>
  <c r="K163" i="14703"/>
  <c r="K127" i="14700"/>
  <c r="B30" i="14639"/>
  <c r="B30" i="14634"/>
  <c r="A1" i="14675"/>
  <c r="A24" i="14675"/>
  <c r="A26" i="14639"/>
  <c r="G28" i="14685"/>
  <c r="G38" i="14686"/>
  <c r="B100" i="14648"/>
  <c r="K127" i="14704"/>
  <c r="E31" i="14665"/>
  <c r="E9" i="14661"/>
  <c r="E13" i="14661"/>
  <c r="G10" i="14661"/>
  <c r="G14" i="14661"/>
  <c r="J26" i="14634"/>
  <c r="H26" i="14628"/>
  <c r="A55" i="14706"/>
  <c r="H4" i="14705"/>
  <c r="D15" i="14675"/>
  <c r="D26" i="14634"/>
  <c r="M26" i="14634"/>
  <c r="D15" i="14634"/>
  <c r="E25" i="14665"/>
  <c r="D22" i="14639"/>
  <c r="D24" i="14639" s="1"/>
  <c r="E26" i="14639"/>
  <c r="J26" i="14639"/>
  <c r="M26" i="14639"/>
  <c r="D26" i="14628"/>
  <c r="A24" i="14634"/>
  <c r="A24" i="14639"/>
  <c r="K109" i="14698"/>
  <c r="K109" i="14700"/>
  <c r="F90" i="14647"/>
  <c r="H34" i="14690"/>
  <c r="C13" i="14652"/>
  <c r="C14" i="14652" s="1"/>
  <c r="D7" i="14652" s="1" a="1"/>
  <c r="D13" i="14652" s="1"/>
  <c r="E95" i="14647"/>
  <c r="E73" i="14647"/>
  <c r="E88" i="14647" s="1"/>
  <c r="A40" i="14622"/>
  <c r="G52" i="14690"/>
  <c r="P11" i="14699"/>
  <c r="Q11" i="14699"/>
  <c r="P14" i="14699"/>
  <c r="Q14" i="14699" s="1"/>
  <c r="P12" i="14699"/>
  <c r="Q12" i="14699" s="1"/>
  <c r="K32" i="14652"/>
  <c r="H56" i="14652"/>
  <c r="D56" i="14652"/>
  <c r="J37" i="14685"/>
  <c r="L73" i="14662"/>
  <c r="C39" i="14622"/>
  <c r="C41" i="14622"/>
  <c r="L26" i="14628"/>
  <c r="L26" i="14634"/>
  <c r="L26" i="14639"/>
  <c r="I26" i="14674"/>
  <c r="I26" i="14675"/>
  <c r="B18" i="14659"/>
  <c r="F18" i="14659" s="1"/>
  <c r="A10" i="14700"/>
  <c r="A160" i="14700" s="1"/>
  <c r="A13" i="14704"/>
  <c r="A214" i="14704" s="1"/>
  <c r="A13" i="14698"/>
  <c r="A8" i="14704"/>
  <c r="A95" i="14647"/>
  <c r="A26" i="14701"/>
  <c r="A21" i="14701"/>
  <c r="A38" i="14704"/>
  <c r="A52" i="14701"/>
  <c r="A47" i="14701"/>
  <c r="A65" i="14704"/>
  <c r="A62" i="14704"/>
  <c r="A39" i="14679"/>
  <c r="A42" i="14679"/>
  <c r="A36" i="14628"/>
  <c r="A36" i="14634"/>
  <c r="A37" i="14634"/>
  <c r="A35" i="14634"/>
  <c r="A32" i="14634"/>
  <c r="A31" i="14634"/>
  <c r="B86" i="14643"/>
  <c r="B82" i="14643"/>
  <c r="B80" i="14643"/>
  <c r="B85" i="14643"/>
  <c r="A27" i="14647"/>
  <c r="A26" i="14647"/>
  <c r="A29" i="14647"/>
  <c r="A30" i="14647"/>
  <c r="A48" i="14653"/>
  <c r="A45" i="14653"/>
  <c r="A52" i="14653"/>
  <c r="A50" i="14653"/>
  <c r="A47" i="14653"/>
  <c r="A49" i="14653"/>
  <c r="A71" i="14653"/>
  <c r="A76" i="14653"/>
  <c r="A77" i="14653"/>
  <c r="A73" i="14653"/>
  <c r="A11" i="14637"/>
  <c r="A8" i="14637"/>
  <c r="A23" i="14668"/>
  <c r="A20" i="14668"/>
  <c r="A19" i="14668"/>
  <c r="A22" i="14668"/>
  <c r="A24" i="14668"/>
  <c r="A21" i="14668"/>
  <c r="A32" i="14669"/>
  <c r="A38" i="14669"/>
  <c r="A37" i="14669"/>
  <c r="A35" i="14669"/>
  <c r="A24" i="14704"/>
  <c r="A20" i="14704"/>
  <c r="A26" i="14704"/>
  <c r="A23" i="14704"/>
  <c r="A21" i="14704"/>
  <c r="A36" i="14701"/>
  <c r="A35" i="14701"/>
  <c r="A53" i="14704"/>
  <c r="A50" i="14698"/>
  <c r="A23" i="14683"/>
  <c r="A25" i="14683"/>
  <c r="A19" i="14683"/>
  <c r="B40" i="14643"/>
  <c r="B45" i="14643"/>
  <c r="B44" i="14643"/>
  <c r="A12" i="14679"/>
  <c r="A38" i="14628"/>
  <c r="A41" i="14679"/>
  <c r="A39" i="14704"/>
  <c r="A25" i="14701"/>
  <c r="A8" i="14700"/>
  <c r="A124" i="14700" s="1"/>
  <c r="A92" i="14647"/>
  <c r="A23" i="14701"/>
  <c r="A24" i="14701"/>
  <c r="A37" i="14704"/>
  <c r="A49" i="14701"/>
  <c r="A50" i="14701"/>
  <c r="A64" i="14704"/>
  <c r="A63" i="14704"/>
  <c r="A37" i="14679"/>
  <c r="A36" i="14679"/>
  <c r="A33" i="14628"/>
  <c r="A33" i="14634"/>
  <c r="A34" i="14634"/>
  <c r="B84" i="14643"/>
  <c r="A7" i="14647"/>
  <c r="A13" i="14647"/>
  <c r="A13" i="14653"/>
  <c r="A37" i="14653"/>
  <c r="A19" i="14669"/>
  <c r="A21" i="14669"/>
  <c r="A35" i="7"/>
  <c r="A39" i="7"/>
  <c r="A34" i="14702"/>
  <c r="A38" i="14702"/>
  <c r="A33" i="14702"/>
  <c r="A50" i="14703"/>
  <c r="A49" i="14703"/>
  <c r="A48" i="14703"/>
  <c r="A47" i="14703"/>
  <c r="A39" i="14638"/>
  <c r="A41" i="14638"/>
  <c r="A38" i="14638"/>
  <c r="B53" i="14643"/>
  <c r="B60" i="14643"/>
  <c r="B59" i="14643"/>
  <c r="A12" i="14623"/>
  <c r="A22" i="14704"/>
  <c r="B42" i="14643"/>
  <c r="A44" i="14647"/>
  <c r="A40" i="14647"/>
  <c r="A41" i="14647"/>
  <c r="A45" i="14647"/>
  <c r="A46" i="14647"/>
  <c r="A42" i="14647"/>
  <c r="A43" i="14647"/>
  <c r="A39" i="14647"/>
  <c r="A74" i="14647"/>
  <c r="A73" i="14647"/>
  <c r="A8" i="7"/>
  <c r="A10" i="7"/>
  <c r="A11" i="7"/>
  <c r="A7" i="7"/>
  <c r="A12" i="7"/>
  <c r="A9" i="7"/>
  <c r="A6" i="7"/>
  <c r="A5" i="7"/>
  <c r="A10" i="14630"/>
  <c r="A9" i="14630"/>
  <c r="A11" i="14630"/>
  <c r="A12" i="14630"/>
  <c r="A7" i="14630"/>
  <c r="A22" i="14637"/>
  <c r="A20" i="14637"/>
  <c r="A35" i="14668"/>
  <c r="A37" i="14668"/>
  <c r="A36" i="14668"/>
  <c r="A38" i="14668"/>
  <c r="A33" i="14668"/>
  <c r="A32" i="14668"/>
  <c r="A11" i="14699"/>
  <c r="A13" i="14699"/>
  <c r="A15" i="14699"/>
  <c r="A10" i="14699"/>
  <c r="A14" i="14699"/>
  <c r="A12" i="14699"/>
  <c r="A9" i="14699"/>
  <c r="A8" i="14699"/>
  <c r="A25" i="14702"/>
  <c r="A20" i="14702"/>
  <c r="A21" i="14702"/>
  <c r="A23" i="14702"/>
  <c r="A37" i="14703"/>
  <c r="A39" i="14703"/>
  <c r="A36" i="14703"/>
  <c r="A35" i="14703"/>
  <c r="A37" i="14700"/>
  <c r="A39" i="14700"/>
  <c r="A47" i="14702"/>
  <c r="A40" i="14623"/>
  <c r="A37" i="14623"/>
  <c r="A39" i="14623"/>
  <c r="A35" i="14623"/>
  <c r="A38" i="14632"/>
  <c r="A42" i="14632"/>
  <c r="A41" i="14632"/>
  <c r="A35" i="14632"/>
  <c r="A35" i="14639"/>
  <c r="A51" i="14653"/>
  <c r="A78" i="14653"/>
  <c r="A17" i="14668"/>
  <c r="A34" i="14669"/>
  <c r="A20" i="14698"/>
  <c r="A59" i="14701"/>
  <c r="B92" i="14643"/>
  <c r="A49" i="14704"/>
  <c r="A23" i="14698"/>
  <c r="A25" i="14704"/>
  <c r="A18" i="14668"/>
  <c r="A74" i="14653"/>
  <c r="A46" i="14653"/>
  <c r="B81" i="14643"/>
  <c r="A31" i="14628"/>
  <c r="A35" i="14679"/>
  <c r="A59" i="14704"/>
  <c r="A46" i="14701"/>
  <c r="A32" i="14698"/>
  <c r="A32" i="14704"/>
  <c r="A20" i="14701"/>
  <c r="A5" i="14669"/>
  <c r="A30" i="14707"/>
  <c r="A28" i="14707"/>
  <c r="A9" i="14631"/>
  <c r="A9" i="14671"/>
  <c r="A9" i="14670"/>
  <c r="A9" i="8"/>
  <c r="A9" i="14640"/>
  <c r="A22" i="14631"/>
  <c r="A22" i="14640"/>
  <c r="A22" i="14670"/>
  <c r="A22" i="8"/>
  <c r="A22" i="14671"/>
  <c r="N11" i="14657"/>
  <c r="N12" i="14657"/>
  <c r="N13" i="14657"/>
  <c r="N14" i="14657"/>
  <c r="A8" i="14703" a="1"/>
  <c r="A10" i="14703" s="1"/>
  <c r="A160" i="14703" s="1"/>
  <c r="A49" i="14683" a="1"/>
  <c r="A50" i="14683" s="1"/>
  <c r="B46" i="14689"/>
  <c r="B50" i="14689" s="1"/>
  <c r="D77" i="14689" s="1"/>
  <c r="B49" i="14689"/>
  <c r="B48" i="14689"/>
  <c r="E17" i="14661" a="1"/>
  <c r="F17" i="14661" s="1"/>
  <c r="A39" i="14689"/>
  <c r="A76" i="14689" s="1"/>
  <c r="A42" i="14689"/>
  <c r="A40" i="14689"/>
  <c r="A37" i="14689"/>
  <c r="A34" i="14689"/>
  <c r="A33" i="14689"/>
  <c r="A75" i="14689" s="1"/>
  <c r="A36" i="14689"/>
  <c r="B18" i="14689"/>
  <c r="B16" i="14689"/>
  <c r="A52" i="14689"/>
  <c r="A78" i="14689" s="1"/>
  <c r="A54" i="14689"/>
  <c r="A55" i="14689"/>
  <c r="A53" i="14689"/>
  <c r="E8" i="14661"/>
  <c r="B12" i="14661"/>
  <c r="D37" i="14685" a="1"/>
  <c r="D37" i="14685" s="1"/>
  <c r="B34" i="14661" s="1"/>
  <c r="C37" i="14685" a="1"/>
  <c r="C37" i="14685" s="1"/>
  <c r="G7" i="14622"/>
  <c r="G18" i="14622"/>
  <c r="J35" i="14685"/>
  <c r="J34" i="14685"/>
  <c r="G13" i="14685" a="1"/>
  <c r="G13" i="14685" s="1"/>
  <c r="E10" i="14685"/>
  <c r="G7" i="14685" a="1"/>
  <c r="G7" i="14685" s="1"/>
  <c r="E43" i="14685"/>
  <c r="C13" i="14661"/>
  <c r="E37" i="14685"/>
  <c r="C12" i="14661"/>
  <c r="E63" i="14685"/>
  <c r="I7" i="14622"/>
  <c r="D14" i="14667" s="1"/>
  <c r="F14" i="14667" s="1"/>
  <c r="H14" i="14667" s="1"/>
  <c r="J14" i="14667" s="1"/>
  <c r="L14" i="14667" s="1"/>
  <c r="N14" i="14667" s="1"/>
  <c r="J6" i="14661"/>
  <c r="D39" i="14667"/>
  <c r="G19" i="14626"/>
  <c r="D41" i="14667"/>
  <c r="D28" i="11"/>
  <c r="D30" i="14667"/>
  <c r="B7" i="14696" s="1"/>
  <c r="D31" i="14706"/>
  <c r="A11" i="11"/>
  <c r="D20" i="11"/>
  <c r="B33" i="14625"/>
  <c r="G23" i="14626"/>
  <c r="D35" i="14667"/>
  <c r="M21" i="14633"/>
  <c r="I21" i="14633"/>
  <c r="E21" i="14633"/>
  <c r="M75" i="14645"/>
  <c r="I75" i="14645"/>
  <c r="I76" i="14645" s="1"/>
  <c r="B75" i="14645"/>
  <c r="D75" i="14645"/>
  <c r="D76" i="14645" s="1"/>
  <c r="F75" i="14645"/>
  <c r="F76" i="14645" s="1"/>
  <c r="H75" i="14645"/>
  <c r="J75" i="14645"/>
  <c r="J76" i="14645" s="1"/>
  <c r="L75" i="14645"/>
  <c r="L76" i="14645" s="1"/>
  <c r="M65" i="14645"/>
  <c r="M66" i="14645" s="1"/>
  <c r="B12" i="14696"/>
  <c r="D21" i="14633"/>
  <c r="F21" i="14633"/>
  <c r="H21" i="14633"/>
  <c r="J21" i="14633"/>
  <c r="L21" i="14633"/>
  <c r="N21" i="14633"/>
  <c r="D27" i="11"/>
  <c r="K21" i="14633"/>
  <c r="G21" i="14633"/>
  <c r="C21" i="14633"/>
  <c r="L65" i="14645"/>
  <c r="L66" i="14645" s="1"/>
  <c r="K75" i="14645"/>
  <c r="K76" i="14645" s="1"/>
  <c r="G75" i="14645"/>
  <c r="G76" i="14645" s="1"/>
  <c r="C75" i="14645"/>
  <c r="A27" i="11"/>
  <c r="G25" i="14626"/>
  <c r="K217" i="14703"/>
  <c r="K199" i="14701"/>
  <c r="C3" i="4128"/>
  <c r="B41" i="14698"/>
  <c r="B41" i="14701"/>
  <c r="B41" i="14704"/>
  <c r="B41" i="14700"/>
  <c r="I44" i="14703"/>
  <c r="I44" i="14698" s="1"/>
  <c r="I18" i="14700"/>
  <c r="I18" i="14702"/>
  <c r="I18" i="14698"/>
  <c r="I18" i="14704"/>
  <c r="B15" i="14639"/>
  <c r="B15" i="14675"/>
  <c r="B15" i="14674"/>
  <c r="F25" i="14626"/>
  <c r="A30" i="14706"/>
  <c r="G29" i="14705"/>
  <c r="E30" i="14665"/>
  <c r="E28" i="14665"/>
  <c r="E29" i="14665"/>
  <c r="B31" i="14674" s="1" a="1"/>
  <c r="E27" i="14665"/>
  <c r="A89" i="14700"/>
  <c r="A89" i="14702"/>
  <c r="A89" i="14698"/>
  <c r="A89" i="14701"/>
  <c r="C76" i="14665"/>
  <c r="D63" i="14665"/>
  <c r="E63" i="14665" s="1"/>
  <c r="F63" i="14665" s="1"/>
  <c r="G63" i="14665" s="1"/>
  <c r="H63" i="14665" s="1"/>
  <c r="I63" i="14665" s="1"/>
  <c r="A4" i="14638"/>
  <c r="A45" i="14638"/>
  <c r="I70" i="14703"/>
  <c r="I44" i="14700"/>
  <c r="I44" i="14702"/>
  <c r="I109" i="14702" s="1"/>
  <c r="I44" i="14701"/>
  <c r="I109" i="14701" s="1"/>
  <c r="A73" i="14648"/>
  <c r="A75" i="14648"/>
  <c r="A77" i="14648"/>
  <c r="A72" i="14648"/>
  <c r="A74" i="14648"/>
  <c r="A76" i="14648"/>
  <c r="A58" i="14648"/>
  <c r="A62" i="14648"/>
  <c r="A59" i="14648"/>
  <c r="A43" i="14648"/>
  <c r="A45" i="14648"/>
  <c r="A47" i="14648"/>
  <c r="A42" i="14648"/>
  <c r="A44" i="14648"/>
  <c r="A46" i="14648"/>
  <c r="A33" i="14648"/>
  <c r="A31" i="14648"/>
  <c r="A29" i="14648"/>
  <c r="B105" i="14648"/>
  <c r="B95" i="14648"/>
  <c r="B90" i="14648"/>
  <c r="N12" i="14687"/>
  <c r="M14" i="14687"/>
  <c r="F16" i="14687"/>
  <c r="A70" i="14707"/>
  <c r="G44" i="14707"/>
  <c r="A74" i="14707"/>
  <c r="I70" i="14701"/>
  <c r="I70" i="14702"/>
  <c r="B31" i="14675" a="1"/>
  <c r="D14" i="14706"/>
  <c r="F14" i="14706" s="1"/>
  <c r="H14" i="14706" s="1"/>
  <c r="J14" i="14706" s="1"/>
  <c r="L14" i="14706" s="1"/>
  <c r="N14" i="14706" s="1"/>
  <c r="C8" i="14661"/>
  <c r="G42" i="14665"/>
  <c r="B43" i="14665" s="1" a="1"/>
  <c r="J64" i="14652" a="1"/>
  <c r="J64" i="14652" s="1"/>
  <c r="C42" i="14690"/>
  <c r="H42" i="14690"/>
  <c r="K235" i="14698"/>
  <c r="B9" i="14634"/>
  <c r="B9" i="14674"/>
  <c r="J16" i="14685"/>
  <c r="D77" i="14647"/>
  <c r="F76" i="14647"/>
  <c r="F91" i="14647" s="1"/>
  <c r="B58" i="14647"/>
  <c r="I58" i="14647" s="1"/>
  <c r="F35" i="14667"/>
  <c r="H35" i="14667" s="1"/>
  <c r="B55" i="14707"/>
  <c r="B57" i="14707"/>
  <c r="B59" i="14707"/>
  <c r="B61" i="14707"/>
  <c r="B56" i="14707"/>
  <c r="B60" i="14707"/>
  <c r="B58" i="14707"/>
  <c r="A31" i="14707"/>
  <c r="A29" i="14707"/>
  <c r="A27" i="14707"/>
  <c r="A25" i="14707"/>
  <c r="B36" i="14706"/>
  <c r="C36" i="14706" s="1"/>
  <c r="B9" i="14661"/>
  <c r="C20" i="14685" a="1"/>
  <c r="C20" i="14685" s="1"/>
  <c r="P19" i="14655"/>
  <c r="P9" i="14655"/>
  <c r="P17" i="14655"/>
  <c r="N6" i="14655"/>
  <c r="N7" i="14655"/>
  <c r="N10" i="14655"/>
  <c r="N11" i="14655"/>
  <c r="N14" i="14655"/>
  <c r="N15" i="14655"/>
  <c r="N18" i="14655"/>
  <c r="N19" i="14655"/>
  <c r="N12" i="14655"/>
  <c r="N13" i="14655"/>
  <c r="N20" i="14655"/>
  <c r="N21" i="14655"/>
  <c r="N26" i="14655"/>
  <c r="N8" i="14655"/>
  <c r="N17" i="14655"/>
  <c r="N9" i="14655"/>
  <c r="N16" i="14655"/>
  <c r="L6" i="14655"/>
  <c r="L7" i="14655"/>
  <c r="L10" i="14655"/>
  <c r="L11" i="14655"/>
  <c r="L14" i="14655"/>
  <c r="L15" i="14655"/>
  <c r="L18" i="14655"/>
  <c r="L19" i="14655"/>
  <c r="L8" i="14655"/>
  <c r="L9" i="14655"/>
  <c r="L16" i="14655"/>
  <c r="L17" i="14655"/>
  <c r="L13" i="14655"/>
  <c r="L20" i="14655"/>
  <c r="L26" i="14655"/>
  <c r="L12" i="14655"/>
  <c r="J6" i="14655"/>
  <c r="J7" i="14655"/>
  <c r="J10" i="14655"/>
  <c r="J11" i="14655"/>
  <c r="J14" i="14655"/>
  <c r="J15" i="14655"/>
  <c r="J18" i="14655"/>
  <c r="J19" i="14655"/>
  <c r="J12" i="14655"/>
  <c r="J13" i="14655"/>
  <c r="J20" i="14655"/>
  <c r="J21" i="14655"/>
  <c r="J26" i="14655"/>
  <c r="J9" i="14655"/>
  <c r="J16" i="14655"/>
  <c r="J8" i="14655"/>
  <c r="A200" i="14700"/>
  <c r="A200" i="14702"/>
  <c r="A200" i="14698"/>
  <c r="A200" i="14701"/>
  <c r="A200" i="14704"/>
  <c r="A18" i="14662"/>
  <c r="A19" i="14662" s="1"/>
  <c r="A20" i="14662" s="1"/>
  <c r="A40" i="14675"/>
  <c r="A42" i="14675"/>
  <c r="A41" i="14675"/>
  <c r="A39" i="14675"/>
  <c r="C38" i="14633"/>
  <c r="D38" i="14633"/>
  <c r="C56" i="14665"/>
  <c r="C57" i="14665" s="1"/>
  <c r="D11" i="14652"/>
  <c r="D9" i="14652"/>
  <c r="D7" i="14652"/>
  <c r="D12" i="14652"/>
  <c r="D8" i="14652"/>
  <c r="B60" i="14647"/>
  <c r="I60" i="14647" s="1"/>
  <c r="B61" i="14647"/>
  <c r="I61" i="14647" s="1"/>
  <c r="C79" i="14647"/>
  <c r="C26" i="14647"/>
  <c r="C41" i="14647" s="1"/>
  <c r="D75" i="14647"/>
  <c r="D20" i="14686"/>
  <c r="A7" i="14673" a="1"/>
  <c r="A12" i="14673" s="1"/>
  <c r="A16" i="14668"/>
  <c r="D25" i="14647"/>
  <c r="B8" i="14647"/>
  <c r="I8" i="14647" s="1"/>
  <c r="M88" i="14665"/>
  <c r="C88" i="14665"/>
  <c r="G88" i="14665"/>
  <c r="L88" i="14665"/>
  <c r="C24" i="14647"/>
  <c r="C39" i="14647" s="1"/>
  <c r="B7" i="14647"/>
  <c r="I7" i="14647" s="1"/>
  <c r="A38" i="14648"/>
  <c r="A39" i="14648"/>
  <c r="A37" i="14648"/>
  <c r="O8" i="14699" a="1"/>
  <c r="O8" i="14699" s="1"/>
  <c r="P8" i="14699"/>
  <c r="Q8" i="14699" s="1"/>
  <c r="B53" i="14689"/>
  <c r="B54" i="14689"/>
  <c r="A43" i="14689"/>
  <c r="A41" i="14689"/>
  <c r="A63" i="14692"/>
  <c r="A62" i="14692"/>
  <c r="A60" i="14692"/>
  <c r="A61" i="14692"/>
  <c r="I6" i="14647"/>
  <c r="E6" i="14647"/>
  <c r="A6" i="14647"/>
  <c r="B6" i="14647"/>
  <c r="F6" i="14647"/>
  <c r="G6" i="14647"/>
  <c r="H6" i="14647"/>
  <c r="J55" i="14647" s="1" a="1"/>
  <c r="J55" i="14647" s="1"/>
  <c r="D6" i="14647"/>
  <c r="B73" i="14684"/>
  <c r="H49" i="14690"/>
  <c r="B74" i="14684" s="1"/>
  <c r="F55" i="14665"/>
  <c r="F56" i="14665" s="1"/>
  <c r="B62" i="14707"/>
  <c r="B7" i="11"/>
  <c r="D20" i="14685" a="1"/>
  <c r="D20" i="14685" s="1"/>
  <c r="B31" i="14661" s="1"/>
  <c r="H15" i="14687"/>
  <c r="J15" i="14687"/>
  <c r="C15" i="14687"/>
  <c r="F15" i="14687"/>
  <c r="F13" i="14687"/>
  <c r="H13" i="14687"/>
  <c r="N13" i="14687"/>
  <c r="C13" i="14687"/>
  <c r="J13" i="14687"/>
  <c r="M13" i="14687"/>
  <c r="L13" i="14687"/>
  <c r="D11" i="14687"/>
  <c r="L21" i="14655"/>
  <c r="J17" i="14655"/>
  <c r="A47" i="14678"/>
  <c r="A49" i="14678"/>
  <c r="A51" i="14678"/>
  <c r="A53" i="14678"/>
  <c r="A48" i="14678"/>
  <c r="A52" i="14678"/>
  <c r="A50" i="14678"/>
  <c r="A54" i="14678"/>
  <c r="A4" i="14678"/>
  <c r="A4" i="14632"/>
  <c r="A4" i="14679"/>
  <c r="A45" i="14678"/>
  <c r="A45" i="14632"/>
  <c r="A45" i="14679"/>
  <c r="A45" i="14681"/>
  <c r="B14" i="14706"/>
  <c r="B14" i="14667"/>
  <c r="K163" i="14701"/>
  <c r="K163" i="14700"/>
  <c r="K127" i="14698"/>
  <c r="K127" i="14701"/>
  <c r="K127" i="14702"/>
  <c r="K127" i="14703"/>
  <c r="G24" i="14647"/>
  <c r="H73" i="14647"/>
  <c r="O10" i="14699" a="1"/>
  <c r="O10" i="14699" s="1"/>
  <c r="P10" i="14699"/>
  <c r="Q10" i="14699" s="1"/>
  <c r="A28" i="14689"/>
  <c r="A74" i="14689" s="1"/>
  <c r="A29" i="14689"/>
  <c r="A30" i="14689"/>
  <c r="A31" i="14689"/>
  <c r="G29" i="14685" a="1"/>
  <c r="G29" i="14685" s="1"/>
  <c r="G53" i="14685" a="1"/>
  <c r="G53" i="14685" s="1"/>
  <c r="G58" i="14685" a="1"/>
  <c r="G6" i="14685"/>
  <c r="B45" i="14622"/>
  <c r="B10" i="14685"/>
  <c r="C10" i="14685" s="1" a="1"/>
  <c r="C10" i="14685" s="1"/>
  <c r="B6" i="14689" a="1"/>
  <c r="E50" i="14685"/>
  <c r="C14" i="14661" s="1"/>
  <c r="A85" i="14687" a="1"/>
  <c r="A90" i="14687" s="1"/>
  <c r="M10" i="14687"/>
  <c r="L8" i="14624" s="1"/>
  <c r="A128" i="14700"/>
  <c r="A128" i="14702"/>
  <c r="A128" i="14698"/>
  <c r="A128" i="14701"/>
  <c r="A128" i="14704"/>
  <c r="A10" i="14671"/>
  <c r="A11" i="14671"/>
  <c r="A47" i="14632"/>
  <c r="A49" i="14632"/>
  <c r="A51" i="14632"/>
  <c r="A53" i="14632"/>
  <c r="A48" i="14632"/>
  <c r="A52" i="14632"/>
  <c r="A50" i="14632"/>
  <c r="A4" i="14674" a="1"/>
  <c r="A4" i="14675" a="1"/>
  <c r="A5" i="14675" s="1"/>
  <c r="A4" i="14634" a="1"/>
  <c r="A6" i="14634" s="1"/>
  <c r="A4" i="14639" a="1"/>
  <c r="A8" i="14639" s="1"/>
  <c r="A11" i="14674" a="1"/>
  <c r="A11" i="14675" a="1"/>
  <c r="A11" i="14634" a="1"/>
  <c r="A13" i="14634" s="1"/>
  <c r="A11" i="14639" a="1"/>
  <c r="A11" i="14639" s="1"/>
  <c r="A19" i="14634" a="1"/>
  <c r="A19" i="14674" a="1"/>
  <c r="A19" i="14675" a="1"/>
  <c r="A39" i="14674" a="1"/>
  <c r="A42" i="14674" s="1"/>
  <c r="A39" i="14634" a="1"/>
  <c r="A40" i="14634" s="1"/>
  <c r="A26" i="14674"/>
  <c r="A26" i="14634"/>
  <c r="A1" i="14634"/>
  <c r="A1" i="14639"/>
  <c r="A1" i="14674"/>
  <c r="A25" i="14682"/>
  <c r="A27" i="14672"/>
  <c r="A27" i="14629"/>
  <c r="A27" i="14636"/>
  <c r="B65" i="14643"/>
  <c r="D65" i="14643"/>
  <c r="F65" i="14643"/>
  <c r="H65" i="14643"/>
  <c r="C65" i="14643"/>
  <c r="G65" i="14643"/>
  <c r="E65" i="14643"/>
  <c r="I65" i="14643"/>
  <c r="E30" i="14647"/>
  <c r="E45" i="14647" s="1"/>
  <c r="A59" i="14694" a="1"/>
  <c r="E19" i="14652"/>
  <c r="C20" i="14652"/>
  <c r="C21" i="14652" s="1"/>
  <c r="C22" i="14652" s="1"/>
  <c r="C23" i="14652" s="1"/>
  <c r="C24" i="14652" s="1"/>
  <c r="E12" i="14622"/>
  <c r="E14" i="14622"/>
  <c r="E16" i="14695"/>
  <c r="F16" i="14695"/>
  <c r="I32" i="14652"/>
  <c r="H32" i="14652"/>
  <c r="B31" i="14690"/>
  <c r="H57" i="14705"/>
  <c r="B6" i="14631"/>
  <c r="D6" i="14631"/>
  <c r="F6" i="14631"/>
  <c r="H6" i="14631"/>
  <c r="J6" i="14631"/>
  <c r="L6" i="14631"/>
  <c r="B14" i="11"/>
  <c r="B29" i="14667" s="1"/>
  <c r="G6" i="8"/>
  <c r="I6" i="8"/>
  <c r="K6" i="8"/>
  <c r="M6" i="8"/>
  <c r="I22" i="14685"/>
  <c r="I26" i="14685" s="1"/>
  <c r="J22" i="14685"/>
  <c r="B45" i="14685"/>
  <c r="B50" i="14685" s="1"/>
  <c r="C45" i="14685"/>
  <c r="B39" i="14685"/>
  <c r="B43" i="14685" s="1"/>
  <c r="D39" i="14685"/>
  <c r="B28" i="14685"/>
  <c r="B31" i="14685" s="1"/>
  <c r="D28" i="14685"/>
  <c r="C14" i="14687"/>
  <c r="J10" i="14687"/>
  <c r="I8" i="14624" s="1"/>
  <c r="D18" i="14706"/>
  <c r="F18" i="14706" s="1"/>
  <c r="H18" i="14706" s="1"/>
  <c r="J18" i="14706" s="1"/>
  <c r="L18" i="14706" s="1"/>
  <c r="N18" i="14706" s="1"/>
  <c r="D10" i="14667"/>
  <c r="F10" i="14667" s="1"/>
  <c r="H10" i="14667" s="1"/>
  <c r="J10" i="14667" s="1"/>
  <c r="L10" i="14667" s="1"/>
  <c r="N10" i="14667" s="1"/>
  <c r="N58" i="14698"/>
  <c r="N31" i="14698"/>
  <c r="N45" i="14698"/>
  <c r="N58" i="14702"/>
  <c r="N31" i="14702"/>
  <c r="N45" i="14702"/>
  <c r="N58" i="14700"/>
  <c r="N31" i="14700"/>
  <c r="N45" i="14700"/>
  <c r="A31" i="14701"/>
  <c r="A31" i="14704"/>
  <c r="A31" i="14700"/>
  <c r="A31" i="14698"/>
  <c r="A164" i="14700"/>
  <c r="A164" i="14702"/>
  <c r="A164" i="14698"/>
  <c r="A164" i="14701"/>
  <c r="A236" i="14700"/>
  <c r="A236" i="14702"/>
  <c r="A236" i="14698"/>
  <c r="A236" i="14701"/>
  <c r="A18" i="14681"/>
  <c r="A20" i="14681"/>
  <c r="A19" i="14681"/>
  <c r="A36" i="14681"/>
  <c r="A38" i="14681"/>
  <c r="A37" i="14681"/>
  <c r="A17" i="14672" a="1"/>
  <c r="A17" i="14672" s="1"/>
  <c r="A17" i="14629" a="1"/>
  <c r="A17" i="14636" a="1"/>
  <c r="A20" i="14636" s="1"/>
  <c r="E18" i="4129"/>
  <c r="A94" i="14648"/>
  <c r="F4" i="14661"/>
  <c r="A36" i="14648"/>
  <c r="A92" i="14645"/>
  <c r="A94" i="14645"/>
  <c r="A93" i="14645"/>
  <c r="A95" i="14645"/>
  <c r="B91" i="14643"/>
  <c r="D91" i="14643"/>
  <c r="F91" i="14643"/>
  <c r="H91" i="14643"/>
  <c r="C91" i="14643"/>
  <c r="G91" i="14643"/>
  <c r="E91" i="14643"/>
  <c r="A31" i="14617"/>
  <c r="O6" i="14655"/>
  <c r="O9" i="14655"/>
  <c r="O13" i="14655"/>
  <c r="O17" i="14655"/>
  <c r="O21" i="14655"/>
  <c r="M6" i="14655"/>
  <c r="M9" i="14655"/>
  <c r="M13" i="14655"/>
  <c r="M17" i="14655"/>
  <c r="M21" i="14655"/>
  <c r="K6" i="14655"/>
  <c r="K9" i="14655"/>
  <c r="K13" i="14655"/>
  <c r="K17" i="14655"/>
  <c r="K21" i="14655"/>
  <c r="I6" i="14655"/>
  <c r="I9" i="14655"/>
  <c r="I13" i="14655"/>
  <c r="I17" i="14655"/>
  <c r="I21" i="14655"/>
  <c r="G6" i="14655"/>
  <c r="G9" i="14655"/>
  <c r="G13" i="14655"/>
  <c r="G17" i="14655"/>
  <c r="G21" i="14655"/>
  <c r="E6" i="14655"/>
  <c r="E9" i="14655"/>
  <c r="E13" i="14655"/>
  <c r="E17" i="14655"/>
  <c r="E21" i="14655"/>
  <c r="A57" i="14652" a="1"/>
  <c r="A60" i="14652" s="1"/>
  <c r="A33" i="14652" a="1"/>
  <c r="A38" i="14652" s="1"/>
  <c r="A40" i="14698"/>
  <c r="A67" i="14698"/>
  <c r="A104" i="14698"/>
  <c r="A40" i="14702"/>
  <c r="A67" i="14702"/>
  <c r="A104" i="14702"/>
  <c r="A40" i="14700"/>
  <c r="A67" i="14700"/>
  <c r="A104" i="14700"/>
  <c r="A57" i="14700"/>
  <c r="A57" i="14702"/>
  <c r="A57" i="14698"/>
  <c r="A146" i="14700"/>
  <c r="A146" i="14702"/>
  <c r="A146" i="14698"/>
  <c r="A182" i="14700"/>
  <c r="A182" i="14702"/>
  <c r="A182" i="14698"/>
  <c r="A218" i="14700"/>
  <c r="A218" i="14702"/>
  <c r="A218" i="14698"/>
  <c r="A4" i="14631"/>
  <c r="A6" i="14631"/>
  <c r="A4" i="14670"/>
  <c r="A6" i="14670"/>
  <c r="A4" i="8"/>
  <c r="A6" i="8"/>
  <c r="A15" i="14671"/>
  <c r="A15" i="14640"/>
  <c r="A17" i="14640"/>
  <c r="A25" i="8"/>
  <c r="A27" i="8"/>
  <c r="A25" i="14671"/>
  <c r="A27" i="14671"/>
  <c r="A25" i="14670"/>
  <c r="A27" i="14670"/>
  <c r="A25" i="14640"/>
  <c r="A27" i="14640"/>
  <c r="A25" i="14631"/>
  <c r="A13" i="14682"/>
  <c r="A15" i="14672"/>
  <c r="A15" i="14629"/>
  <c r="A22" i="14672" a="1"/>
  <c r="A22" i="14629" a="1"/>
  <c r="A25" i="14629" s="1"/>
  <c r="A20" i="14682" a="1"/>
  <c r="A21" i="14682" s="1"/>
  <c r="A51" i="14682"/>
  <c r="A55" i="14672"/>
  <c r="A55" i="14629"/>
  <c r="A20" i="14677"/>
  <c r="A22" i="14677"/>
  <c r="A72" i="14645"/>
  <c r="A74" i="14645"/>
  <c r="A73" i="14645"/>
  <c r="B9" i="14706"/>
  <c r="B19" i="14667"/>
  <c r="C43" i="14667" s="1"/>
  <c r="I21" i="14622"/>
  <c r="I23" i="14622"/>
  <c r="L7" i="14625" s="1"/>
  <c r="B10" i="14706"/>
  <c r="A30" i="14633"/>
  <c r="A28" i="14676"/>
  <c r="A30" i="14676"/>
  <c r="A5" i="14677" a="1"/>
  <c r="A9" i="14677" s="1"/>
  <c r="A28" i="14645"/>
  <c r="A30" i="14645"/>
  <c r="A75" i="14707"/>
  <c r="G45" i="14707"/>
  <c r="G47" i="14707" s="1" a="1"/>
  <c r="A39" i="14707"/>
  <c r="A76" i="14707"/>
  <c r="A23" i="14649"/>
  <c r="A40" i="14649"/>
  <c r="A45" i="14649"/>
  <c r="A43" i="14649"/>
  <c r="I23" i="14643"/>
  <c r="I15" i="14643"/>
  <c r="I18" i="14643"/>
  <c r="I12" i="14643"/>
  <c r="C24" i="14626"/>
  <c r="D43" i="14706"/>
  <c r="B43" i="14706"/>
  <c r="C43" i="14706" s="1"/>
  <c r="D28" i="14706"/>
  <c r="B28" i="14706"/>
  <c r="C28" i="14706" s="1"/>
  <c r="D25" i="11"/>
  <c r="B30" i="14667"/>
  <c r="C30" i="14667" s="1"/>
  <c r="B35" i="14667"/>
  <c r="C35" i="14667" s="1"/>
  <c r="D37" i="14706"/>
  <c r="B21" i="14667"/>
  <c r="I20" i="14622"/>
  <c r="B16" i="14667"/>
  <c r="M11" i="14645"/>
  <c r="D16" i="14667"/>
  <c r="I24" i="14622"/>
  <c r="B7" i="14706"/>
  <c r="C32" i="14706" s="1"/>
  <c r="B5" i="14667"/>
  <c r="A27" i="14648"/>
  <c r="A30" i="14648"/>
  <c r="C25" i="14626"/>
  <c r="B40" i="14667"/>
  <c r="D14" i="11"/>
  <c r="A31" i="14694"/>
  <c r="A39" i="14634"/>
  <c r="A19" i="14675"/>
  <c r="A20" i="14675"/>
  <c r="A20" i="14634"/>
  <c r="A19" i="14634"/>
  <c r="A22" i="14634"/>
  <c r="A21" i="14634"/>
  <c r="A12" i="14634"/>
  <c r="A11" i="14634"/>
  <c r="A13" i="14674"/>
  <c r="A11" i="14674"/>
  <c r="A12" i="14674"/>
  <c r="A5" i="14634"/>
  <c r="A7" i="14634"/>
  <c r="A4" i="14674"/>
  <c r="H88" i="14647"/>
  <c r="B88" i="14647" s="1"/>
  <c r="I88" i="14647" s="1"/>
  <c r="A7" i="14673"/>
  <c r="I235" i="14702"/>
  <c r="I145" i="14702"/>
  <c r="I163" i="14701"/>
  <c r="F18" i="4129"/>
  <c r="A66" i="14648" s="1"/>
  <c r="A60" i="14694"/>
  <c r="C43" i="14647"/>
  <c r="J43" i="14647" s="1" a="1"/>
  <c r="J43" i="14647" s="1"/>
  <c r="A41" i="14674"/>
  <c r="A20" i="14674"/>
  <c r="A12" i="14639"/>
  <c r="A6" i="14639"/>
  <c r="A7" i="14639"/>
  <c r="B8" i="14689"/>
  <c r="B9" i="14689"/>
  <c r="B6" i="14689"/>
  <c r="B7" i="14689"/>
  <c r="G60" i="14685"/>
  <c r="G30" i="14685"/>
  <c r="I65" i="14645"/>
  <c r="I66" i="14645" s="1"/>
  <c r="J65" i="14645"/>
  <c r="J66" i="14645" s="1"/>
  <c r="B25" i="14647"/>
  <c r="I25" i="14647" s="1"/>
  <c r="D40" i="14647"/>
  <c r="B40" i="14647" s="1"/>
  <c r="I40" i="14647" s="1"/>
  <c r="E20" i="14686"/>
  <c r="F20" i="14686" s="1"/>
  <c r="F29" i="14686" s="1" a="1"/>
  <c r="D29" i="14686" a="1"/>
  <c r="D29" i="14686" s="1"/>
  <c r="D90" i="14647"/>
  <c r="B79" i="14647"/>
  <c r="I79" i="14647" s="1"/>
  <c r="B29" i="14647"/>
  <c r="I29" i="14647" s="1"/>
  <c r="J9" i="14647" a="1"/>
  <c r="J9" i="14647" s="1"/>
  <c r="J11" i="14647" a="1"/>
  <c r="J11" i="14647" s="1"/>
  <c r="D92" i="14647"/>
  <c r="F77" i="14689"/>
  <c r="I11" i="14645"/>
  <c r="I12" i="14645" s="1"/>
  <c r="H11" i="14645"/>
  <c r="H12" i="14645" s="1"/>
  <c r="K11" i="14645"/>
  <c r="K12" i="14645" s="1"/>
  <c r="J35" i="14667"/>
  <c r="L35" i="14667" s="1"/>
  <c r="N35" i="14667" s="1"/>
  <c r="J11" i="14645"/>
  <c r="J12" i="14645" s="1"/>
  <c r="A22" i="14672"/>
  <c r="A18" i="14629"/>
  <c r="A17" i="14636"/>
  <c r="A19" i="14636"/>
  <c r="A18" i="14636"/>
  <c r="A23" i="14682"/>
  <c r="A62" i="14652"/>
  <c r="A20" i="11"/>
  <c r="A12" i="11"/>
  <c r="A25" i="11"/>
  <c r="D4" i="14706"/>
  <c r="H4" i="14706" s="1"/>
  <c r="A42" i="14649"/>
  <c r="A23" i="14703"/>
  <c r="A37" i="14630"/>
  <c r="A38" i="14630"/>
  <c r="A37" i="7"/>
  <c r="A34" i="7"/>
  <c r="A36" i="7"/>
  <c r="A33" i="7"/>
  <c r="A22" i="14669"/>
  <c r="A23" i="14669"/>
  <c r="A17" i="14669"/>
  <c r="A20" i="14669"/>
  <c r="A11" i="14653"/>
  <c r="A8" i="14653"/>
  <c r="A9" i="14647"/>
  <c r="A10" i="14647"/>
  <c r="A14" i="14647"/>
  <c r="A11" i="14647"/>
  <c r="A38" i="14637"/>
  <c r="A19" i="14630"/>
  <c r="A18" i="7"/>
  <c r="A19" i="7"/>
  <c r="A9" i="14669"/>
  <c r="A8" i="14669"/>
  <c r="A10" i="14669"/>
  <c r="A94" i="14647"/>
  <c r="A90" i="14647"/>
  <c r="A93" i="14647"/>
  <c r="A91" i="14647"/>
  <c r="A10" i="14638"/>
  <c r="D12" i="14708"/>
  <c r="A18" i="14649"/>
  <c r="A39" i="14649"/>
  <c r="A44" i="14649"/>
  <c r="I14" i="14643"/>
  <c r="I7" i="14643"/>
  <c r="D4" i="14667"/>
  <c r="N4" i="14667" s="1"/>
  <c r="A18" i="14686"/>
  <c r="C92" i="14665"/>
  <c r="A73" i="14707"/>
  <c r="A38" i="14707"/>
  <c r="A15" i="14649"/>
  <c r="I24" i="14643"/>
  <c r="A72" i="14707"/>
  <c r="C31" i="14649"/>
  <c r="A31" i="14649"/>
  <c r="A71" i="14707"/>
  <c r="D11" i="14708"/>
  <c r="C97" i="14665"/>
  <c r="B76" i="14645"/>
  <c r="A8" i="14703"/>
  <c r="A197" i="14700"/>
  <c r="A196" i="14700"/>
  <c r="L10" i="14687"/>
  <c r="A9" i="14673"/>
  <c r="H10" i="14655"/>
  <c r="F21" i="14655"/>
  <c r="A16" i="14630"/>
  <c r="A16" i="14669"/>
  <c r="A16" i="14637"/>
  <c r="A13" i="14700"/>
  <c r="A15" i="14700"/>
  <c r="A250" i="14700" s="1"/>
  <c r="A15" i="14704"/>
  <c r="A251" i="14704" s="1"/>
  <c r="A9" i="14704"/>
  <c r="A14" i="14704"/>
  <c r="A232" i="14704" s="1"/>
  <c r="A33" i="14674"/>
  <c r="A34" i="14674"/>
  <c r="A37" i="14628"/>
  <c r="A34" i="14628"/>
  <c r="A40" i="14679"/>
  <c r="A38" i="14679"/>
  <c r="A60" i="14698"/>
  <c r="A61" i="14698"/>
  <c r="A60" i="14704"/>
  <c r="A61" i="14704"/>
  <c r="A53" i="14701"/>
  <c r="A48" i="14701"/>
  <c r="A33" i="14698"/>
  <c r="A34" i="14698"/>
  <c r="A33" i="14704"/>
  <c r="A34" i="14704"/>
  <c r="A27" i="14701"/>
  <c r="A22" i="14701"/>
  <c r="A14" i="14698"/>
  <c r="A232" i="14698" s="1"/>
  <c r="A15" i="14698"/>
  <c r="A251" i="14698" s="1"/>
  <c r="K7" i="14655"/>
  <c r="K11" i="14655"/>
  <c r="K15" i="14655"/>
  <c r="K19" i="14655"/>
  <c r="A28" i="11"/>
  <c r="A10" i="11"/>
  <c r="B70" i="14709"/>
  <c r="B75" i="14709"/>
  <c r="D16" i="14709"/>
  <c r="A251" i="14700"/>
  <c r="I32" i="14653" l="1"/>
  <c r="E32" i="14653"/>
  <c r="M32" i="14653"/>
  <c r="H32" i="14653"/>
  <c r="F32" i="14653"/>
  <c r="B32" i="14653"/>
  <c r="C32" i="14653"/>
  <c r="D32" i="14653"/>
  <c r="G32" i="14653"/>
  <c r="J32" i="14653"/>
  <c r="J45" i="14653" s="1"/>
  <c r="K32" i="14653"/>
  <c r="K45" i="14653" s="1"/>
  <c r="L32" i="14653"/>
  <c r="G13" i="14687"/>
  <c r="F8" i="14686"/>
  <c r="E14" i="14686"/>
  <c r="H8" i="14655"/>
  <c r="A39" i="14652"/>
  <c r="A60" i="14647"/>
  <c r="A18" i="14630"/>
  <c r="P16" i="14655"/>
  <c r="A66" i="14703"/>
  <c r="H20" i="14655"/>
  <c r="P8" i="14655"/>
  <c r="A46" i="14702"/>
  <c r="A35" i="14653"/>
  <c r="H15" i="14655"/>
  <c r="P18" i="14655"/>
  <c r="G14" i="14687"/>
  <c r="B4" i="14706"/>
  <c r="C29" i="14706" s="1"/>
  <c r="H7" i="14655"/>
  <c r="P15" i="14655"/>
  <c r="A17" i="14630"/>
  <c r="C16" i="14622"/>
  <c r="P14" i="14655"/>
  <c r="H12" i="14687"/>
  <c r="A7" i="14683"/>
  <c r="A13" i="14703"/>
  <c r="A199" i="14703" s="1"/>
  <c r="A199" i="14701" s="1"/>
  <c r="P20" i="14655"/>
  <c r="P11" i="14655"/>
  <c r="A161" i="14700"/>
  <c r="P13" i="14655"/>
  <c r="P10" i="14655"/>
  <c r="A39" i="14653"/>
  <c r="A8" i="14701"/>
  <c r="A125" i="14701" s="1"/>
  <c r="A15" i="14703"/>
  <c r="A251" i="14703" s="1"/>
  <c r="P21" i="14655"/>
  <c r="P7" i="14655"/>
  <c r="A11" i="14703"/>
  <c r="A179" i="14703" s="1"/>
  <c r="F9" i="14655"/>
  <c r="A22" i="14630"/>
  <c r="A21" i="14703"/>
  <c r="P12" i="14655"/>
  <c r="F8" i="14655"/>
  <c r="H6" i="14655"/>
  <c r="A33" i="14652"/>
  <c r="I15" i="14687"/>
  <c r="A34" i="14637"/>
  <c r="A22" i="14703"/>
  <c r="A89" i="14687"/>
  <c r="H11" i="14655"/>
  <c r="A64" i="14703"/>
  <c r="A12" i="14683"/>
  <c r="A26" i="14703"/>
  <c r="A36" i="14637"/>
  <c r="A35" i="14637"/>
  <c r="A24" i="14703"/>
  <c r="K13" i="14687"/>
  <c r="A10" i="14683"/>
  <c r="A62" i="14653"/>
  <c r="F11" i="14655"/>
  <c r="A37" i="14652"/>
  <c r="A12" i="14702"/>
  <c r="A60" i="14653"/>
  <c r="F20" i="14655"/>
  <c r="A9" i="14632"/>
  <c r="F15" i="14655"/>
  <c r="A37" i="14637"/>
  <c r="H26" i="14655"/>
  <c r="A36" i="14652"/>
  <c r="A13" i="14702"/>
  <c r="A214" i="14702" s="1"/>
  <c r="A65" i="14653"/>
  <c r="A51" i="14683"/>
  <c r="F12" i="14655"/>
  <c r="C20" i="14622"/>
  <c r="A14" i="14632"/>
  <c r="A34" i="14652"/>
  <c r="H12" i="14655"/>
  <c r="A10" i="14702"/>
  <c r="A160" i="14702" s="1"/>
  <c r="A61" i="14653"/>
  <c r="A53" i="14683"/>
  <c r="F19" i="14655"/>
  <c r="C21" i="14622"/>
  <c r="B70" i="14643"/>
  <c r="A21" i="14700"/>
  <c r="F13" i="14655"/>
  <c r="A35" i="14652"/>
  <c r="A40" i="14652"/>
  <c r="H16" i="14655"/>
  <c r="A6" i="14668"/>
  <c r="A55" i="14683"/>
  <c r="H21" i="14655"/>
  <c r="B72" i="14643"/>
  <c r="A66" i="14700"/>
  <c r="A9" i="14702"/>
  <c r="H17" i="14655"/>
  <c r="B67" i="14643"/>
  <c r="A64" i="14700"/>
  <c r="A7" i="14668"/>
  <c r="A11" i="14668"/>
  <c r="H18" i="14655"/>
  <c r="A62" i="14647"/>
  <c r="A12" i="14668"/>
  <c r="H13" i="14655"/>
  <c r="H9" i="14655"/>
  <c r="A125" i="14700"/>
  <c r="A62" i="14703"/>
  <c r="A59" i="14653"/>
  <c r="H14" i="14655"/>
  <c r="A57" i="14647"/>
  <c r="A10" i="14668"/>
  <c r="C22" i="14622"/>
  <c r="A54" i="14683"/>
  <c r="B34" i="14674"/>
  <c r="B36" i="14674"/>
  <c r="A214" i="14698"/>
  <c r="A215" i="14698"/>
  <c r="A2" i="14675"/>
  <c r="A2" i="14674"/>
  <c r="A2" i="14634"/>
  <c r="A2" i="14639"/>
  <c r="C74" i="14647"/>
  <c r="C89" i="14647" s="1"/>
  <c r="J56" i="14647" a="1"/>
  <c r="J56" i="14647" s="1"/>
  <c r="D21" i="14686"/>
  <c r="E21" i="14686" s="1"/>
  <c r="F21" i="14686" s="1"/>
  <c r="C48" i="14686" a="1"/>
  <c r="A68" i="14648"/>
  <c r="A69" i="14648"/>
  <c r="B36" i="14675"/>
  <c r="B31" i="14675"/>
  <c r="B35" i="14675"/>
  <c r="C76" i="14645"/>
  <c r="A7" i="14672" a="1"/>
  <c r="A28" i="14687" a="1"/>
  <c r="A33" i="14687" s="1"/>
  <c r="A23" i="14677"/>
  <c r="A24" i="14677"/>
  <c r="A21" i="14677"/>
  <c r="A25" i="14677"/>
  <c r="A41" i="14634"/>
  <c r="G61" i="14685"/>
  <c r="G59" i="14685"/>
  <c r="B19" i="14647"/>
  <c r="J39" i="14647" a="1"/>
  <c r="J39" i="14647" s="1"/>
  <c r="A14" i="14678"/>
  <c r="A12" i="14678"/>
  <c r="A7" i="14678"/>
  <c r="O47" i="14653"/>
  <c r="F26" i="14655"/>
  <c r="F17" i="14655"/>
  <c r="F6" i="14655"/>
  <c r="Q6" i="14655" s="1"/>
  <c r="T6" i="14655" s="1"/>
  <c r="F7" i="14655"/>
  <c r="F10" i="14655"/>
  <c r="F14" i="14655"/>
  <c r="F18" i="14655"/>
  <c r="A233" i="14704"/>
  <c r="A178" i="14703"/>
  <c r="A163" i="14703"/>
  <c r="A163" i="14700" s="1"/>
  <c r="A42" i="14634"/>
  <c r="G4" i="14661"/>
  <c r="A99" i="14648"/>
  <c r="G39" i="14647"/>
  <c r="B39" i="14647" s="1"/>
  <c r="I39" i="14647" s="1"/>
  <c r="B24" i="14647"/>
  <c r="I24" i="14647" s="1"/>
  <c r="J61" i="14647" a="1"/>
  <c r="J61" i="14647" s="1"/>
  <c r="J14" i="14647" a="1"/>
  <c r="J14" i="14647" s="1"/>
  <c r="J79" i="14647" a="1"/>
  <c r="J79" i="14647" s="1"/>
  <c r="B19" i="14689"/>
  <c r="B17" i="14689"/>
  <c r="A65" i="14702"/>
  <c r="A59" i="14702"/>
  <c r="A60" i="14702"/>
  <c r="A9" i="14701"/>
  <c r="A15" i="14701"/>
  <c r="A250" i="14701" s="1"/>
  <c r="A13" i="14701"/>
  <c r="A10" i="14701"/>
  <c r="A14" i="14701"/>
  <c r="A12" i="14701"/>
  <c r="A34" i="14653"/>
  <c r="A36" i="14653"/>
  <c r="A7" i="14638"/>
  <c r="A12" i="14638"/>
  <c r="A8" i="14638"/>
  <c r="O46" i="14653"/>
  <c r="A6" i="14674"/>
  <c r="A8" i="14674"/>
  <c r="A7" i="14679"/>
  <c r="A10" i="14679"/>
  <c r="A47" i="14698"/>
  <c r="A48" i="14698"/>
  <c r="A11" i="14704"/>
  <c r="A10" i="14704"/>
  <c r="A161" i="14704" s="1"/>
  <c r="A20" i="14653"/>
  <c r="A24" i="14653"/>
  <c r="A19" i="14653"/>
  <c r="A26" i="14653"/>
  <c r="A21" i="14653"/>
  <c r="A23" i="14653"/>
  <c r="A38" i="14674"/>
  <c r="A32" i="14674"/>
  <c r="A31" i="14674"/>
  <c r="A36" i="14674"/>
  <c r="A35" i="14674"/>
  <c r="A37" i="14698"/>
  <c r="A39" i="14698"/>
  <c r="A36" i="14698"/>
  <c r="A38" i="14698"/>
  <c r="A35" i="14698"/>
  <c r="A19" i="14637"/>
  <c r="A23" i="14637"/>
  <c r="A18" i="14637"/>
  <c r="A21" i="14637"/>
  <c r="A17" i="14637"/>
  <c r="A24" i="14637"/>
  <c r="A5" i="14689"/>
  <c r="A71" i="14689" s="1"/>
  <c r="A9" i="14689"/>
  <c r="A7" i="14689"/>
  <c r="A8" i="14689"/>
  <c r="A10" i="14689"/>
  <c r="A6" i="14689"/>
  <c r="A13" i="14623"/>
  <c r="A7" i="14623"/>
  <c r="A50" i="14700"/>
  <c r="A49" i="14700"/>
  <c r="A47" i="14700"/>
  <c r="A48" i="14700"/>
  <c r="A34" i="14630"/>
  <c r="A33" i="14630"/>
  <c r="A35" i="14630"/>
  <c r="A10" i="14653"/>
  <c r="A7" i="14653"/>
  <c r="A9" i="14653"/>
  <c r="A35" i="14675"/>
  <c r="A31" i="14675"/>
  <c r="A36" i="14700"/>
  <c r="A35" i="14700"/>
  <c r="A24" i="7"/>
  <c r="A23" i="7"/>
  <c r="A22" i="7"/>
  <c r="A21" i="7"/>
  <c r="E8" i="14652"/>
  <c r="G7" i="14652"/>
  <c r="I7" i="14652" s="1"/>
  <c r="I8" i="14652" s="1"/>
  <c r="I9" i="14652" s="1"/>
  <c r="I10" i="14652" s="1"/>
  <c r="I11" i="14652" s="1"/>
  <c r="I12" i="14652" s="1"/>
  <c r="I13" i="14652" s="1"/>
  <c r="I14" i="14652" s="1"/>
  <c r="I145" i="14703"/>
  <c r="I127" i="14703"/>
  <c r="I163" i="14703"/>
  <c r="B35" i="14689"/>
  <c r="B34" i="14689"/>
  <c r="B36" i="14689"/>
  <c r="G32" i="14652"/>
  <c r="F32" i="14652"/>
  <c r="K145" i="14700"/>
  <c r="A9" i="14703"/>
  <c r="A12" i="14703"/>
  <c r="A14" i="14703"/>
  <c r="A232" i="14703" s="1"/>
  <c r="K181" i="14704"/>
  <c r="K181" i="14701"/>
  <c r="K181" i="14703"/>
  <c r="K181" i="14698"/>
  <c r="K181" i="14702"/>
  <c r="K181" i="14700"/>
  <c r="J4" i="14667"/>
  <c r="C14" i="14686"/>
  <c r="A215" i="14704"/>
  <c r="B28" i="14687" a="1"/>
  <c r="A34" i="14675"/>
  <c r="A13" i="14678"/>
  <c r="A25" i="14653"/>
  <c r="B46" i="14647"/>
  <c r="I46" i="14647" s="1"/>
  <c r="K217" i="14701"/>
  <c r="K217" i="14698"/>
  <c r="B28" i="14647"/>
  <c r="I28" i="14647" s="1"/>
  <c r="E41" i="14647"/>
  <c r="J41" i="14647" s="1" a="1"/>
  <c r="J41" i="14647" s="1"/>
  <c r="B26" i="14647"/>
  <c r="I26" i="14647" s="1"/>
  <c r="A145" i="14703"/>
  <c r="A145" i="14701" s="1"/>
  <c r="A87" i="14647" a="1"/>
  <c r="A87" i="14647" s="1"/>
  <c r="A37" i="14675"/>
  <c r="K163" i="14702"/>
  <c r="K163" i="14704"/>
  <c r="H75" i="14647"/>
  <c r="H90" i="14647" s="1"/>
  <c r="B57" i="14647"/>
  <c r="I57" i="14647" s="1"/>
  <c r="C11" i="14687"/>
  <c r="H11" i="14687"/>
  <c r="J11" i="14687"/>
  <c r="L11" i="14687"/>
  <c r="N11" i="14687"/>
  <c r="D15" i="14687"/>
  <c r="D13" i="14687"/>
  <c r="O13" i="14687" s="1"/>
  <c r="E20" i="14652"/>
  <c r="E21" i="14652" s="1"/>
  <c r="E22" i="14652" s="1"/>
  <c r="E23" i="14652" s="1"/>
  <c r="E24" i="14652" s="1"/>
  <c r="E25" i="14652" s="1"/>
  <c r="E26" i="14652" s="1"/>
  <c r="G19" i="14652"/>
  <c r="I19" i="14652" s="1"/>
  <c r="I20" i="14652" s="1"/>
  <c r="I21" i="14652" s="1"/>
  <c r="I22" i="14652" s="1"/>
  <c r="I23" i="14652" s="1"/>
  <c r="I24" i="14652" s="1"/>
  <c r="I25" i="14652" s="1"/>
  <c r="I26" i="14652" s="1"/>
  <c r="A161" i="14703"/>
  <c r="E29" i="14686" a="1"/>
  <c r="E29" i="14686" s="1"/>
  <c r="B32" i="14675"/>
  <c r="A7" i="14674"/>
  <c r="A25" i="14672"/>
  <c r="A24" i="14672"/>
  <c r="A67" i="14648"/>
  <c r="B31" i="14628" a="1"/>
  <c r="A13" i="14638"/>
  <c r="A22" i="14675"/>
  <c r="A21" i="14675"/>
  <c r="B34" i="14675"/>
  <c r="A5" i="14674"/>
  <c r="D14" i="14686"/>
  <c r="D7" i="11"/>
  <c r="B40" i="14706"/>
  <c r="C40" i="14706" s="1"/>
  <c r="A22" i="14653"/>
  <c r="A12" i="14704"/>
  <c r="A9" i="14638"/>
  <c r="A42" i="14678"/>
  <c r="A35" i="14678"/>
  <c r="A37" i="14678"/>
  <c r="A36" i="14678"/>
  <c r="A6" i="14637"/>
  <c r="A9" i="14637"/>
  <c r="A7" i="14637"/>
  <c r="A5" i="14637"/>
  <c r="A12" i="14637"/>
  <c r="A65" i="14698"/>
  <c r="A66" i="14698"/>
  <c r="A62" i="14698"/>
  <c r="A59" i="14698"/>
  <c r="A64" i="14698"/>
  <c r="A63" i="14698"/>
  <c r="A10" i="14698"/>
  <c r="A161" i="14698" s="1"/>
  <c r="A12" i="14698"/>
  <c r="A196" i="14698" s="1"/>
  <c r="A11" i="14698"/>
  <c r="A9" i="14698"/>
  <c r="A8" i="14698"/>
  <c r="A79" i="14647"/>
  <c r="A78" i="14647"/>
  <c r="A80" i="14647"/>
  <c r="A76" i="14647"/>
  <c r="A77" i="14647"/>
  <c r="A75" i="14647"/>
  <c r="J58" i="14652" a="1"/>
  <c r="J58" i="14652" s="1"/>
  <c r="I47" i="14705"/>
  <c r="E77" i="14647"/>
  <c r="B59" i="14647"/>
  <c r="I59" i="14647" s="1"/>
  <c r="D55" i="14665"/>
  <c r="D56" i="14665" s="1"/>
  <c r="D57" i="14665" s="1"/>
  <c r="B54" i="14665"/>
  <c r="B34" i="14667"/>
  <c r="C34" i="14667" s="1"/>
  <c r="D13" i="11"/>
  <c r="A179" i="14701"/>
  <c r="A14" i="14673"/>
  <c r="A10" i="14673"/>
  <c r="I109" i="14700"/>
  <c r="I70" i="14700"/>
  <c r="A125" i="14704"/>
  <c r="A124" i="14704"/>
  <c r="A178" i="14702"/>
  <c r="A179" i="14702"/>
  <c r="D95" i="14647"/>
  <c r="J95" i="14647" s="1" a="1"/>
  <c r="J95" i="14647" s="1"/>
  <c r="B80" i="14647"/>
  <c r="I80" i="14647" s="1"/>
  <c r="D76" i="14690"/>
  <c r="B85" i="14687" a="1"/>
  <c r="A52" i="14648"/>
  <c r="A53" i="14648"/>
  <c r="A54" i="14648"/>
  <c r="D10" i="14687"/>
  <c r="C8" i="14624" s="1"/>
  <c r="A29" i="14682" a="1"/>
  <c r="A33" i="14624" a="1"/>
  <c r="A33" i="14673" a="1"/>
  <c r="A33" i="14672" a="1"/>
  <c r="A33" i="14636" a="1"/>
  <c r="A33" i="14629" a="1"/>
  <c r="J59" i="14652" a="1"/>
  <c r="J59" i="14652" s="1"/>
  <c r="G16" i="14695"/>
  <c r="I19" i="14655"/>
  <c r="I7" i="14655"/>
  <c r="D38" i="14641"/>
  <c r="A19" i="14645"/>
  <c r="B52" i="14643"/>
  <c r="N10" i="14653"/>
  <c r="B41" i="14667"/>
  <c r="C41" i="14667" s="1"/>
  <c r="B77" i="14647"/>
  <c r="I77" i="14647" s="1"/>
  <c r="A56" i="14647"/>
  <c r="A36" i="14669"/>
  <c r="A31" i="14647"/>
  <c r="B14" i="14647"/>
  <c r="I14" i="14647" s="1"/>
  <c r="B27" i="14648"/>
  <c r="A31" i="14677"/>
  <c r="B75" i="14647"/>
  <c r="I75" i="14647" s="1"/>
  <c r="A24" i="14707"/>
  <c r="A39" i="14669"/>
  <c r="A8" i="14630"/>
  <c r="A14" i="14700"/>
  <c r="A75" i="14653"/>
  <c r="B83" i="14643"/>
  <c r="A9" i="14700"/>
  <c r="K22" i="14639"/>
  <c r="K24" i="14639" s="1"/>
  <c r="D24" i="14677"/>
  <c r="J56" i="14652"/>
  <c r="I18" i="14655"/>
  <c r="A18" i="8"/>
  <c r="A26" i="14679"/>
  <c r="A29" i="14677"/>
  <c r="A31" i="14645"/>
  <c r="I27" i="14643" a="1"/>
  <c r="I27" i="14643" s="1"/>
  <c r="A4" i="14634"/>
  <c r="A31" i="14639"/>
  <c r="A49" i="14702"/>
  <c r="A35" i="14628"/>
  <c r="A35" i="14704"/>
  <c r="B56" i="14652"/>
  <c r="A85" i="14702"/>
  <c r="E62" i="14665"/>
  <c r="I15" i="14655"/>
  <c r="D24" i="14676"/>
  <c r="M6" i="14631"/>
  <c r="A54" i="14700"/>
  <c r="A5" i="14631"/>
  <c r="A18" i="14670"/>
  <c r="A54" i="14638"/>
  <c r="B40" i="14676"/>
  <c r="A34" i="14639"/>
  <c r="A8" i="14702"/>
  <c r="A125" i="14702" s="1"/>
  <c r="A19" i="14672"/>
  <c r="A8" i="14634"/>
  <c r="K235" i="14704"/>
  <c r="H17" i="14661"/>
  <c r="A64" i="14701"/>
  <c r="A24" i="14647"/>
  <c r="A34" i="14668"/>
  <c r="A36" i="14683"/>
  <c r="A22" i="14700"/>
  <c r="B96" i="14643"/>
  <c r="A63" i="14701"/>
  <c r="A11" i="14700"/>
  <c r="A52" i="14638"/>
  <c r="A20" i="14625" a="1"/>
  <c r="A23" i="14625" s="1"/>
  <c r="B80" i="14689"/>
  <c r="B66" i="14687" a="1"/>
  <c r="G17" i="14661"/>
  <c r="A7" i="14632"/>
  <c r="A62" i="14700"/>
  <c r="A5" i="14630"/>
  <c r="A35" i="14683"/>
  <c r="A23" i="14700"/>
  <c r="B95" i="14643"/>
  <c r="K22" i="14675"/>
  <c r="K24" i="14675" s="1"/>
  <c r="J22" i="14628"/>
  <c r="J24" i="14628" s="1"/>
  <c r="L24" i="14641"/>
  <c r="B5" i="14692" a="1"/>
  <c r="E15" i="14687"/>
  <c r="A218" i="14701"/>
  <c r="A18" i="14640"/>
  <c r="A50" i="14638"/>
  <c r="A32" i="14648"/>
  <c r="I44" i="14704"/>
  <c r="I109" i="14704" s="1"/>
  <c r="I127" i="14704" s="1"/>
  <c r="B47" i="14687" a="1"/>
  <c r="A25" i="14647"/>
  <c r="B99" i="14643"/>
  <c r="D24" i="14641"/>
  <c r="B29" i="14689"/>
  <c r="B31" i="14689" s="1"/>
  <c r="A57" i="14689" a="1"/>
  <c r="A7" i="14670"/>
  <c r="A48" i="14638"/>
  <c r="A25" i="14633"/>
  <c r="A85" i="14645"/>
  <c r="A23" i="14633"/>
  <c r="A20" i="14641" a="1"/>
  <c r="A23" i="14641" s="1"/>
  <c r="A83" i="14645"/>
  <c r="E75" i="14645"/>
  <c r="E76" i="14645" s="1"/>
  <c r="A34" i="14682"/>
  <c r="A38" i="14672"/>
  <c r="A38" i="14673"/>
  <c r="A38" i="14636"/>
  <c r="A13" i="14673"/>
  <c r="A8" i="14673"/>
  <c r="A20" i="14672"/>
  <c r="A18" i="14672"/>
  <c r="A11" i="14673"/>
  <c r="K16" i="14687"/>
  <c r="G10" i="14687"/>
  <c r="F8" i="14624" s="1"/>
  <c r="N16" i="14687"/>
  <c r="I11" i="14687"/>
  <c r="K11" i="14687"/>
  <c r="D16" i="14687"/>
  <c r="F11" i="14687"/>
  <c r="G11" i="14687"/>
  <c r="N15" i="14687"/>
  <c r="G15" i="14687"/>
  <c r="E12" i="14687"/>
  <c r="J16" i="14687"/>
  <c r="G12" i="14687"/>
  <c r="B17" i="14687"/>
  <c r="I9" i="14687"/>
  <c r="H7" i="14624" s="1"/>
  <c r="L16" i="14687"/>
  <c r="M9" i="14687"/>
  <c r="L7" i="14624" s="1"/>
  <c r="J12" i="14687"/>
  <c r="I16" i="14687"/>
  <c r="L15" i="14687"/>
  <c r="C12" i="14687"/>
  <c r="M11" i="14687"/>
  <c r="E11" i="14687"/>
  <c r="M15" i="14687"/>
  <c r="E16" i="14687"/>
  <c r="A199" i="14698"/>
  <c r="A199" i="14704"/>
  <c r="G87" i="14647"/>
  <c r="E87" i="14647"/>
  <c r="J87" i="14647"/>
  <c r="B87" i="14647"/>
  <c r="F87" i="14647"/>
  <c r="A8" i="14677"/>
  <c r="A10" i="14677"/>
  <c r="A7" i="14677"/>
  <c r="A6" i="14677"/>
  <c r="A5" i="14677"/>
  <c r="A64" i="14652"/>
  <c r="A63" i="14652"/>
  <c r="A61" i="14652"/>
  <c r="A58" i="14652"/>
  <c r="A59" i="14652"/>
  <c r="A57" i="14652"/>
  <c r="A19" i="14629"/>
  <c r="A17" i="14629"/>
  <c r="A20" i="14629"/>
  <c r="A61" i="14694"/>
  <c r="A63" i="14694"/>
  <c r="A62" i="14694"/>
  <c r="A59" i="14694"/>
  <c r="A22" i="14674"/>
  <c r="A19" i="14674"/>
  <c r="A13" i="14675"/>
  <c r="A12" i="14675"/>
  <c r="A6" i="14675"/>
  <c r="A8" i="14675"/>
  <c r="B9" i="14692"/>
  <c r="C8" i="14692"/>
  <c r="G7" i="14692"/>
  <c r="B8" i="14692"/>
  <c r="F7" i="14692"/>
  <c r="C6" i="14692"/>
  <c r="B6" i="14692"/>
  <c r="G9" i="14692"/>
  <c r="F10" i="14692"/>
  <c r="C7" i="14692"/>
  <c r="H7" i="14692"/>
  <c r="D8" i="14692"/>
  <c r="D7" i="14692"/>
  <c r="F8" i="14692"/>
  <c r="E5" i="14692"/>
  <c r="E6" i="14692"/>
  <c r="A233" i="14703"/>
  <c r="A217" i="14703"/>
  <c r="A217" i="14704" s="1"/>
  <c r="A109" i="14703"/>
  <c r="A109" i="14700" s="1"/>
  <c r="A124" i="14703"/>
  <c r="G13" i="14626"/>
  <c r="D42" i="14706"/>
  <c r="A125" i="14703"/>
  <c r="A233" i="14698"/>
  <c r="L4" i="14706"/>
  <c r="F4" i="14706"/>
  <c r="J4" i="14706"/>
  <c r="B90" i="14647"/>
  <c r="I90" i="14647" s="1"/>
  <c r="J90" i="14647" a="1"/>
  <c r="J90" i="14647" s="1"/>
  <c r="A104" i="14648"/>
  <c r="H4" i="14661"/>
  <c r="A11" i="14677"/>
  <c r="L40" i="14675"/>
  <c r="C40" i="14667"/>
  <c r="N7" i="14625"/>
  <c r="C23" i="14626"/>
  <c r="I7" i="14625"/>
  <c r="M7" i="14625"/>
  <c r="L14" i="14653"/>
  <c r="I109" i="14698"/>
  <c r="I70" i="14698"/>
  <c r="A143" i="14704"/>
  <c r="A142" i="14704"/>
  <c r="A214" i="14700"/>
  <c r="A215" i="14700"/>
  <c r="I181" i="14701"/>
  <c r="I199" i="14701"/>
  <c r="I127" i="14701"/>
  <c r="I235" i="14701"/>
  <c r="I145" i="14701"/>
  <c r="N4" i="14706"/>
  <c r="B43" i="14647"/>
  <c r="I43" i="14647" s="1"/>
  <c r="I217" i="14701"/>
  <c r="A23" i="14629"/>
  <c r="A22" i="14629"/>
  <c r="A24" i="14629"/>
  <c r="I199" i="14702"/>
  <c r="I217" i="14702"/>
  <c r="I181" i="14702"/>
  <c r="I127" i="14702"/>
  <c r="I163" i="14702"/>
  <c r="A61" i="14687"/>
  <c r="A58" i="14687"/>
  <c r="A60" i="14687"/>
  <c r="A57" i="14687"/>
  <c r="A22" i="14638"/>
  <c r="A26" i="14638"/>
  <c r="A28" i="14641"/>
  <c r="A29" i="14641"/>
  <c r="A31" i="14641"/>
  <c r="A5" i="14633" a="1"/>
  <c r="A5" i="14625" a="1"/>
  <c r="A6" i="14625" s="1"/>
  <c r="B31" i="14706"/>
  <c r="B42" i="14667"/>
  <c r="C42" i="14667" s="1"/>
  <c r="D29" i="11"/>
  <c r="F19" i="14647"/>
  <c r="H19" i="14647"/>
  <c r="J8" i="14647" a="1"/>
  <c r="J8" i="14647" s="1"/>
  <c r="A38" i="14647" a="1"/>
  <c r="A38" i="14647" s="1"/>
  <c r="A8" i="14672"/>
  <c r="L9" i="14687"/>
  <c r="K7" i="14624" s="1"/>
  <c r="J44" i="14647" a="1"/>
  <c r="J44" i="14647" s="1"/>
  <c r="G77" i="14689"/>
  <c r="J30" i="14647" a="1"/>
  <c r="J30" i="14647" s="1"/>
  <c r="J7" i="14647" a="1"/>
  <c r="J7" i="14647" s="1"/>
  <c r="C94" i="14647"/>
  <c r="A23" i="14647" a="1"/>
  <c r="J23" i="14647" s="1"/>
  <c r="B37" i="14628"/>
  <c r="B32" i="14628"/>
  <c r="A4" i="14639"/>
  <c r="A13" i="14639"/>
  <c r="A40" i="14674"/>
  <c r="C74" i="14689"/>
  <c r="A51" i="14648"/>
  <c r="B38" i="14675"/>
  <c r="B33" i="14675"/>
  <c r="H40" i="14675" s="1"/>
  <c r="D36" i="14706"/>
  <c r="F36" i="14706" s="1"/>
  <c r="H36" i="14706" s="1"/>
  <c r="J36" i="14706" s="1"/>
  <c r="L36" i="14706" s="1"/>
  <c r="N36" i="14706" s="1"/>
  <c r="J80" i="14647" a="1"/>
  <c r="J80" i="14647" s="1"/>
  <c r="J58" i="14647" a="1"/>
  <c r="J58" i="14647" s="1"/>
  <c r="B27" i="14667"/>
  <c r="C27" i="14667" s="1"/>
  <c r="C29" i="14667"/>
  <c r="B48" i="14687"/>
  <c r="J17" i="14685"/>
  <c r="C20" i="14626"/>
  <c r="A57" i="14648"/>
  <c r="K217" i="14700"/>
  <c r="K217" i="14702"/>
  <c r="D42" i="14667"/>
  <c r="G26" i="14626"/>
  <c r="B13" i="14689"/>
  <c r="B14" i="14689"/>
  <c r="B58" i="14643"/>
  <c r="B54" i="14643"/>
  <c r="B55" i="14643"/>
  <c r="B56" i="14643"/>
  <c r="A40" i="14683"/>
  <c r="A37" i="14683"/>
  <c r="A39" i="14683"/>
  <c r="A34" i="14683"/>
  <c r="A64" i="14702"/>
  <c r="A63" i="14702"/>
  <c r="A62" i="14702"/>
  <c r="A66" i="14702"/>
  <c r="A51" i="14703"/>
  <c r="A52" i="14703"/>
  <c r="A46" i="14703"/>
  <c r="A53" i="14703"/>
  <c r="A24" i="14700"/>
  <c r="A26" i="14700"/>
  <c r="A20" i="14700"/>
  <c r="A27" i="14700"/>
  <c r="A32" i="7"/>
  <c r="A38" i="7"/>
  <c r="A5" i="14668"/>
  <c r="A9" i="14668"/>
  <c r="A32" i="14653"/>
  <c r="A33" i="14653"/>
  <c r="A8" i="14647"/>
  <c r="A12" i="14647"/>
  <c r="A10" i="14632"/>
  <c r="A13" i="14632"/>
  <c r="A11" i="14632"/>
  <c r="A8" i="14632"/>
  <c r="A36" i="14639"/>
  <c r="A32" i="14639"/>
  <c r="A38" i="14639"/>
  <c r="A33" i="14639"/>
  <c r="A40" i="14632"/>
  <c r="A37" i="14632"/>
  <c r="A39" i="14632"/>
  <c r="A36" i="14632"/>
  <c r="A65" i="14700"/>
  <c r="A60" i="14700"/>
  <c r="A61" i="14700"/>
  <c r="A59" i="14700"/>
  <c r="A52" i="14702"/>
  <c r="A53" i="14702"/>
  <c r="A50" i="14702"/>
  <c r="A48" i="14702"/>
  <c r="A38" i="14703"/>
  <c r="A33" i="14703"/>
  <c r="A34" i="14703"/>
  <c r="A32" i="14703"/>
  <c r="A14" i="14702"/>
  <c r="A15" i="14702"/>
  <c r="A20" i="14630"/>
  <c r="A24" i="14630"/>
  <c r="A21" i="14630"/>
  <c r="A12" i="14669"/>
  <c r="A11" i="14669"/>
  <c r="A6" i="14669"/>
  <c r="A7" i="14669"/>
  <c r="A58" i="14647"/>
  <c r="A61" i="14647"/>
  <c r="A59" i="14647"/>
  <c r="I181" i="14703"/>
  <c r="I217" i="14703"/>
  <c r="I199" i="14703"/>
  <c r="I235" i="14703"/>
  <c r="O15" i="14699" a="1"/>
  <c r="O15" i="14699" s="1"/>
  <c r="P15" i="14699"/>
  <c r="Q15" i="14699" s="1"/>
  <c r="A47" i="14679"/>
  <c r="A51" i="14679"/>
  <c r="A48" i="14679"/>
  <c r="A52" i="14679"/>
  <c r="A49" i="14679"/>
  <c r="A53" i="14679"/>
  <c r="A50" i="14679"/>
  <c r="A27" i="14694"/>
  <c r="A28" i="14694"/>
  <c r="A29" i="14694"/>
  <c r="A99" i="14687"/>
  <c r="A96" i="14687"/>
  <c r="A98" i="14687"/>
  <c r="A95" i="14687"/>
  <c r="A97" i="14687"/>
  <c r="I57" i="14685"/>
  <c r="I63" i="14685" s="1"/>
  <c r="J57" i="14685"/>
  <c r="B39" i="14677"/>
  <c r="B40" i="14677"/>
  <c r="A22" i="14689" a="1"/>
  <c r="A10" i="14661"/>
  <c r="A14" i="14661"/>
  <c r="A45" i="14689" a="1"/>
  <c r="K9" i="14687"/>
  <c r="J7" i="14624" s="1"/>
  <c r="A13" i="14672"/>
  <c r="B73" i="14687"/>
  <c r="G73" i="14687" s="1"/>
  <c r="B55" i="14665"/>
  <c r="J12" i="14647" a="1"/>
  <c r="J12" i="14647" s="1"/>
  <c r="J40" i="14647" a="1"/>
  <c r="J40" i="14647" s="1"/>
  <c r="A54" i="14647" a="1"/>
  <c r="B35" i="14628"/>
  <c r="B37" i="14675"/>
  <c r="J88" i="14647" a="1"/>
  <c r="J88" i="14647" s="1"/>
  <c r="A5" i="14641" a="1"/>
  <c r="A28" i="14633"/>
  <c r="K14" i="14653"/>
  <c r="G14" i="14653"/>
  <c r="A27" i="14631"/>
  <c r="C9" i="14687"/>
  <c r="B7" i="14624" s="1"/>
  <c r="A49" i="14695"/>
  <c r="G31" i="14685"/>
  <c r="B73" i="14647"/>
  <c r="I73" i="14647" s="1"/>
  <c r="J19" i="14685"/>
  <c r="E17" i="14661"/>
  <c r="D11" i="14696" s="1" a="1"/>
  <c r="G11" i="14696" s="1"/>
  <c r="A61" i="14648"/>
  <c r="A60" i="14648"/>
  <c r="K217" i="14704"/>
  <c r="J14" i="14685"/>
  <c r="B30" i="14687"/>
  <c r="J30" i="14687" s="1"/>
  <c r="B57" i="14643"/>
  <c r="A38" i="14683"/>
  <c r="A10" i="14623"/>
  <c r="A9" i="14623"/>
  <c r="A14" i="14623"/>
  <c r="A8" i="14623"/>
  <c r="A37" i="14638"/>
  <c r="A42" i="14638"/>
  <c r="A40" i="14638"/>
  <c r="A35" i="14638"/>
  <c r="A9" i="14683"/>
  <c r="A8" i="14683"/>
  <c r="A13" i="14683"/>
  <c r="A6" i="14683"/>
  <c r="A51" i="14700"/>
  <c r="A52" i="14700"/>
  <c r="A46" i="14700"/>
  <c r="A53" i="14700"/>
  <c r="A37" i="14702"/>
  <c r="A36" i="14702"/>
  <c r="A35" i="14702"/>
  <c r="A39" i="14702"/>
  <c r="A27" i="14703"/>
  <c r="A20" i="14703"/>
  <c r="A32" i="14630"/>
  <c r="A36" i="14630"/>
  <c r="A24" i="14669"/>
  <c r="A18" i="14669"/>
  <c r="A58" i="14653"/>
  <c r="A64" i="14653"/>
  <c r="A6" i="14653"/>
  <c r="A12" i="14653"/>
  <c r="B66" i="14643"/>
  <c r="B73" i="14643"/>
  <c r="B68" i="14643"/>
  <c r="B71" i="14643"/>
  <c r="A36" i="14675"/>
  <c r="A32" i="14675"/>
  <c r="A38" i="14675"/>
  <c r="A33" i="14675"/>
  <c r="A38" i="14623"/>
  <c r="A42" i="14623"/>
  <c r="A41" i="14623"/>
  <c r="A36" i="14623"/>
  <c r="A65" i="14703"/>
  <c r="A60" i="14703"/>
  <c r="A61" i="14703"/>
  <c r="A59" i="14703"/>
  <c r="A38" i="14700"/>
  <c r="A33" i="14700"/>
  <c r="A34" i="14700"/>
  <c r="A32" i="14700"/>
  <c r="A26" i="14702"/>
  <c r="A27" i="14702"/>
  <c r="A24" i="14702"/>
  <c r="A22" i="14702"/>
  <c r="A39" i="14637"/>
  <c r="A32" i="14637"/>
  <c r="A20" i="7"/>
  <c r="A17" i="7"/>
  <c r="A89" i="14647"/>
  <c r="A88" i="14647"/>
  <c r="A14" i="14638"/>
  <c r="A11" i="14638"/>
  <c r="A3" i="14710"/>
  <c r="A3" i="14681"/>
  <c r="A3" i="14657"/>
  <c r="A2" i="14628"/>
  <c r="A34" i="14695" a="1"/>
  <c r="A55" i="14695" a="1"/>
  <c r="A56" i="14695" s="1"/>
  <c r="A27" i="14695" a="1"/>
  <c r="A41" i="14695" a="1"/>
  <c r="G39" i="14685"/>
  <c r="G57" i="14685"/>
  <c r="G52" i="14685"/>
  <c r="G33" i="14685"/>
  <c r="G12" i="14685"/>
  <c r="G45" i="14685"/>
  <c r="A41" i="14622"/>
  <c r="A39" i="14622"/>
  <c r="A40" i="14662"/>
  <c r="A41" i="14662" s="1"/>
  <c r="A42" i="14662" s="1"/>
  <c r="A35" i="14662"/>
  <c r="A36" i="14662" s="1"/>
  <c r="A37" i="14662" s="1"/>
  <c r="A38" i="14662" s="1"/>
  <c r="A39" i="14662" s="1"/>
  <c r="A96" i="14648"/>
  <c r="A95" i="14648"/>
  <c r="B31" i="14686"/>
  <c r="A10" i="14631"/>
  <c r="A11" i="14631"/>
  <c r="A60" i="14672"/>
  <c r="A60" i="14629"/>
  <c r="F15" i="14628"/>
  <c r="L42" i="14634"/>
  <c r="F42" i="14634"/>
  <c r="M42" i="14639"/>
  <c r="G42" i="14639"/>
  <c r="I42" i="14674"/>
  <c r="D42" i="14674"/>
  <c r="J42" i="14675"/>
  <c r="L42" i="14628"/>
  <c r="F42" i="14628"/>
  <c r="M42" i="14634"/>
  <c r="G42" i="14634"/>
  <c r="I42" i="14639"/>
  <c r="D42" i="14639"/>
  <c r="J42" i="14674"/>
  <c r="L42" i="14675"/>
  <c r="F42" i="14675"/>
  <c r="M42" i="14628"/>
  <c r="G42" i="14628"/>
  <c r="J42" i="14628"/>
  <c r="I42" i="14634"/>
  <c r="D42" i="14634"/>
  <c r="J42" i="14639"/>
  <c r="L42" i="14674"/>
  <c r="F42" i="14674"/>
  <c r="M42" i="14675"/>
  <c r="G42" i="14675"/>
  <c r="I42" i="14628"/>
  <c r="D42" i="14628"/>
  <c r="J42" i="14634"/>
  <c r="L42" i="14639"/>
  <c r="F42" i="14639"/>
  <c r="M42" i="14674"/>
  <c r="G42" i="14674"/>
  <c r="I42" i="14675"/>
  <c r="D42" i="14675"/>
  <c r="D22" i="14675"/>
  <c r="E22" i="14628"/>
  <c r="E24" i="14628" s="1"/>
  <c r="K22" i="14628"/>
  <c r="K24" i="14628" s="1"/>
  <c r="N22" i="14634"/>
  <c r="N24" i="14634" s="1"/>
  <c r="D22" i="14634"/>
  <c r="D24" i="14634" s="1"/>
  <c r="G22" i="14628"/>
  <c r="G24" i="14628" s="1"/>
  <c r="M22" i="14628"/>
  <c r="M24" i="14628" s="1"/>
  <c r="G22" i="14634"/>
  <c r="G24" i="14634" s="1"/>
  <c r="J22" i="14634"/>
  <c r="E22" i="14639"/>
  <c r="J22" i="14639"/>
  <c r="J24" i="14639" s="1"/>
  <c r="M22" i="14639"/>
  <c r="M24" i="14639" s="1"/>
  <c r="E22" i="14674"/>
  <c r="E24" i="14674" s="1"/>
  <c r="H22" i="14674"/>
  <c r="H24" i="14674" s="1"/>
  <c r="K22" i="14674"/>
  <c r="K24" i="14674" s="1"/>
  <c r="N22" i="14674"/>
  <c r="N24" i="14674" s="1"/>
  <c r="G22" i="14675"/>
  <c r="G24" i="14675" s="1"/>
  <c r="J22" i="14675"/>
  <c r="J24" i="14675" s="1"/>
  <c r="M22" i="14675"/>
  <c r="M24" i="14675" s="1"/>
  <c r="G15" i="14628"/>
  <c r="H22" i="14628"/>
  <c r="H24" i="14628" s="1"/>
  <c r="N22" i="14628"/>
  <c r="N24" i="14628" s="1"/>
  <c r="K22" i="14634"/>
  <c r="K24" i="14634" s="1"/>
  <c r="G22" i="14639"/>
  <c r="G24" i="14639" s="1"/>
  <c r="A55" i="14636"/>
  <c r="A55" i="14673"/>
  <c r="A102" i="14645"/>
  <c r="A103" i="14645"/>
  <c r="A104" i="14645"/>
  <c r="B78" i="14643"/>
  <c r="F78" i="14643"/>
  <c r="C78" i="14643"/>
  <c r="G78" i="14643"/>
  <c r="D78" i="14643"/>
  <c r="H78" i="14643"/>
  <c r="B23" i="14689"/>
  <c r="B25" i="14689"/>
  <c r="B52" i="14685"/>
  <c r="B55" i="14685" s="1"/>
  <c r="E52" i="14685"/>
  <c r="E55" i="14685" s="1"/>
  <c r="C15" i="14661" s="1"/>
  <c r="C52" i="14685"/>
  <c r="A11" i="14707" a="1"/>
  <c r="A55" i="14707" a="1"/>
  <c r="A40" i="14701"/>
  <c r="A104" i="14701"/>
  <c r="A15" i="14631"/>
  <c r="A16" i="14631"/>
  <c r="A18" i="14631"/>
  <c r="B39" i="14641"/>
  <c r="B40" i="14641"/>
  <c r="I78" i="14643"/>
  <c r="C43" i="14690" a="1"/>
  <c r="A88" i="14707" a="1"/>
  <c r="H24" i="14677"/>
  <c r="H24" i="14676"/>
  <c r="H24" i="14641"/>
  <c r="H24" i="14633"/>
  <c r="H24" i="14625"/>
  <c r="E32" i="14652"/>
  <c r="A56" i="14652"/>
  <c r="E10" i="14687"/>
  <c r="D8" i="14624" s="1"/>
  <c r="A51" i="14638"/>
  <c r="A47" i="14638"/>
  <c r="B40" i="14633"/>
  <c r="A82" i="14645"/>
  <c r="A41" i="14649"/>
  <c r="A2" i="14681"/>
  <c r="B12" i="14647"/>
  <c r="I12" i="14647" s="1"/>
  <c r="B10" i="14647"/>
  <c r="I10" i="14647" s="1"/>
  <c r="G46" i="14685" a="1"/>
  <c r="A11" i="8"/>
  <c r="A16" i="8"/>
  <c r="A16" i="14670"/>
  <c r="I8" i="14622"/>
  <c r="J63" i="14652" a="1"/>
  <c r="J63" i="14652" s="1"/>
  <c r="B43" i="14689"/>
  <c r="D76" i="14689" s="1"/>
  <c r="G25" i="14690"/>
  <c r="F37" i="14706"/>
  <c r="H37" i="14706" s="1"/>
  <c r="J37" i="14706" s="1"/>
  <c r="L37" i="14706" s="1"/>
  <c r="N37" i="14706" s="1"/>
  <c r="C29" i="14686" a="1"/>
  <c r="C29" i="14686" s="1"/>
  <c r="B33" i="14652" a="1"/>
  <c r="B39" i="14652" s="1"/>
  <c r="A53" i="14638"/>
  <c r="A39" i="14639" a="1"/>
  <c r="H52" i="14643"/>
  <c r="D30" i="11"/>
  <c r="I73" i="14687"/>
  <c r="E73" i="14687"/>
  <c r="K73" i="14687"/>
  <c r="F73" i="14687"/>
  <c r="I12" i="14687"/>
  <c r="I10" i="14687"/>
  <c r="K14" i="14687"/>
  <c r="K10" i="14687"/>
  <c r="J8" i="14624" s="1"/>
  <c r="L14" i="14687"/>
  <c r="J48" i="14687"/>
  <c r="G48" i="14687"/>
  <c r="C48" i="14687"/>
  <c r="I48" i="14687"/>
  <c r="N10" i="14687"/>
  <c r="M8" i="14624" s="1"/>
  <c r="H10" i="14687"/>
  <c r="G8" i="14624" s="1"/>
  <c r="L12" i="14687"/>
  <c r="D12" i="14687"/>
  <c r="D14" i="14687"/>
  <c r="C16" i="14687"/>
  <c r="E14" i="14687"/>
  <c r="F12" i="14687"/>
  <c r="I14" i="14687"/>
  <c r="J14" i="14687"/>
  <c r="M12" i="14687"/>
  <c r="M16" i="14687"/>
  <c r="N14" i="14687"/>
  <c r="H14" i="14687"/>
  <c r="H73" i="14687"/>
  <c r="D73" i="14687"/>
  <c r="M73" i="14687"/>
  <c r="J73" i="14687"/>
  <c r="G16" i="14687"/>
  <c r="F29" i="14686"/>
  <c r="F14" i="14687"/>
  <c r="A37" i="14617"/>
  <c r="A38" i="14617" s="1"/>
  <c r="D6" i="14710"/>
  <c r="F6" i="14710"/>
  <c r="C6" i="14710"/>
  <c r="E6" i="14710"/>
  <c r="B6" i="14710"/>
  <c r="I2" i="14659"/>
  <c r="C48" i="14686"/>
  <c r="A46" i="14681"/>
  <c r="A29" i="14681"/>
  <c r="A28" i="14681"/>
  <c r="I1" i="14659"/>
  <c r="H3" i="14681"/>
  <c r="H2" i="14681"/>
  <c r="A27" i="14667"/>
  <c r="F10" i="14626" s="1"/>
  <c r="F37" i="14686"/>
  <c r="F38" i="14686" s="1"/>
  <c r="B37" i="14686"/>
  <c r="E37" i="14686"/>
  <c r="D37" i="14686"/>
  <c r="C37" i="14686"/>
  <c r="C25" i="14652"/>
  <c r="I14" i="14653"/>
  <c r="C18" i="14659"/>
  <c r="A12" i="14659"/>
  <c r="F4" i="14667"/>
  <c r="L4" i="14667"/>
  <c r="B4" i="14667"/>
  <c r="A52" i="14667"/>
  <c r="A53" i="14706" s="1"/>
  <c r="J45" i="14647" a="1"/>
  <c r="J45" i="14647" s="1"/>
  <c r="B45" i="14647"/>
  <c r="I45" i="14647" s="1"/>
  <c r="I38" i="14647"/>
  <c r="B38" i="14647"/>
  <c r="J38" i="14647"/>
  <c r="G38" i="14647"/>
  <c r="C38" i="14647"/>
  <c r="F38" i="14647"/>
  <c r="D38" i="14647"/>
  <c r="A145" i="14698"/>
  <c r="A145" i="14702"/>
  <c r="A145" i="14700"/>
  <c r="A163" i="14704"/>
  <c r="A163" i="14701"/>
  <c r="K8" i="14624"/>
  <c r="C95" i="14665"/>
  <c r="C98" i="14665"/>
  <c r="C74" i="14690" s="1" a="1"/>
  <c r="C96" i="14665"/>
  <c r="C93" i="14665"/>
  <c r="A163" i="14702"/>
  <c r="A145" i="14704"/>
  <c r="A250" i="14704"/>
  <c r="A250" i="14698"/>
  <c r="A199" i="14700"/>
  <c r="A199" i="14702"/>
  <c r="H8" i="14624"/>
  <c r="A250" i="14703"/>
  <c r="A235" i="14703"/>
  <c r="A235" i="14698" s="1"/>
  <c r="A124" i="14701"/>
  <c r="A215" i="14702"/>
  <c r="H4" i="14667"/>
  <c r="C94" i="14665"/>
  <c r="G48" i="14707"/>
  <c r="G47" i="14707"/>
  <c r="C21" i="14690"/>
  <c r="C25" i="14690" s="1"/>
  <c r="B40" i="14690" a="1"/>
  <c r="A31" i="14687"/>
  <c r="A88" i="14687"/>
  <c r="A87" i="14687"/>
  <c r="A86" i="14687"/>
  <c r="A92" i="14687"/>
  <c r="Q17" i="14655"/>
  <c r="T17" i="14655" s="1"/>
  <c r="B31" i="14674"/>
  <c r="B33" i="14674"/>
  <c r="B38" i="14674"/>
  <c r="B31" i="14639" a="1"/>
  <c r="B31" i="14634" a="1"/>
  <c r="G18" i="14685"/>
  <c r="G17" i="14685"/>
  <c r="B47" i="14687"/>
  <c r="B49" i="14687"/>
  <c r="B51" i="14687"/>
  <c r="B53" i="14687"/>
  <c r="A142" i="14702"/>
  <c r="A143" i="14702"/>
  <c r="A232" i="14700"/>
  <c r="A233" i="14700"/>
  <c r="K199" i="14703"/>
  <c r="K199" i="14702"/>
  <c r="K199" i="14700"/>
  <c r="K235" i="14701"/>
  <c r="K235" i="14702"/>
  <c r="K235" i="14703"/>
  <c r="K145" i="14698"/>
  <c r="K145" i="14701"/>
  <c r="K145" i="14704"/>
  <c r="K145" i="14703"/>
  <c r="B9" i="14639"/>
  <c r="B9" i="14675"/>
  <c r="A13" i="14679"/>
  <c r="A9" i="14679"/>
  <c r="A14" i="14679"/>
  <c r="A11" i="14679"/>
  <c r="A8" i="14679"/>
  <c r="B94" i="14643"/>
  <c r="B93" i="14643"/>
  <c r="B97" i="14643"/>
  <c r="B47" i="14643"/>
  <c r="B43" i="14643"/>
  <c r="B46" i="14643"/>
  <c r="B41" i="14643"/>
  <c r="A41" i="14678"/>
  <c r="A40" i="14678"/>
  <c r="A39" i="14678"/>
  <c r="A38" i="14678"/>
  <c r="A26" i="14683"/>
  <c r="A24" i="14683"/>
  <c r="A20" i="14683"/>
  <c r="A22" i="14683"/>
  <c r="A21" i="14683"/>
  <c r="A65" i="14701"/>
  <c r="A61" i="14701"/>
  <c r="A62" i="14701"/>
  <c r="A60" i="14701"/>
  <c r="A53" i="14698"/>
  <c r="A46" i="14698"/>
  <c r="A49" i="14698"/>
  <c r="A52" i="14698"/>
  <c r="A51" i="14698"/>
  <c r="A52" i="14704"/>
  <c r="A48" i="14704"/>
  <c r="A51" i="14704"/>
  <c r="A47" i="14704"/>
  <c r="A50" i="14704"/>
  <c r="A46" i="14704"/>
  <c r="A39" i="14701"/>
  <c r="A32" i="14701"/>
  <c r="A37" i="14701"/>
  <c r="A38" i="14701"/>
  <c r="A34" i="14701"/>
  <c r="A33" i="14701"/>
  <c r="A26" i="14698"/>
  <c r="A22" i="14698"/>
  <c r="A25" i="14698"/>
  <c r="A21" i="14698"/>
  <c r="A24" i="14698"/>
  <c r="A10" i="14678"/>
  <c r="A9" i="14678"/>
  <c r="A11" i="14678"/>
  <c r="A8" i="14678"/>
  <c r="A44" i="14695"/>
  <c r="A55" i="14695"/>
  <c r="A57" i="14695"/>
  <c r="A58" i="14695"/>
  <c r="A48" i="14695"/>
  <c r="A52" i="14695"/>
  <c r="A51" i="14695"/>
  <c r="B60" i="14689"/>
  <c r="B61" i="14689"/>
  <c r="B62" i="14689"/>
  <c r="B59" i="14689"/>
  <c r="E11" i="14645"/>
  <c r="E12" i="14645" s="1"/>
  <c r="F7" i="14625"/>
  <c r="A23" i="14672"/>
  <c r="A20" i="14682"/>
  <c r="D29" i="14667"/>
  <c r="J40" i="14675"/>
  <c r="C40" i="14675"/>
  <c r="D40" i="14675"/>
  <c r="E40" i="14675"/>
  <c r="I40" i="14675"/>
  <c r="K7" i="14625"/>
  <c r="D54" i="14647"/>
  <c r="H54" i="14647"/>
  <c r="G54" i="14647"/>
  <c r="B54" i="14647"/>
  <c r="H87" i="14647"/>
  <c r="D87" i="14647"/>
  <c r="C87" i="14647"/>
  <c r="I87" i="14647"/>
  <c r="A23" i="14647"/>
  <c r="G10" i="14692"/>
  <c r="G8" i="14692"/>
  <c r="H6" i="14692"/>
  <c r="F9" i="14692"/>
  <c r="D6" i="14692"/>
  <c r="G6" i="14692"/>
  <c r="G5" i="14692"/>
  <c r="E9" i="14692"/>
  <c r="D5" i="14692"/>
  <c r="D9" i="14692"/>
  <c r="F6" i="14692"/>
  <c r="E7" i="14692"/>
  <c r="H9" i="14692"/>
  <c r="E10" i="14692"/>
  <c r="E8" i="14692"/>
  <c r="B7" i="14692"/>
  <c r="F5" i="14692"/>
  <c r="D10" i="14692"/>
  <c r="B5" i="14692"/>
  <c r="B12" i="14692" s="1" a="1"/>
  <c r="C5" i="14692"/>
  <c r="J7" i="14625"/>
  <c r="J73" i="14647" a="1"/>
  <c r="J73" i="14647" s="1"/>
  <c r="J78" i="14647" a="1"/>
  <c r="J78" i="14647" s="1"/>
  <c r="J29" i="14647" a="1"/>
  <c r="J29" i="14647" s="1"/>
  <c r="J24" i="14647" a="1"/>
  <c r="J24" i="14647" s="1"/>
  <c r="A72" i="14647" a="1"/>
  <c r="G58" i="14685"/>
  <c r="G63" i="14685" s="1"/>
  <c r="B10" i="14689"/>
  <c r="A7" i="14675"/>
  <c r="A4" i="14675"/>
  <c r="A5" i="14639"/>
  <c r="A11" i="14675"/>
  <c r="A21" i="14674"/>
  <c r="A39" i="14674"/>
  <c r="B30" i="14647"/>
  <c r="I30" i="14647" s="1"/>
  <c r="J28" i="14647" a="1"/>
  <c r="J28" i="14647" s="1"/>
  <c r="D18" i="14667"/>
  <c r="D10" i="14706"/>
  <c r="J76" i="14647" a="1"/>
  <c r="J76" i="14647" s="1"/>
  <c r="J26" i="14647" a="1"/>
  <c r="J26" i="14647" s="1"/>
  <c r="J59" i="14647" a="1"/>
  <c r="J59" i="14647" s="1"/>
  <c r="J62" i="14647" a="1"/>
  <c r="J62" i="14647" s="1"/>
  <c r="J13" i="14647" a="1"/>
  <c r="J13" i="14647" s="1"/>
  <c r="J25" i="14647" a="1"/>
  <c r="J25" i="14647" s="1"/>
  <c r="J60" i="14647" a="1"/>
  <c r="J60" i="14647" s="1"/>
  <c r="J75" i="14647" a="1"/>
  <c r="J75" i="14647" s="1"/>
  <c r="J31" i="14647" a="1"/>
  <c r="J31" i="14647" s="1"/>
  <c r="J57" i="14647" a="1"/>
  <c r="J57" i="14647" s="1"/>
  <c r="J46" i="14647" a="1"/>
  <c r="J46" i="14647" s="1"/>
  <c r="J10" i="14647" a="1"/>
  <c r="J10" i="14647" s="1"/>
  <c r="B6" i="11"/>
  <c r="A85" i="14687"/>
  <c r="A91" i="14687"/>
  <c r="A29" i="14687"/>
  <c r="B42" i="14706"/>
  <c r="C42" i="14706" s="1"/>
  <c r="A22" i="14682"/>
  <c r="A12" i="14672"/>
  <c r="A11" i="14672"/>
  <c r="B8" i="14661"/>
  <c r="J6" i="14685" a="1"/>
  <c r="B76" i="14647"/>
  <c r="I76" i="14647" s="1"/>
  <c r="B37" i="14674"/>
  <c r="B32" i="14674"/>
  <c r="I199" i="14704"/>
  <c r="I145" i="14698"/>
  <c r="I235" i="14698"/>
  <c r="I127" i="14698"/>
  <c r="I127" i="14700"/>
  <c r="I181" i="14700"/>
  <c r="I163" i="14700"/>
  <c r="I199" i="14700"/>
  <c r="B35" i="14674"/>
  <c r="B37" i="14689"/>
  <c r="F75" i="14689" s="1"/>
  <c r="A49" i="14683"/>
  <c r="A52" i="14683"/>
  <c r="A56" i="14683"/>
  <c r="B28" i="14687"/>
  <c r="N28" i="14687" s="1"/>
  <c r="B29" i="14687"/>
  <c r="J29" i="14687" s="1"/>
  <c r="B31" i="14687"/>
  <c r="K31" i="14687" s="1"/>
  <c r="B33" i="14687"/>
  <c r="K33" i="14687" s="1"/>
  <c r="B35" i="14687"/>
  <c r="H35" i="14687" s="1"/>
  <c r="K199" i="14698"/>
  <c r="H25" i="14690"/>
  <c r="G76" i="14689"/>
  <c r="C76" i="14689"/>
  <c r="K13" i="14661"/>
  <c r="L13" i="14661" s="1"/>
  <c r="F76" i="14689"/>
  <c r="B38" i="14690" a="1"/>
  <c r="B95" i="14647"/>
  <c r="I95" i="14647" s="1"/>
  <c r="A30" i="14675"/>
  <c r="A30" i="14634"/>
  <c r="A30" i="14639"/>
  <c r="E74" i="14647"/>
  <c r="J74" i="14647" s="1" a="1"/>
  <c r="J74" i="14647" s="1"/>
  <c r="B56" i="14647"/>
  <c r="I56" i="14647" s="1"/>
  <c r="D22" i="14686"/>
  <c r="C30" i="14686" a="1"/>
  <c r="C30" i="14686" s="1"/>
  <c r="F88" i="14665"/>
  <c r="E88" i="14665"/>
  <c r="O45" i="14653"/>
  <c r="B22" i="14685"/>
  <c r="B26" i="14685" s="1"/>
  <c r="E22" i="14685"/>
  <c r="E26" i="14685" s="1"/>
  <c r="C10" i="14661" s="1"/>
  <c r="C10" i="14687"/>
  <c r="F10" i="14687"/>
  <c r="E8" i="14624" s="1"/>
  <c r="E26" i="14675"/>
  <c r="J26" i="14674"/>
  <c r="K26" i="14639"/>
  <c r="E26" i="14628"/>
  <c r="K26" i="14628"/>
  <c r="D15" i="14639"/>
  <c r="J24" i="14634"/>
  <c r="D26" i="14674"/>
  <c r="E26" i="14634"/>
  <c r="K26" i="14675"/>
  <c r="N26" i="14639"/>
  <c r="D15" i="14628"/>
  <c r="D26" i="14675"/>
  <c r="E26" i="14674"/>
  <c r="G26" i="14675"/>
  <c r="J26" i="14675"/>
  <c r="K26" i="14674"/>
  <c r="M26" i="14674"/>
  <c r="N26" i="14674"/>
  <c r="N26" i="14634"/>
  <c r="G26" i="14628"/>
  <c r="C26" i="14628"/>
  <c r="I26" i="14628"/>
  <c r="O26" i="14628"/>
  <c r="C26" i="14634" s="1"/>
  <c r="I26" i="14634"/>
  <c r="O26" i="14634"/>
  <c r="C26" i="14639" s="1"/>
  <c r="I26" i="14639"/>
  <c r="O26" i="14639"/>
  <c r="C26" i="14674" s="1"/>
  <c r="F26" i="14674"/>
  <c r="L26" i="14674"/>
  <c r="F26" i="14675"/>
  <c r="L26" i="14675"/>
  <c r="A4" i="14640"/>
  <c r="A5" i="14640"/>
  <c r="A7" i="14640"/>
  <c r="B6" i="14695" a="1"/>
  <c r="B62" i="14647"/>
  <c r="I62" i="14647" s="1"/>
  <c r="C27" i="14647"/>
  <c r="B31" i="14647"/>
  <c r="I31" i="14647" s="1"/>
  <c r="B11" i="14647"/>
  <c r="I11" i="14647" s="1"/>
  <c r="B13" i="14647"/>
  <c r="I13" i="14647" s="1"/>
  <c r="A66" i="14687" a="1"/>
  <c r="A7" i="14624" a="1"/>
  <c r="A7" i="14629" a="1"/>
  <c r="A7" i="14636" a="1"/>
  <c r="A47" i="14687" a="1"/>
  <c r="B5" i="14694" a="1"/>
  <c r="B67" i="14647"/>
  <c r="B55" i="14689"/>
  <c r="I88" i="14665"/>
  <c r="H88" i="14665"/>
  <c r="K88" i="14665"/>
  <c r="J88" i="14665"/>
  <c r="A9" i="14687" a="1"/>
  <c r="A37" i="14686" a="1"/>
  <c r="A5" i="14682" a="1"/>
  <c r="B9" i="14647"/>
  <c r="I9" i="14647" s="1"/>
  <c r="F42" i="14690"/>
  <c r="G42" i="14690"/>
  <c r="D42" i="14690"/>
  <c r="J57" i="14652" a="1"/>
  <c r="J57" i="14652" s="1"/>
  <c r="J61" i="14652" a="1"/>
  <c r="J61" i="14652" s="1"/>
  <c r="J62" i="14652" a="1"/>
  <c r="J62" i="14652" s="1"/>
  <c r="D11" i="14696"/>
  <c r="G34" i="14685" a="1"/>
  <c r="G40" i="14685" a="1"/>
  <c r="G46" i="14685"/>
  <c r="A160" i="14704"/>
  <c r="O26" i="14675"/>
  <c r="O26" i="14674"/>
  <c r="C26" i="14675" s="1"/>
  <c r="F26" i="14639"/>
  <c r="F26" i="14634"/>
  <c r="F26" i="14628"/>
  <c r="J60" i="14652" a="1"/>
  <c r="J60" i="14652" s="1"/>
  <c r="H52" i="14690"/>
  <c r="B73" i="14648" s="1"/>
  <c r="B58" i="14648"/>
  <c r="B55" i="14647"/>
  <c r="I55" i="14647" s="1"/>
  <c r="G23" i="14685" a="1"/>
  <c r="N26" i="14628"/>
  <c r="N26" i="14675"/>
  <c r="K26" i="14634"/>
  <c r="G26" i="14634"/>
  <c r="D26" i="14639"/>
  <c r="J26" i="14628"/>
  <c r="G26" i="14639"/>
  <c r="M26" i="14628"/>
  <c r="M26" i="14675"/>
  <c r="G26" i="14674"/>
  <c r="D88" i="14665"/>
  <c r="B88" i="14665"/>
  <c r="B78" i="14647"/>
  <c r="I78" i="14647" s="1"/>
  <c r="C93" i="14647"/>
  <c r="A22" i="14648"/>
  <c r="A23" i="14648"/>
  <c r="O9" i="14699" a="1"/>
  <c r="O9" i="14699" s="1"/>
  <c r="P9" i="14699"/>
  <c r="Q9" i="14699" s="1"/>
  <c r="F21" i="14690"/>
  <c r="E21" i="14690"/>
  <c r="A12" i="14689"/>
  <c r="A72" i="14689" s="1"/>
  <c r="A15" i="14689"/>
  <c r="A19" i="14689"/>
  <c r="A18" i="14689"/>
  <c r="A14" i="14689"/>
  <c r="A47" i="14689"/>
  <c r="A50" i="14689"/>
  <c r="A45" i="14689"/>
  <c r="A77" i="14689" s="1"/>
  <c r="B6" i="8"/>
  <c r="D6" i="8"/>
  <c r="F6" i="8"/>
  <c r="I6" i="14631"/>
  <c r="C6" i="8"/>
  <c r="J6" i="8"/>
  <c r="E6" i="14631"/>
  <c r="C40" i="14622"/>
  <c r="I52" i="14685"/>
  <c r="I55" i="14685" s="1"/>
  <c r="J53" i="14685" s="1" a="1"/>
  <c r="J55" i="14685" s="1"/>
  <c r="J52" i="14685"/>
  <c r="C22" i="14685"/>
  <c r="E24" i="14639"/>
  <c r="M24" i="14634"/>
  <c r="D24" i="14628"/>
  <c r="N27" i="14653"/>
  <c r="B42" i="14648"/>
  <c r="G51" i="14690"/>
  <c r="A90" i="14648"/>
  <c r="A91" i="14648"/>
  <c r="O13" i="14699" a="1"/>
  <c r="O13" i="14699" s="1"/>
  <c r="P13" i="14699"/>
  <c r="Q13" i="14699" s="1"/>
  <c r="A28" i="14692"/>
  <c r="A29" i="14692"/>
  <c r="E14" i="14708"/>
  <c r="I45" i="14685"/>
  <c r="I50" i="14685" s="1"/>
  <c r="J46" i="14685" s="1" a="1"/>
  <c r="J45" i="14685"/>
  <c r="E20" i="14685"/>
  <c r="C9" i="14661" s="1"/>
  <c r="E28" i="14685"/>
  <c r="E31" i="14685" s="1"/>
  <c r="C11" i="14661" s="1"/>
  <c r="C6" i="14661" s="1"/>
  <c r="C28" i="14685"/>
  <c r="B57" i="14685"/>
  <c r="B63" i="14685" s="1"/>
  <c r="C57" i="14685"/>
  <c r="A58" i="14700"/>
  <c r="A58" i="14701"/>
  <c r="A58" i="14704"/>
  <c r="D9" i="14687"/>
  <c r="E9" i="14687"/>
  <c r="F9" i="14687"/>
  <c r="J9" i="14687"/>
  <c r="G9" i="14687"/>
  <c r="H9" i="14687"/>
  <c r="A16" i="14671"/>
  <c r="A18" i="14671"/>
  <c r="A6" i="14633"/>
  <c r="A11" i="14633"/>
  <c r="A8" i="14633"/>
  <c r="A20" i="14632"/>
  <c r="A24" i="14632"/>
  <c r="A20" i="14678"/>
  <c r="A24" i="14678"/>
  <c r="A32" i="14638"/>
  <c r="A32" i="14679"/>
  <c r="A15" i="14682" a="1"/>
  <c r="A17" i="14673" a="1"/>
  <c r="A5" i="14676" a="1"/>
  <c r="A20" i="14625"/>
  <c r="A21" i="14625"/>
  <c r="A25" i="14625"/>
  <c r="A31" i="14633"/>
  <c r="A40" i="14645"/>
  <c r="A42" i="14645"/>
  <c r="C22" i="14626"/>
  <c r="D24" i="14675"/>
  <c r="C6" i="14631"/>
  <c r="H6" i="8"/>
  <c r="P25" i="14655"/>
  <c r="P23" i="14655"/>
  <c r="P26" i="14655"/>
  <c r="N23" i="14655"/>
  <c r="N25" i="14655"/>
  <c r="L23" i="14655"/>
  <c r="L25" i="14655"/>
  <c r="J25" i="14655"/>
  <c r="J23" i="14655"/>
  <c r="H23" i="14655"/>
  <c r="H25" i="14655"/>
  <c r="F23" i="14655"/>
  <c r="F25" i="14655"/>
  <c r="A45" i="14652" a="1"/>
  <c r="A138" i="14707" a="1"/>
  <c r="N58" i="14704"/>
  <c r="N31" i="14704"/>
  <c r="N45" i="14701"/>
  <c r="N19" i="14701"/>
  <c r="A40" i="14704"/>
  <c r="A54" i="14704"/>
  <c r="A54" i="14701"/>
  <c r="A67" i="14701"/>
  <c r="A4" i="14671"/>
  <c r="A5" i="14671"/>
  <c r="A10" i="14670"/>
  <c r="A11" i="14670"/>
  <c r="E4" i="14661"/>
  <c r="A89" i="14648"/>
  <c r="A21" i="14648"/>
  <c r="C38" i="14677"/>
  <c r="D38" i="14677"/>
  <c r="D22" i="14708"/>
  <c r="A54" i="14709"/>
  <c r="A52" i="14709"/>
  <c r="A50" i="14709"/>
  <c r="A55" i="14709"/>
  <c r="A53" i="14709"/>
  <c r="A51" i="14709"/>
  <c r="I17" i="14643"/>
  <c r="D20" i="14667"/>
  <c r="D8" i="14706"/>
  <c r="I22" i="14622"/>
  <c r="B12" i="14706"/>
  <c r="C37" i="14706" s="1"/>
  <c r="D12" i="14706"/>
  <c r="B20" i="14667"/>
  <c r="B8" i="14706"/>
  <c r="C33" i="14706" s="1"/>
  <c r="J11" i="14708"/>
  <c r="U23" i="14655"/>
  <c r="N9" i="14687"/>
  <c r="O7" i="14655"/>
  <c r="O23" i="14655"/>
  <c r="O25" i="14655"/>
  <c r="M7" i="14655"/>
  <c r="M25" i="14655"/>
  <c r="M23" i="14655"/>
  <c r="K8" i="14655"/>
  <c r="K23" i="14655"/>
  <c r="K25" i="14655"/>
  <c r="I8" i="14655"/>
  <c r="I25" i="14655"/>
  <c r="I23" i="14655"/>
  <c r="G7" i="14655"/>
  <c r="G23" i="14655"/>
  <c r="G25" i="14655"/>
  <c r="E8" i="14655"/>
  <c r="E25" i="14655"/>
  <c r="E23" i="14655"/>
  <c r="A19" i="14639" a="1"/>
  <c r="A19" i="14639" s="1"/>
  <c r="A13" i="14633" a="1"/>
  <c r="P19" i="14653"/>
  <c r="H19" i="14708" s="1"/>
  <c r="B28" i="14667"/>
  <c r="B26" i="14667" s="1"/>
  <c r="C26" i="14667" s="1"/>
  <c r="B16" i="14706"/>
  <c r="J27" i="14708"/>
  <c r="H37" i="14708"/>
  <c r="H38" i="14708" s="1"/>
  <c r="E6" i="14661"/>
  <c r="O21" i="14633"/>
  <c r="B26" i="14682"/>
  <c r="B54" i="14682" s="1"/>
  <c r="I4" i="14687"/>
  <c r="F21" i="4129"/>
  <c r="B76" i="14665"/>
  <c r="J12" i="14708"/>
  <c r="U25" i="14655"/>
  <c r="Q9" i="14655"/>
  <c r="T9" i="14655" s="1"/>
  <c r="Q21" i="14655"/>
  <c r="T21" i="14655" s="1"/>
  <c r="B33" i="14624" a="1"/>
  <c r="K33" i="14624" s="1"/>
  <c r="G27" i="14626"/>
  <c r="D43" i="14667"/>
  <c r="F43" i="14667" s="1"/>
  <c r="H43" i="14667" s="1"/>
  <c r="J43" i="14667" s="1"/>
  <c r="L43" i="14667" s="1"/>
  <c r="N43" i="14667" s="1"/>
  <c r="D32" i="14706"/>
  <c r="F32" i="14706" s="1"/>
  <c r="H32" i="14706" s="1"/>
  <c r="J32" i="14706" s="1"/>
  <c r="L32" i="14706" s="1"/>
  <c r="N32" i="14706" s="1"/>
  <c r="K18" i="14655"/>
  <c r="K14" i="14655"/>
  <c r="K10" i="14655"/>
  <c r="Q13" i="14655"/>
  <c r="U13" i="14655" s="1"/>
  <c r="V13" i="14655" s="1"/>
  <c r="W13" i="14655" s="1"/>
  <c r="X13" i="14655" s="1"/>
  <c r="E26" i="14655"/>
  <c r="E20" i="14655"/>
  <c r="E16" i="14655"/>
  <c r="E12" i="14655"/>
  <c r="G26" i="14655"/>
  <c r="G20" i="14655"/>
  <c r="G16" i="14655"/>
  <c r="G12" i="14655"/>
  <c r="G8" i="14655"/>
  <c r="I26" i="14655"/>
  <c r="I20" i="14655"/>
  <c r="I16" i="14655"/>
  <c r="I12" i="14655"/>
  <c r="K26" i="14655"/>
  <c r="K20" i="14655"/>
  <c r="K16" i="14655"/>
  <c r="K12" i="14655"/>
  <c r="M26" i="14655"/>
  <c r="M20" i="14655"/>
  <c r="M16" i="14655"/>
  <c r="M12" i="14655"/>
  <c r="M8" i="14655"/>
  <c r="O26" i="14655"/>
  <c r="O20" i="14655"/>
  <c r="O16" i="14655"/>
  <c r="O12" i="14655"/>
  <c r="O8" i="14655"/>
  <c r="B26" i="14693"/>
  <c r="M19" i="14655"/>
  <c r="G19" i="14655"/>
  <c r="M18" i="14655"/>
  <c r="G18" i="14655"/>
  <c r="M15" i="14655"/>
  <c r="G15" i="14655"/>
  <c r="M14" i="14655"/>
  <c r="G14" i="14655"/>
  <c r="M11" i="14655"/>
  <c r="G11" i="14655"/>
  <c r="M10" i="14655"/>
  <c r="G10" i="14655"/>
  <c r="D48" i="14709"/>
  <c r="C33" i="14709"/>
  <c r="C18" i="14709"/>
  <c r="K1" i="14657"/>
  <c r="K2" i="14657" s="1"/>
  <c r="M42" i="14662"/>
  <c r="I3" i="14659"/>
  <c r="C28" i="14705"/>
  <c r="M41" i="14662"/>
  <c r="B8" i="14693"/>
  <c r="N8" i="14625"/>
  <c r="O8" i="14625" s="1"/>
  <c r="M10" i="14645"/>
  <c r="N10" i="14645" s="1"/>
  <c r="F47" i="14686" a="1"/>
  <c r="H23" i="14625"/>
  <c r="D9" i="14706"/>
  <c r="D19" i="14667"/>
  <c r="A22" i="14622"/>
  <c r="A42" i="14667"/>
  <c r="A20" i="14667"/>
  <c r="A8" i="14706" s="1"/>
  <c r="A29" i="11"/>
  <c r="B10" i="14693"/>
  <c r="C11" i="14693" a="1"/>
  <c r="B25" i="14626"/>
  <c r="B5" i="14681"/>
  <c r="A5" i="14681" s="1"/>
  <c r="B9" i="14693"/>
  <c r="M14" i="14653"/>
  <c r="E77" i="14689"/>
  <c r="K14" i="14661"/>
  <c r="L14" i="14661" s="1"/>
  <c r="G74" i="14689"/>
  <c r="K11" i="14661"/>
  <c r="L11" i="14661" s="1"/>
  <c r="K12" i="14661"/>
  <c r="L12" i="14661" s="1"/>
  <c r="H8" i="14661"/>
  <c r="H6" i="14661" s="1"/>
  <c r="G8" i="14661"/>
  <c r="G6" i="14661" s="1"/>
  <c r="F8" i="14661"/>
  <c r="F6" i="14661" s="1"/>
  <c r="C71" i="14689"/>
  <c r="G71" i="14689"/>
  <c r="F71" i="14689"/>
  <c r="D71" i="14689"/>
  <c r="E71" i="14689"/>
  <c r="B13" i="14661"/>
  <c r="D43" i="14685" a="1"/>
  <c r="D43" i="14685" s="1"/>
  <c r="B35" i="14661" s="1"/>
  <c r="J40" i="14685" a="1"/>
  <c r="C43" i="14685" a="1"/>
  <c r="C43" i="14685" s="1"/>
  <c r="K15" i="14661"/>
  <c r="L15" i="14661" s="1"/>
  <c r="E78" i="14689"/>
  <c r="C78" i="14689"/>
  <c r="F78" i="14689"/>
  <c r="D78" i="14689"/>
  <c r="G78" i="14689"/>
  <c r="J7" i="14685"/>
  <c r="J8" i="14685"/>
  <c r="C77" i="14689"/>
  <c r="E74" i="14689"/>
  <c r="G54" i="14685"/>
  <c r="G55" i="14685" s="1"/>
  <c r="E75" i="14689"/>
  <c r="J18" i="14685"/>
  <c r="J20" i="14685"/>
  <c r="E76" i="14689"/>
  <c r="G16" i="14685"/>
  <c r="G15" i="14685"/>
  <c r="G14" i="14685"/>
  <c r="J15" i="14685"/>
  <c r="B20" i="14689"/>
  <c r="I28" i="14643"/>
  <c r="B87" i="14687"/>
  <c r="B91" i="14687"/>
  <c r="B88" i="14687"/>
  <c r="B92" i="14687"/>
  <c r="B85" i="14687"/>
  <c r="B89" i="14687"/>
  <c r="B86" i="14687"/>
  <c r="B90" i="14687"/>
  <c r="F11" i="14696"/>
  <c r="E11" i="14696"/>
  <c r="B11" i="14661"/>
  <c r="C31" i="14685" a="1"/>
  <c r="C31" i="14685" s="1"/>
  <c r="J29" i="14685" a="1"/>
  <c r="B65" i="14685"/>
  <c r="D31" i="14685" a="1"/>
  <c r="D31" i="14685" s="1"/>
  <c r="B33" i="14661" s="1"/>
  <c r="C50" i="14685" a="1"/>
  <c r="C50" i="14685" s="1"/>
  <c r="D50" i="14685" a="1"/>
  <c r="D50" i="14685" s="1"/>
  <c r="B36" i="14661" s="1"/>
  <c r="B14" i="14661"/>
  <c r="F43" i="14686"/>
  <c r="F14" i="14686"/>
  <c r="J23" i="14685" a="1"/>
  <c r="F57" i="14665"/>
  <c r="B57" i="14665" s="1"/>
  <c r="B56" i="14665"/>
  <c r="B91" i="14647"/>
  <c r="I91" i="14647" s="1"/>
  <c r="J91" i="14647" a="1"/>
  <c r="J91" i="14647" s="1"/>
  <c r="G43" i="14665"/>
  <c r="D43" i="14665"/>
  <c r="E43" i="14665"/>
  <c r="C43" i="14665"/>
  <c r="B43" i="14665"/>
  <c r="F43" i="14665"/>
  <c r="D10" i="14652"/>
  <c r="D14" i="14652"/>
  <c r="G8" i="14685"/>
  <c r="G10" i="14685" s="1"/>
  <c r="C17" i="14661"/>
  <c r="C13" i="14626"/>
  <c r="G48" i="14685"/>
  <c r="F25" i="14690"/>
  <c r="N31" i="14687"/>
  <c r="M35" i="14687"/>
  <c r="J35" i="14687"/>
  <c r="B59" i="14709"/>
  <c r="B32" i="14649"/>
  <c r="A19" i="14679"/>
  <c r="A21" i="14679"/>
  <c r="A23" i="14679"/>
  <c r="A25" i="14679"/>
  <c r="A27" i="14679"/>
  <c r="A19" i="14638"/>
  <c r="A21" i="14638"/>
  <c r="A23" i="14638"/>
  <c r="A25" i="14638"/>
  <c r="A27" i="14638"/>
  <c r="N32" i="14636"/>
  <c r="N32" i="14673"/>
  <c r="A21" i="14641"/>
  <c r="N24" i="14677"/>
  <c r="J24" i="14677"/>
  <c r="F24" i="14677"/>
  <c r="N24" i="14676"/>
  <c r="J24" i="14676"/>
  <c r="F24" i="14676"/>
  <c r="N24" i="14641"/>
  <c r="J24" i="14641"/>
  <c r="F24" i="14641"/>
  <c r="N24" i="14633"/>
  <c r="J24" i="14633"/>
  <c r="F24" i="14633"/>
  <c r="N24" i="14625"/>
  <c r="J24" i="14625"/>
  <c r="F24" i="14625"/>
  <c r="A17" i="14689"/>
  <c r="A13" i="14689"/>
  <c r="E38" i="14665"/>
  <c r="K6" i="14631"/>
  <c r="G6" i="14631"/>
  <c r="L6" i="8"/>
  <c r="O19" i="14655"/>
  <c r="E19" i="14655"/>
  <c r="O15" i="14655"/>
  <c r="E15" i="14655"/>
  <c r="O11" i="14655"/>
  <c r="E11" i="14655"/>
  <c r="E7" i="14655"/>
  <c r="A45" i="14698"/>
  <c r="A45" i="14704"/>
  <c r="A45" i="14702"/>
  <c r="A45" i="14701"/>
  <c r="A104" i="14704"/>
  <c r="A67" i="14704"/>
  <c r="A85" i="14701"/>
  <c r="A58" i="14698"/>
  <c r="A58" i="14702"/>
  <c r="A6" i="14671"/>
  <c r="A6" i="14640"/>
  <c r="A17" i="8"/>
  <c r="A17" i="14670"/>
  <c r="A17" i="14631"/>
  <c r="A19" i="14632"/>
  <c r="A21" i="14632"/>
  <c r="A23" i="14632"/>
  <c r="A25" i="14632"/>
  <c r="A27" i="14632"/>
  <c r="A24" i="14679"/>
  <c r="A20" i="14679"/>
  <c r="A19" i="14678"/>
  <c r="A21" i="14678"/>
  <c r="A23" i="14678"/>
  <c r="A25" i="14678"/>
  <c r="A27" i="14678"/>
  <c r="A24" i="14638"/>
  <c r="A20" i="14638"/>
  <c r="N32" i="14672"/>
  <c r="A60" i="14636"/>
  <c r="A60" i="14673"/>
  <c r="A22" i="14636" a="1"/>
  <c r="A22" i="14673" a="1"/>
  <c r="B41" i="14706"/>
  <c r="B72" i="14709"/>
  <c r="A16" i="14649"/>
  <c r="A24" i="14649" s="1" a="1"/>
  <c r="A13" i="14625" a="1"/>
  <c r="A13" i="14677" a="1"/>
  <c r="A13" i="14676" a="1"/>
  <c r="A13" i="14641" a="1"/>
  <c r="A24" i="14625"/>
  <c r="A22" i="14625"/>
  <c r="A20" i="14676" a="1"/>
  <c r="A24" i="14633"/>
  <c r="A22" i="14633"/>
  <c r="A30" i="14677"/>
  <c r="A30" i="14641"/>
  <c r="B41" i="14633"/>
  <c r="B41" i="14677"/>
  <c r="B41" i="14676"/>
  <c r="B41" i="14641"/>
  <c r="A20" i="14645"/>
  <c r="A17" i="14649"/>
  <c r="H11" i="14622"/>
  <c r="L45" i="14653" l="1"/>
  <c r="E45" i="14653"/>
  <c r="G45" i="14653"/>
  <c r="E35" i="14653"/>
  <c r="I35" i="14653"/>
  <c r="B35" i="14653"/>
  <c r="C35" i="14653"/>
  <c r="G35" i="14653"/>
  <c r="D35" i="14653"/>
  <c r="F35" i="14653"/>
  <c r="H35" i="14653"/>
  <c r="J35" i="14653"/>
  <c r="K35" i="14653"/>
  <c r="L35" i="14653"/>
  <c r="M35" i="14653"/>
  <c r="D45" i="14653"/>
  <c r="C45" i="14653"/>
  <c r="B45" i="14653"/>
  <c r="N32" i="14653"/>
  <c r="P32" i="14653" s="1"/>
  <c r="J19" i="14708" s="1"/>
  <c r="F45" i="14653"/>
  <c r="L34" i="14653"/>
  <c r="L47" i="14653" s="1"/>
  <c r="M34" i="14653"/>
  <c r="M47" i="14653" s="1"/>
  <c r="B34" i="14653"/>
  <c r="E34" i="14653"/>
  <c r="E47" i="14653" s="1"/>
  <c r="F34" i="14653"/>
  <c r="F47" i="14653" s="1"/>
  <c r="G34" i="14653"/>
  <c r="G47" i="14653" s="1"/>
  <c r="I34" i="14653"/>
  <c r="I47" i="14653" s="1"/>
  <c r="C34" i="14653"/>
  <c r="C47" i="14653" s="1"/>
  <c r="D34" i="14653"/>
  <c r="D47" i="14653" s="1"/>
  <c r="H34" i="14653"/>
  <c r="H47" i="14653" s="1"/>
  <c r="J34" i="14653"/>
  <c r="J47" i="14653" s="1"/>
  <c r="K34" i="14653"/>
  <c r="K47" i="14653" s="1"/>
  <c r="H45" i="14653"/>
  <c r="M33" i="14653"/>
  <c r="M46" i="14653" s="1"/>
  <c r="M59" i="14653" s="1"/>
  <c r="M72" i="14653" s="1"/>
  <c r="B33" i="14653"/>
  <c r="B46" i="14653" s="1"/>
  <c r="H33" i="14653"/>
  <c r="H46" i="14653" s="1"/>
  <c r="C33" i="14653"/>
  <c r="C46" i="14653" s="1"/>
  <c r="E33" i="14653"/>
  <c r="E46" i="14653" s="1"/>
  <c r="G33" i="14653"/>
  <c r="G46" i="14653" s="1"/>
  <c r="D33" i="14653"/>
  <c r="D46" i="14653" s="1"/>
  <c r="F33" i="14653"/>
  <c r="F46" i="14653" s="1"/>
  <c r="J33" i="14653"/>
  <c r="J46" i="14653" s="1"/>
  <c r="K33" i="14653"/>
  <c r="K46" i="14653" s="1"/>
  <c r="L33" i="14653"/>
  <c r="L46" i="14653" s="1"/>
  <c r="I33" i="14653"/>
  <c r="I46" i="14653" s="1"/>
  <c r="M45" i="14653"/>
  <c r="M58" i="14653" s="1"/>
  <c r="M71" i="14653" s="1"/>
  <c r="I45" i="14653"/>
  <c r="I58" i="14653" s="1"/>
  <c r="I71" i="14653" s="1"/>
  <c r="J31" i="14687"/>
  <c r="M31" i="14687"/>
  <c r="G21" i="14687"/>
  <c r="B37" i="14652"/>
  <c r="B35" i="14652"/>
  <c r="B34" i="14652"/>
  <c r="B36" i="14652"/>
  <c r="C31" i="14686"/>
  <c r="D14" i="14653"/>
  <c r="N6" i="14653"/>
  <c r="P6" i="14653" s="1"/>
  <c r="F19" i="14708" s="1"/>
  <c r="O15" i="14687"/>
  <c r="F14" i="14653"/>
  <c r="A163" i="14698"/>
  <c r="A109" i="14702"/>
  <c r="A28" i="14687"/>
  <c r="A109" i="14698"/>
  <c r="M21" i="14687"/>
  <c r="A197" i="14698"/>
  <c r="A30" i="14687"/>
  <c r="A109" i="14704"/>
  <c r="A109" i="14701"/>
  <c r="U21" i="14655"/>
  <c r="V21" i="14655" s="1"/>
  <c r="W21" i="14655" s="1"/>
  <c r="X21" i="14655" s="1"/>
  <c r="N13" i="14653"/>
  <c r="A35" i="14687"/>
  <c r="N8" i="14653"/>
  <c r="I17" i="14687"/>
  <c r="A214" i="14703"/>
  <c r="U17" i="14655"/>
  <c r="V17" i="14655" s="1"/>
  <c r="W17" i="14655" s="1"/>
  <c r="X17" i="14655" s="1"/>
  <c r="A215" i="14703"/>
  <c r="N7" i="14653"/>
  <c r="A217" i="14702"/>
  <c r="A196" i="14702"/>
  <c r="A197" i="14702"/>
  <c r="A160" i="14698"/>
  <c r="A161" i="14702"/>
  <c r="L20" i="14687"/>
  <c r="D30" i="14687"/>
  <c r="N30" i="14687"/>
  <c r="I21" i="14687"/>
  <c r="A60" i="14689"/>
  <c r="A57" i="14689"/>
  <c r="A79" i="14689" s="1"/>
  <c r="A62" i="14689"/>
  <c r="A58" i="14689"/>
  <c r="A63" i="14689"/>
  <c r="A59" i="14689"/>
  <c r="A61" i="14689"/>
  <c r="B72" i="14687"/>
  <c r="B66" i="14687"/>
  <c r="B68" i="14687"/>
  <c r="B70" i="14687"/>
  <c r="B67" i="14687"/>
  <c r="B69" i="14687"/>
  <c r="B71" i="14687"/>
  <c r="A36" i="14629"/>
  <c r="A49" i="14629"/>
  <c r="A37" i="14629"/>
  <c r="A50" i="14629"/>
  <c r="A39" i="14629"/>
  <c r="A51" i="14629"/>
  <c r="A40" i="14629"/>
  <c r="A52" i="14629"/>
  <c r="A41" i="14629"/>
  <c r="A53" i="14629"/>
  <c r="A42" i="14629"/>
  <c r="A54" i="14629"/>
  <c r="A43" i="14629"/>
  <c r="A44" i="14629"/>
  <c r="A45" i="14629"/>
  <c r="A35" i="14629"/>
  <c r="A33" i="14629"/>
  <c r="A46" i="14629"/>
  <c r="A34" i="14629"/>
  <c r="A47" i="14629"/>
  <c r="A48" i="14629"/>
  <c r="N6" i="8"/>
  <c r="C10" i="14657" s="1"/>
  <c r="O24" i="14641"/>
  <c r="F33" i="14624"/>
  <c r="C30" i="14687"/>
  <c r="A59" i="14695"/>
  <c r="E38" i="14647"/>
  <c r="D74" i="14689"/>
  <c r="F74" i="14689"/>
  <c r="B10" i="14692"/>
  <c r="C10" i="14692"/>
  <c r="B14" i="14692" s="1" a="1"/>
  <c r="C9" i="14692"/>
  <c r="H8" i="14692"/>
  <c r="H10" i="14692"/>
  <c r="A33" i="14636"/>
  <c r="A46" i="14636"/>
  <c r="A48" i="14636"/>
  <c r="A50" i="14636"/>
  <c r="A52" i="14636"/>
  <c r="A54" i="14636"/>
  <c r="A34" i="14636"/>
  <c r="A36" i="14636"/>
  <c r="A40" i="14636"/>
  <c r="A44" i="14636"/>
  <c r="A42" i="14636"/>
  <c r="A49" i="14636"/>
  <c r="A45" i="14636"/>
  <c r="A47" i="14636"/>
  <c r="A41" i="14636"/>
  <c r="A39" i="14636"/>
  <c r="A37" i="14636"/>
  <c r="A51" i="14636"/>
  <c r="A35" i="14636"/>
  <c r="A43" i="14636"/>
  <c r="A53" i="14636"/>
  <c r="A124" i="14698"/>
  <c r="A125" i="14698"/>
  <c r="A143" i="14701"/>
  <c r="A142" i="14701"/>
  <c r="A124" i="14702"/>
  <c r="G20" i="14652"/>
  <c r="G21" i="14652" s="1"/>
  <c r="G22" i="14652" s="1"/>
  <c r="G23" i="14652" s="1"/>
  <c r="G24" i="14652" s="1"/>
  <c r="G25" i="14652" s="1"/>
  <c r="G26" i="14652" s="1"/>
  <c r="A40" i="14672"/>
  <c r="A52" i="14672"/>
  <c r="A41" i="14672"/>
  <c r="A53" i="14672"/>
  <c r="A42" i="14672"/>
  <c r="A54" i="14672"/>
  <c r="A45" i="14672"/>
  <c r="A46" i="14672"/>
  <c r="A34" i="14672"/>
  <c r="A43" i="14672"/>
  <c r="A44" i="14672"/>
  <c r="A33" i="14672"/>
  <c r="A47" i="14672"/>
  <c r="A35" i="14672"/>
  <c r="A48" i="14672"/>
  <c r="A51" i="14672"/>
  <c r="A36" i="14672"/>
  <c r="A49" i="14672"/>
  <c r="A50" i="14672"/>
  <c r="A39" i="14672"/>
  <c r="A37" i="14672"/>
  <c r="A143" i="14698"/>
  <c r="A142" i="14698"/>
  <c r="A34" i="14687"/>
  <c r="A32" i="14687"/>
  <c r="A33" i="14673"/>
  <c r="A52" i="14673"/>
  <c r="A54" i="14673"/>
  <c r="A34" i="14673"/>
  <c r="A36" i="14673"/>
  <c r="A40" i="14673"/>
  <c r="A42" i="14673"/>
  <c r="A44" i="14673"/>
  <c r="A50" i="14673"/>
  <c r="A46" i="14673"/>
  <c r="A48" i="14673"/>
  <c r="A53" i="14673"/>
  <c r="A51" i="14673"/>
  <c r="A49" i="14673"/>
  <c r="A47" i="14673"/>
  <c r="A45" i="14673"/>
  <c r="A35" i="14673"/>
  <c r="A43" i="14673"/>
  <c r="A41" i="14673"/>
  <c r="A39" i="14673"/>
  <c r="A37" i="14673"/>
  <c r="A179" i="14698"/>
  <c r="A178" i="14698"/>
  <c r="B41" i="14647"/>
  <c r="I41" i="14647" s="1"/>
  <c r="A7" i="14672"/>
  <c r="A9" i="14672"/>
  <c r="A10" i="14672"/>
  <c r="A14" i="14672"/>
  <c r="G30" i="14687"/>
  <c r="H38" i="14647"/>
  <c r="A44" i="14624"/>
  <c r="A45" i="14624"/>
  <c r="A47" i="14624"/>
  <c r="A35" i="14624"/>
  <c r="A49" i="14624"/>
  <c r="A50" i="14624"/>
  <c r="A33" i="14624"/>
  <c r="A46" i="14624"/>
  <c r="A34" i="14624"/>
  <c r="A48" i="14624"/>
  <c r="A36" i="14624"/>
  <c r="A37" i="14624"/>
  <c r="A42" i="14624"/>
  <c r="A54" i="14624"/>
  <c r="A43" i="14624"/>
  <c r="A39" i="14624"/>
  <c r="A51" i="14624"/>
  <c r="A40" i="14624"/>
  <c r="A52" i="14624"/>
  <c r="A41" i="14624"/>
  <c r="A53" i="14624"/>
  <c r="E92" i="14647"/>
  <c r="J77" i="14647" a="1"/>
  <c r="J77" i="14647" s="1"/>
  <c r="N75" i="14645"/>
  <c r="G28" i="14687"/>
  <c r="F7" i="14629" s="1"/>
  <c r="A49" i="14645" a="1"/>
  <c r="T13" i="14655"/>
  <c r="A251" i="14701"/>
  <c r="B52" i="14687"/>
  <c r="B55" i="14687" s="1"/>
  <c r="B50" i="14687"/>
  <c r="B54" i="14687"/>
  <c r="G14" i="14708"/>
  <c r="I14" i="14708" s="1"/>
  <c r="K14" i="14708" s="1"/>
  <c r="M14" i="14708" s="1"/>
  <c r="F62" i="14665"/>
  <c r="A29" i="14682"/>
  <c r="A50" i="14682"/>
  <c r="A45" i="14682"/>
  <c r="A48" i="14682"/>
  <c r="A43" i="14682"/>
  <c r="A46" i="14682"/>
  <c r="A41" i="14682"/>
  <c r="A44" i="14682"/>
  <c r="A39" i="14682"/>
  <c r="A42" i="14682"/>
  <c r="A37" i="14682"/>
  <c r="A40" i="14682"/>
  <c r="A35" i="14682"/>
  <c r="A38" i="14682"/>
  <c r="A33" i="14682"/>
  <c r="A36" i="14682"/>
  <c r="A31" i="14682"/>
  <c r="A32" i="14682"/>
  <c r="A30" i="14682"/>
  <c r="A47" i="14682"/>
  <c r="A49" i="14682"/>
  <c r="A20" i="14641"/>
  <c r="A22" i="14641"/>
  <c r="A24" i="14641"/>
  <c r="G19" i="14647"/>
  <c r="E19" i="14647"/>
  <c r="B9" i="14624" a="1"/>
  <c r="I12" i="14624" s="1"/>
  <c r="I217" i="14704"/>
  <c r="I163" i="14704"/>
  <c r="I235" i="14704"/>
  <c r="A179" i="14700"/>
  <c r="A178" i="14700"/>
  <c r="E65" i="14685"/>
  <c r="I181" i="14704"/>
  <c r="D19" i="14647"/>
  <c r="N40" i="14675"/>
  <c r="I217" i="14700"/>
  <c r="I145" i="14700"/>
  <c r="I235" i="14700"/>
  <c r="I145" i="14704"/>
  <c r="M30" i="14687"/>
  <c r="O11" i="14687"/>
  <c r="A28" i="14661" a="1"/>
  <c r="A196" i="14701"/>
  <c r="A197" i="14701"/>
  <c r="I70" i="14704"/>
  <c r="H5" i="14692"/>
  <c r="A38" i="14624"/>
  <c r="A181" i="14703"/>
  <c r="A196" i="14703"/>
  <c r="A197" i="14703"/>
  <c r="G8" i="14652"/>
  <c r="E9" i="14652"/>
  <c r="A232" i="14701"/>
  <c r="A233" i="14701"/>
  <c r="A25" i="14641"/>
  <c r="D15" i="14690"/>
  <c r="L17" i="14687"/>
  <c r="B34" i="14628"/>
  <c r="B31" i="14628"/>
  <c r="B36" i="14628"/>
  <c r="B38" i="14628"/>
  <c r="B33" i="14628"/>
  <c r="M40" i="14628" s="1"/>
  <c r="B32" i="14687"/>
  <c r="B34" i="14687"/>
  <c r="A143" i="14703"/>
  <c r="A142" i="14703"/>
  <c r="A127" i="14703"/>
  <c r="A160" i="14701"/>
  <c r="A161" i="14701"/>
  <c r="A38" i="14629"/>
  <c r="A142" i="14700"/>
  <c r="A143" i="14700"/>
  <c r="D34" i="14667"/>
  <c r="F34" i="14667" s="1"/>
  <c r="H34" i="14667" s="1"/>
  <c r="J34" i="14667" s="1"/>
  <c r="L34" i="14667" s="1"/>
  <c r="N34" i="14667" s="1"/>
  <c r="G12" i="14626"/>
  <c r="A196" i="14704"/>
  <c r="A197" i="14704"/>
  <c r="A179" i="14704"/>
  <c r="A178" i="14704"/>
  <c r="A214" i="14701"/>
  <c r="A215" i="14701"/>
  <c r="N12" i="14653"/>
  <c r="H14" i="14653"/>
  <c r="H33" i="14624"/>
  <c r="F30" i="14687"/>
  <c r="N29" i="14687"/>
  <c r="K17" i="14687"/>
  <c r="H29" i="14687"/>
  <c r="M29" i="14687"/>
  <c r="H30" i="14687"/>
  <c r="M20" i="14687"/>
  <c r="O12" i="14687"/>
  <c r="C11" i="14626"/>
  <c r="D8" i="14667"/>
  <c r="D21" i="14706"/>
  <c r="D43" i="14690"/>
  <c r="C43" i="14690"/>
  <c r="E43" i="14690"/>
  <c r="O24" i="14625"/>
  <c r="O24" i="14677"/>
  <c r="E33" i="14687"/>
  <c r="M33" i="14687"/>
  <c r="Q25" i="14655"/>
  <c r="G43" i="14690"/>
  <c r="F23" i="14647"/>
  <c r="A217" i="14698"/>
  <c r="G49" i="14685"/>
  <c r="G47" i="14685"/>
  <c r="G50" i="14685" s="1"/>
  <c r="A11" i="14707"/>
  <c r="A15" i="14707"/>
  <c r="A16" i="14707"/>
  <c r="A14" i="14707"/>
  <c r="A17" i="14707"/>
  <c r="A12" i="14707"/>
  <c r="A13" i="14707"/>
  <c r="A18" i="14707"/>
  <c r="A23" i="14689"/>
  <c r="A26" i="14689"/>
  <c r="A22" i="14689"/>
  <c r="A73" i="14689" s="1"/>
  <c r="A24" i="14689"/>
  <c r="A25" i="14689"/>
  <c r="O48" i="14653"/>
  <c r="O61" i="14653" s="1"/>
  <c r="F40" i="14675"/>
  <c r="O24" i="14676"/>
  <c r="Q10" i="14655"/>
  <c r="U6" i="14655"/>
  <c r="V6" i="14655" s="1"/>
  <c r="W6" i="14655" s="1"/>
  <c r="X6" i="14655" s="1"/>
  <c r="C14" i="14653"/>
  <c r="H43" i="14690"/>
  <c r="B15" i="14692" a="1"/>
  <c r="B39" i="14690" a="1"/>
  <c r="E39" i="14690" s="1"/>
  <c r="H21" i="14687"/>
  <c r="M17" i="14687"/>
  <c r="E21" i="14687"/>
  <c r="B38" i="14652"/>
  <c r="B40" i="14652"/>
  <c r="B33" i="14652"/>
  <c r="A88" i="14707"/>
  <c r="A89" i="14707"/>
  <c r="A91" i="14707"/>
  <c r="A90" i="14707"/>
  <c r="A94" i="14707"/>
  <c r="A93" i="14707"/>
  <c r="A92" i="14707"/>
  <c r="A95" i="14707"/>
  <c r="B26" i="14689"/>
  <c r="A43" i="14662"/>
  <c r="A44" i="14662" s="1"/>
  <c r="A45" i="14662" s="1"/>
  <c r="A46" i="14662" s="1"/>
  <c r="A47" i="14662" s="1"/>
  <c r="A48" i="14662" s="1"/>
  <c r="A49" i="14662" s="1"/>
  <c r="A50" i="14662" s="1"/>
  <c r="A51" i="14662" s="1"/>
  <c r="A52" i="14662" s="1"/>
  <c r="A53" i="14662" s="1"/>
  <c r="A54" i="14662" s="1"/>
  <c r="A55" i="14662" s="1"/>
  <c r="A56" i="14662" s="1"/>
  <c r="A57" i="14662" s="1"/>
  <c r="A58" i="14662" s="1"/>
  <c r="A59" i="14662"/>
  <c r="A37" i="14695"/>
  <c r="A35" i="14695"/>
  <c r="A36" i="14695"/>
  <c r="A34" i="14695"/>
  <c r="A38" i="14695"/>
  <c r="A5" i="14641"/>
  <c r="A8" i="14641"/>
  <c r="A9" i="14641"/>
  <c r="A11" i="14641"/>
  <c r="A7" i="14641"/>
  <c r="A10" i="14641"/>
  <c r="A6" i="14641"/>
  <c r="F54" i="14647"/>
  <c r="I54" i="14647"/>
  <c r="C54" i="14647"/>
  <c r="J54" i="14647"/>
  <c r="E54" i="14647"/>
  <c r="A54" i="14647"/>
  <c r="C73" i="14687"/>
  <c r="L73" i="14687"/>
  <c r="N73" i="14687"/>
  <c r="A48" i="14689"/>
  <c r="A46" i="14689"/>
  <c r="A49" i="14689"/>
  <c r="A43" i="14694" a="1"/>
  <c r="A35" i="14694" a="1"/>
  <c r="A51" i="14694" a="1"/>
  <c r="A251" i="14702"/>
  <c r="A250" i="14702"/>
  <c r="E48" i="14687"/>
  <c r="F48" i="14687"/>
  <c r="H48" i="14687"/>
  <c r="K48" i="14687"/>
  <c r="M48" i="14687"/>
  <c r="L48" i="14687"/>
  <c r="D48" i="14687"/>
  <c r="N48" i="14687"/>
  <c r="D7" i="14625"/>
  <c r="C11" i="14645"/>
  <c r="C12" i="14645" s="1"/>
  <c r="G40" i="14675"/>
  <c r="A43" i="14695"/>
  <c r="A45" i="14695"/>
  <c r="A42" i="14695"/>
  <c r="A233" i="14702"/>
  <c r="A232" i="14702"/>
  <c r="H23" i="14647"/>
  <c r="D23" i="14647"/>
  <c r="I23" i="14647"/>
  <c r="C23" i="14647"/>
  <c r="E23" i="14647"/>
  <c r="B23" i="14647"/>
  <c r="A8" i="14625"/>
  <c r="A9" i="14625"/>
  <c r="A7" i="14625"/>
  <c r="A5" i="14625"/>
  <c r="A10" i="14625"/>
  <c r="O24" i="14633"/>
  <c r="C23" i="14687" a="1"/>
  <c r="U9" i="14655"/>
  <c r="V9" i="14655" s="1"/>
  <c r="W9" i="14655" s="1"/>
  <c r="X9" i="14655" s="1"/>
  <c r="D33" i="14624"/>
  <c r="A11" i="14625"/>
  <c r="F43" i="14690"/>
  <c r="G23" i="14647"/>
  <c r="B63" i="14689"/>
  <c r="D79" i="14689" s="1"/>
  <c r="A41" i="14695"/>
  <c r="A217" i="14700"/>
  <c r="A217" i="14701"/>
  <c r="N21" i="14687"/>
  <c r="A40" i="14639"/>
  <c r="A42" i="14639"/>
  <c r="A39" i="14639"/>
  <c r="A41" i="14639"/>
  <c r="A58" i="14707"/>
  <c r="A62" i="14707"/>
  <c r="A56" i="14707"/>
  <c r="A60" i="14707"/>
  <c r="A59" i="14707"/>
  <c r="A61" i="14707"/>
  <c r="A55" i="14707"/>
  <c r="A57" i="14707"/>
  <c r="C55" i="14685" a="1"/>
  <c r="C55" i="14685" s="1"/>
  <c r="B15" i="14661"/>
  <c r="D55" i="14685" a="1"/>
  <c r="D55" i="14685" s="1"/>
  <c r="B37" i="14661" s="1"/>
  <c r="A27" i="14695"/>
  <c r="A28" i="14695"/>
  <c r="A29" i="14695"/>
  <c r="A31" i="14695"/>
  <c r="A30" i="14695"/>
  <c r="E30" i="14687"/>
  <c r="I30" i="14687"/>
  <c r="L30" i="14687"/>
  <c r="K30" i="14687"/>
  <c r="L40" i="14628"/>
  <c r="J94" i="14647" a="1"/>
  <c r="J94" i="14647" s="1"/>
  <c r="B94" i="14647"/>
  <c r="I94" i="14647" s="1"/>
  <c r="G11" i="14645"/>
  <c r="G12" i="14645" s="1"/>
  <c r="H7" i="14625"/>
  <c r="A10" i="14633"/>
  <c r="A5" i="14633"/>
  <c r="A9" i="14633"/>
  <c r="A7" i="14633"/>
  <c r="I163" i="14698"/>
  <c r="I181" i="14698"/>
  <c r="I217" i="14698"/>
  <c r="I199" i="14698"/>
  <c r="K40" i="14675"/>
  <c r="M40" i="14675"/>
  <c r="E29" i="14687"/>
  <c r="H33" i="14687"/>
  <c r="J33" i="14687"/>
  <c r="O10" i="14687"/>
  <c r="J21" i="14687"/>
  <c r="K21" i="14687"/>
  <c r="E31" i="14687"/>
  <c r="E35" i="14687"/>
  <c r="G35" i="14687"/>
  <c r="H31" i="14687"/>
  <c r="L21" i="14687"/>
  <c r="F21" i="14687"/>
  <c r="D21" i="14687"/>
  <c r="O16" i="14687"/>
  <c r="O14" i="14687"/>
  <c r="N9" i="14653"/>
  <c r="C33" i="14624"/>
  <c r="G33" i="14624"/>
  <c r="N11" i="14653"/>
  <c r="E14" i="14653"/>
  <c r="G10" i="14705"/>
  <c r="A40" i="14706"/>
  <c r="A15" i="14690"/>
  <c r="A8" i="11" s="1"/>
  <c r="A14" i="14690"/>
  <c r="A7" i="11" s="1"/>
  <c r="C26" i="14652"/>
  <c r="J14" i="14653"/>
  <c r="B5" i="7" a="1"/>
  <c r="K10" i="7" s="1"/>
  <c r="K22" i="7" s="1"/>
  <c r="B5" i="14630" a="1"/>
  <c r="J11" i="14630" s="1"/>
  <c r="G12" i="14692"/>
  <c r="E12" i="14692"/>
  <c r="C12" i="14692"/>
  <c r="B12" i="14692"/>
  <c r="D12" i="14692"/>
  <c r="H12" i="14692"/>
  <c r="F12" i="14692"/>
  <c r="K17" i="14661"/>
  <c r="L17" i="14661" s="1"/>
  <c r="G79" i="14689"/>
  <c r="E79" i="14689"/>
  <c r="A20" i="14639"/>
  <c r="A22" i="14639"/>
  <c r="A21" i="14639"/>
  <c r="M7" i="14624"/>
  <c r="N20" i="14687"/>
  <c r="L11" i="14708"/>
  <c r="V23" i="14655"/>
  <c r="A145" i="14707"/>
  <c r="A143" i="14707"/>
  <c r="A141" i="14707"/>
  <c r="A139" i="14707"/>
  <c r="A142" i="14707"/>
  <c r="A138" i="14707"/>
  <c r="A144" i="14707"/>
  <c r="A140" i="14707"/>
  <c r="A51" i="14645"/>
  <c r="A53" i="14645"/>
  <c r="A49" i="14645"/>
  <c r="A50" i="14645"/>
  <c r="A52" i="14645"/>
  <c r="A20" i="14673"/>
  <c r="A18" i="14673"/>
  <c r="A19" i="14673"/>
  <c r="A17" i="14673"/>
  <c r="F7" i="14624"/>
  <c r="G20" i="14687"/>
  <c r="G17" i="14687"/>
  <c r="E7" i="14624"/>
  <c r="F17" i="14687"/>
  <c r="F20" i="14687"/>
  <c r="C7" i="14624"/>
  <c r="D17" i="14687"/>
  <c r="D20" i="14687"/>
  <c r="O9" i="14687"/>
  <c r="C12" i="14626"/>
  <c r="C63" i="14685" a="1"/>
  <c r="C63" i="14685" s="1"/>
  <c r="B17" i="14661"/>
  <c r="D17" i="14661" s="1"/>
  <c r="D20" i="14706"/>
  <c r="F20" i="14706" s="1"/>
  <c r="H20" i="14706" s="1"/>
  <c r="J20" i="14706" s="1"/>
  <c r="L20" i="14706" s="1"/>
  <c r="N20" i="14706" s="1"/>
  <c r="D63" i="14685" a="1"/>
  <c r="D63" i="14685" s="1"/>
  <c r="B39" i="14661" s="1"/>
  <c r="C39" i="14661" s="1"/>
  <c r="D7" i="14667"/>
  <c r="F7" i="14667" s="1"/>
  <c r="H7" i="14667" s="1"/>
  <c r="J7" i="14667" s="1"/>
  <c r="L7" i="14667" s="1"/>
  <c r="N7" i="14667" s="1"/>
  <c r="J58" i="14685" a="1"/>
  <c r="B57" i="14648"/>
  <c r="H51" i="14690"/>
  <c r="B72" i="14648" s="1"/>
  <c r="J54" i="14685"/>
  <c r="J53" i="14685"/>
  <c r="O60" i="14653"/>
  <c r="G36" i="14685"/>
  <c r="G34" i="14685"/>
  <c r="G35" i="14685"/>
  <c r="A39" i="14686"/>
  <c r="A42" i="14686"/>
  <c r="A40" i="14686"/>
  <c r="A41" i="14686"/>
  <c r="A38" i="14686"/>
  <c r="A37" i="14686"/>
  <c r="A43" i="14686"/>
  <c r="A44" i="14686"/>
  <c r="D67" i="14647"/>
  <c r="F67" i="14647"/>
  <c r="E65" i="14645" s="1"/>
  <c r="E66" i="14645" s="1"/>
  <c r="E67" i="14647"/>
  <c r="H67" i="14647"/>
  <c r="G67" i="14647"/>
  <c r="F65" i="14645" s="1"/>
  <c r="F66" i="14645" s="1"/>
  <c r="A51" i="14687"/>
  <c r="A49" i="14687"/>
  <c r="A52" i="14687"/>
  <c r="A54" i="14687"/>
  <c r="A53" i="14687"/>
  <c r="A47" i="14687"/>
  <c r="A50" i="14687"/>
  <c r="A48" i="14687"/>
  <c r="A9" i="14629"/>
  <c r="A13" i="14629"/>
  <c r="A12" i="14629"/>
  <c r="A11" i="14629"/>
  <c r="A14" i="14629"/>
  <c r="A8" i="14629"/>
  <c r="A7" i="14629"/>
  <c r="A10" i="14629"/>
  <c r="A72" i="14687"/>
  <c r="A67" i="14687"/>
  <c r="A69" i="14687"/>
  <c r="A71" i="14687"/>
  <c r="A66" i="14687"/>
  <c r="A68" i="14687"/>
  <c r="A73" i="14687"/>
  <c r="A70" i="14687"/>
  <c r="J27" i="14647" a="1"/>
  <c r="J27" i="14647" s="1"/>
  <c r="B27" i="14647"/>
  <c r="I27" i="14647" s="1"/>
  <c r="C42" i="14647"/>
  <c r="F7" i="14695"/>
  <c r="C6" i="14695"/>
  <c r="E10" i="14695"/>
  <c r="C7" i="14695"/>
  <c r="G10" i="14695"/>
  <c r="B8" i="14695"/>
  <c r="G9" i="14695"/>
  <c r="B9" i="14695"/>
  <c r="E8" i="14695"/>
  <c r="H8" i="14695"/>
  <c r="H7" i="14695"/>
  <c r="E7" i="14695"/>
  <c r="D7" i="14695"/>
  <c r="G7" i="14695"/>
  <c r="D6" i="14695"/>
  <c r="E9" i="14695"/>
  <c r="G6" i="14695"/>
  <c r="C8" i="14695"/>
  <c r="F9" i="14695"/>
  <c r="B6" i="14695"/>
  <c r="D9" i="14695"/>
  <c r="H9" i="14695"/>
  <c r="F6" i="14695"/>
  <c r="B7" i="14695"/>
  <c r="C9" i="14695"/>
  <c r="G8" i="14695"/>
  <c r="C10" i="14695"/>
  <c r="D8" i="14695"/>
  <c r="D10" i="14695"/>
  <c r="H10" i="14695"/>
  <c r="B10" i="14695"/>
  <c r="H6" i="14695"/>
  <c r="F10" i="14695"/>
  <c r="E6" i="14695"/>
  <c r="F8" i="14695"/>
  <c r="C9" i="14625" a="1"/>
  <c r="E9" i="14625" s="1"/>
  <c r="O58" i="14653"/>
  <c r="J58" i="14653" s="1"/>
  <c r="J71" i="14653" s="1"/>
  <c r="C38" i="14690"/>
  <c r="F38" i="14690"/>
  <c r="D38" i="14690"/>
  <c r="G38" i="14690"/>
  <c r="H38" i="14690"/>
  <c r="E38" i="14690"/>
  <c r="B38" i="14690"/>
  <c r="O59" i="14653"/>
  <c r="C33" i="14687"/>
  <c r="F33" i="14687"/>
  <c r="G33" i="14687"/>
  <c r="D33" i="14687"/>
  <c r="N33" i="14687"/>
  <c r="L33" i="14687"/>
  <c r="I33" i="14687"/>
  <c r="C29" i="14687"/>
  <c r="F29" i="14687"/>
  <c r="G29" i="14687"/>
  <c r="K29" i="14687"/>
  <c r="L29" i="14687"/>
  <c r="I29" i="14687"/>
  <c r="D29" i="14687"/>
  <c r="A37" i="14661"/>
  <c r="A31" i="14661"/>
  <c r="A35" i="14661"/>
  <c r="A36" i="14661"/>
  <c r="A33" i="14661"/>
  <c r="A29" i="14661"/>
  <c r="A30" i="14661"/>
  <c r="A34" i="14661"/>
  <c r="A28" i="14661"/>
  <c r="J6" i="14685"/>
  <c r="J10" i="14685"/>
  <c r="J9" i="14685"/>
  <c r="C16" i="14709"/>
  <c r="C70" i="14709" s="1"/>
  <c r="B16" i="14649"/>
  <c r="E72" i="14647"/>
  <c r="A72" i="14647"/>
  <c r="B72" i="14647"/>
  <c r="C72" i="14647"/>
  <c r="I72" i="14647"/>
  <c r="G72" i="14647"/>
  <c r="H72" i="14647"/>
  <c r="J72" i="14647"/>
  <c r="F72" i="14647"/>
  <c r="D72" i="14647"/>
  <c r="H15" i="14692"/>
  <c r="C15" i="14692"/>
  <c r="D15" i="14692"/>
  <c r="F15" i="14692"/>
  <c r="E15" i="14692"/>
  <c r="B15" i="14692"/>
  <c r="G15" i="14692"/>
  <c r="G51" i="14687"/>
  <c r="K51" i="14687"/>
  <c r="I51" i="14687"/>
  <c r="H51" i="14687"/>
  <c r="D51" i="14687"/>
  <c r="L51" i="14687"/>
  <c r="F51" i="14687"/>
  <c r="J51" i="14687"/>
  <c r="N51" i="14687"/>
  <c r="C51" i="14687"/>
  <c r="M51" i="14687"/>
  <c r="E51" i="14687"/>
  <c r="F47" i="14687"/>
  <c r="J47" i="14687"/>
  <c r="N47" i="14687"/>
  <c r="L47" i="14687"/>
  <c r="D47" i="14687"/>
  <c r="H47" i="14687"/>
  <c r="K47" i="14687"/>
  <c r="I47" i="14687"/>
  <c r="C47" i="14687"/>
  <c r="M47" i="14687"/>
  <c r="G47" i="14687"/>
  <c r="E47" i="14687"/>
  <c r="B38" i="14639"/>
  <c r="B36" i="14639"/>
  <c r="B33" i="14639"/>
  <c r="B35" i="14639"/>
  <c r="B32" i="14639"/>
  <c r="B31" i="14639"/>
  <c r="B37" i="14639"/>
  <c r="B34" i="14639"/>
  <c r="C40" i="14690"/>
  <c r="D40" i="14690"/>
  <c r="G40" i="14690"/>
  <c r="E40" i="14690"/>
  <c r="B40" i="14690"/>
  <c r="F40" i="14690"/>
  <c r="H40" i="14690"/>
  <c r="A235" i="14702"/>
  <c r="A235" i="14700"/>
  <c r="A235" i="14704"/>
  <c r="A235" i="14701"/>
  <c r="D74" i="14690"/>
  <c r="H74" i="14690"/>
  <c r="C74" i="14690"/>
  <c r="E74" i="14690"/>
  <c r="F74" i="14690"/>
  <c r="G74" i="14690"/>
  <c r="C28" i="14667"/>
  <c r="Q11" i="14655"/>
  <c r="T11" i="14655" s="1"/>
  <c r="L27" i="14708"/>
  <c r="J37" i="14708"/>
  <c r="J38" i="14708" s="1"/>
  <c r="A14" i="14633"/>
  <c r="A15" i="14633"/>
  <c r="A16" i="14633"/>
  <c r="A17" i="14633"/>
  <c r="A13" i="14633"/>
  <c r="Q23" i="14655"/>
  <c r="A51" i="14652"/>
  <c r="A47" i="14652"/>
  <c r="A52" i="14652"/>
  <c r="A48" i="14652"/>
  <c r="A45" i="14652"/>
  <c r="A50" i="14652"/>
  <c r="A49" i="14652"/>
  <c r="A46" i="14652"/>
  <c r="A8" i="14676"/>
  <c r="A7" i="14676"/>
  <c r="A6" i="14676"/>
  <c r="A9" i="14676"/>
  <c r="A10" i="14676"/>
  <c r="A5" i="14676"/>
  <c r="A11" i="14676"/>
  <c r="A17" i="14682"/>
  <c r="A15" i="14682"/>
  <c r="A18" i="14682"/>
  <c r="A16" i="14682"/>
  <c r="G7" i="14624"/>
  <c r="H17" i="14687"/>
  <c r="H20" i="14687"/>
  <c r="I7" i="14624"/>
  <c r="J20" i="14687"/>
  <c r="K20" i="14687"/>
  <c r="J17" i="14687"/>
  <c r="D7" i="14624"/>
  <c r="E17" i="14687"/>
  <c r="E20" i="14687"/>
  <c r="A52" i="14692" a="1"/>
  <c r="A44" i="14692" a="1"/>
  <c r="A36" i="14692" a="1"/>
  <c r="C43" i="14622" a="1"/>
  <c r="C43" i="14622" s="1"/>
  <c r="D41" i="14622"/>
  <c r="D39" i="14622"/>
  <c r="D40" i="14622"/>
  <c r="E25" i="14690"/>
  <c r="D17" i="14649" a="1"/>
  <c r="B93" i="14647"/>
  <c r="I93" i="14647" s="1"/>
  <c r="J93" i="14647" a="1"/>
  <c r="J93" i="14647" s="1"/>
  <c r="G25" i="14685"/>
  <c r="G24" i="14685"/>
  <c r="G23" i="14685"/>
  <c r="G26" i="14685" s="1"/>
  <c r="G42" i="14685"/>
  <c r="G41" i="14685"/>
  <c r="G40" i="14685"/>
  <c r="A10" i="14682"/>
  <c r="A7" i="14682"/>
  <c r="A6" i="14682"/>
  <c r="A8" i="14682"/>
  <c r="A12" i="14682"/>
  <c r="A5" i="14682"/>
  <c r="A9" i="14682"/>
  <c r="A11" i="14682"/>
  <c r="A9" i="14687"/>
  <c r="A14" i="14687"/>
  <c r="A11" i="14687"/>
  <c r="A10" i="14687"/>
  <c r="A12" i="14687"/>
  <c r="A15" i="14687"/>
  <c r="A16" i="14687"/>
  <c r="A13" i="14687"/>
  <c r="H6" i="14694"/>
  <c r="E9" i="14694"/>
  <c r="F9" i="14694"/>
  <c r="F7" i="14694"/>
  <c r="H9" i="14694"/>
  <c r="B8" i="14694"/>
  <c r="D8" i="14694"/>
  <c r="B9" i="14694"/>
  <c r="C5" i="14694"/>
  <c r="B7" i="14694"/>
  <c r="C7" i="14694"/>
  <c r="G6" i="14694"/>
  <c r="F10" i="14694"/>
  <c r="H10" i="14694"/>
  <c r="H8" i="14694"/>
  <c r="D9" i="14694"/>
  <c r="E5" i="14694"/>
  <c r="H7" i="14694"/>
  <c r="D7" i="14694"/>
  <c r="G5" i="14694"/>
  <c r="C6" i="14694"/>
  <c r="G7" i="14694"/>
  <c r="E6" i="14694"/>
  <c r="F6" i="14694"/>
  <c r="G10" i="14694"/>
  <c r="F8" i="14694"/>
  <c r="C8" i="14694"/>
  <c r="B6" i="14694"/>
  <c r="D5" i="14694"/>
  <c r="C10" i="14694"/>
  <c r="D6" i="14694"/>
  <c r="E10" i="14694"/>
  <c r="G9" i="14694"/>
  <c r="G8" i="14694"/>
  <c r="B10" i="14694"/>
  <c r="F5" i="14694"/>
  <c r="B5" i="14694"/>
  <c r="E7" i="14694"/>
  <c r="E8" i="14694"/>
  <c r="H5" i="14694"/>
  <c r="D10" i="14694"/>
  <c r="C9" i="14694"/>
  <c r="A7" i="14636"/>
  <c r="A9" i="14636"/>
  <c r="A13" i="14636"/>
  <c r="A11" i="14636"/>
  <c r="A12" i="14636"/>
  <c r="A14" i="14636"/>
  <c r="A8" i="14636"/>
  <c r="A10" i="14636"/>
  <c r="A10" i="14624"/>
  <c r="A7" i="14624"/>
  <c r="A12" i="14624"/>
  <c r="A8" i="14624"/>
  <c r="A9" i="14624"/>
  <c r="A11" i="14624"/>
  <c r="A14" i="14624"/>
  <c r="A13" i="14624"/>
  <c r="B8" i="14624"/>
  <c r="C17" i="14687"/>
  <c r="B10" i="14661"/>
  <c r="D26" i="14685" a="1"/>
  <c r="D26" i="14685" s="1"/>
  <c r="B32" i="14661" s="1"/>
  <c r="C30" i="14661" s="1" a="1"/>
  <c r="C26" i="14685" a="1"/>
  <c r="C26" i="14685" s="1"/>
  <c r="D30" i="14686" a="1"/>
  <c r="D30" i="14686" s="1"/>
  <c r="D31" i="14686" s="1"/>
  <c r="D48" i="14686" a="1"/>
  <c r="D48" i="14686" s="1"/>
  <c r="E22" i="14686"/>
  <c r="E89" i="14647"/>
  <c r="B74" i="14647"/>
  <c r="I74" i="14647" s="1"/>
  <c r="C35" i="14687"/>
  <c r="D35" i="14687"/>
  <c r="N35" i="14687"/>
  <c r="F35" i="14687"/>
  <c r="K35" i="14687"/>
  <c r="I35" i="14687"/>
  <c r="L35" i="14687"/>
  <c r="C31" i="14687"/>
  <c r="D31" i="14687"/>
  <c r="F31" i="14687"/>
  <c r="G31" i="14687"/>
  <c r="L31" i="14687"/>
  <c r="I31" i="14687"/>
  <c r="H28" i="14687"/>
  <c r="G7" i="14629" s="1"/>
  <c r="B36" i="14687"/>
  <c r="E28" i="14687"/>
  <c r="D7" i="14629" s="1"/>
  <c r="M28" i="14687"/>
  <c r="L7" i="14629" s="1"/>
  <c r="J28" i="14687"/>
  <c r="I7" i="14629" s="1"/>
  <c r="F28" i="14687"/>
  <c r="E7" i="14629" s="1"/>
  <c r="L28" i="14687"/>
  <c r="K28" i="14687"/>
  <c r="I28" i="14687"/>
  <c r="C28" i="14687"/>
  <c r="D28" i="14687"/>
  <c r="D75" i="14689"/>
  <c r="C75" i="14689"/>
  <c r="G75" i="14689"/>
  <c r="A32" i="14661"/>
  <c r="F53" i="14687"/>
  <c r="J53" i="14687"/>
  <c r="N53" i="14687"/>
  <c r="E53" i="14687"/>
  <c r="M53" i="14687"/>
  <c r="C53" i="14687"/>
  <c r="I53" i="14687"/>
  <c r="L53" i="14687"/>
  <c r="K53" i="14687"/>
  <c r="G53" i="14687"/>
  <c r="H53" i="14687"/>
  <c r="D53" i="14687"/>
  <c r="F49" i="14687"/>
  <c r="J49" i="14687"/>
  <c r="N49" i="14687"/>
  <c r="E49" i="14687"/>
  <c r="M49" i="14687"/>
  <c r="C49" i="14687"/>
  <c r="G49" i="14687"/>
  <c r="D49" i="14687"/>
  <c r="H49" i="14687"/>
  <c r="L49" i="14687"/>
  <c r="K49" i="14687"/>
  <c r="I49" i="14687"/>
  <c r="B33" i="14634"/>
  <c r="B35" i="14634"/>
  <c r="B31" i="14634"/>
  <c r="B37" i="14634"/>
  <c r="B32" i="14634"/>
  <c r="B34" i="14634"/>
  <c r="B38" i="14634"/>
  <c r="B36" i="14634"/>
  <c r="E40" i="14674"/>
  <c r="F40" i="14674"/>
  <c r="L40" i="14674"/>
  <c r="J40" i="14674"/>
  <c r="H40" i="14674"/>
  <c r="K40" i="14674"/>
  <c r="N40" i="14674"/>
  <c r="C40" i="14674"/>
  <c r="D40" i="14674"/>
  <c r="I40" i="14674"/>
  <c r="G40" i="14674"/>
  <c r="M40" i="14674"/>
  <c r="N17" i="14687"/>
  <c r="I20" i="14687"/>
  <c r="D76" i="14665"/>
  <c r="V25" i="14655"/>
  <c r="L12" i="14708"/>
  <c r="E33" i="14624"/>
  <c r="B33" i="14624"/>
  <c r="I33" i="14624"/>
  <c r="L33" i="14624"/>
  <c r="M33" i="14624"/>
  <c r="J33" i="14624"/>
  <c r="Q20" i="14655"/>
  <c r="U20" i="14655" s="1"/>
  <c r="V20" i="14655" s="1"/>
  <c r="W20" i="14655" s="1"/>
  <c r="X20" i="14655" s="1"/>
  <c r="Q8" i="14655"/>
  <c r="T8" i="14655" s="1"/>
  <c r="Q16" i="14655"/>
  <c r="U16" i="14655" s="1"/>
  <c r="V16" i="14655" s="1"/>
  <c r="W16" i="14655" s="1"/>
  <c r="X16" i="14655" s="1"/>
  <c r="Q26" i="14655"/>
  <c r="T26" i="14655" s="1"/>
  <c r="Q12" i="14655"/>
  <c r="U12" i="14655" s="1"/>
  <c r="V12" i="14655" s="1"/>
  <c r="W12" i="14655" s="1"/>
  <c r="X12" i="14655" s="1"/>
  <c r="Q18" i="14655"/>
  <c r="Q15" i="14655"/>
  <c r="T15" i="14655" s="1"/>
  <c r="Q19" i="14655"/>
  <c r="U19" i="14655" s="1"/>
  <c r="V19" i="14655" s="1"/>
  <c r="W19" i="14655" s="1"/>
  <c r="X19" i="14655" s="1"/>
  <c r="D19" i="14706"/>
  <c r="F19" i="14706" s="1"/>
  <c r="H19" i="14706" s="1"/>
  <c r="J19" i="14706" s="1"/>
  <c r="L19" i="14706" s="1"/>
  <c r="N19" i="14706" s="1"/>
  <c r="D11" i="14667"/>
  <c r="Q14" i="14655"/>
  <c r="K3" i="14657"/>
  <c r="M12" i="14645"/>
  <c r="E11" i="14693"/>
  <c r="C11" i="14693"/>
  <c r="D11" i="14693"/>
  <c r="F11" i="14693"/>
  <c r="G30" i="14705"/>
  <c r="A31" i="14706"/>
  <c r="F26" i="14626"/>
  <c r="C38" i="14686"/>
  <c r="D38" i="14686"/>
  <c r="F47" i="14686"/>
  <c r="B38" i="14686"/>
  <c r="E38" i="14686"/>
  <c r="E47" i="14686" s="1" a="1"/>
  <c r="D10" i="14696" a="1"/>
  <c r="G10" i="14696" s="1"/>
  <c r="J42" i="14685"/>
  <c r="J43" i="14685"/>
  <c r="J41" i="14685"/>
  <c r="J40" i="14685"/>
  <c r="C72" i="14689"/>
  <c r="K9" i="14661"/>
  <c r="D72" i="14689"/>
  <c r="E72" i="14689"/>
  <c r="F72" i="14689"/>
  <c r="G72" i="14689"/>
  <c r="G20" i="14685"/>
  <c r="N6" i="14631"/>
  <c r="D10" i="14657" s="1"/>
  <c r="A21" i="14676"/>
  <c r="A23" i="14676"/>
  <c r="A25" i="14676"/>
  <c r="A20" i="14676"/>
  <c r="A22" i="14676"/>
  <c r="A24" i="14676"/>
  <c r="A14" i="14641"/>
  <c r="A17" i="14641"/>
  <c r="A15" i="14641"/>
  <c r="A16" i="14641"/>
  <c r="A13" i="14641"/>
  <c r="A14" i="14676"/>
  <c r="A15" i="14676"/>
  <c r="A16" i="14676"/>
  <c r="A17" i="14676"/>
  <c r="A13" i="14676"/>
  <c r="A14" i="14677"/>
  <c r="A17" i="14677"/>
  <c r="A16" i="14677"/>
  <c r="A15" i="14677"/>
  <c r="A13" i="14677"/>
  <c r="A14" i="14625"/>
  <c r="A15" i="14625"/>
  <c r="A17" i="14625"/>
  <c r="A16" i="14625"/>
  <c r="A13" i="14625"/>
  <c r="A26" i="14649"/>
  <c r="A25" i="14649"/>
  <c r="A24" i="14649"/>
  <c r="C41" i="14706"/>
  <c r="B39" i="14706"/>
  <c r="A22" i="14673"/>
  <c r="A23" i="14673"/>
  <c r="A24" i="14673"/>
  <c r="A25" i="14673"/>
  <c r="A25" i="14636"/>
  <c r="A24" i="14636"/>
  <c r="A22" i="14636"/>
  <c r="A23" i="14636"/>
  <c r="Q7" i="14655"/>
  <c r="B34" i="14624" a="1"/>
  <c r="I6" i="14640"/>
  <c r="F38" i="14665"/>
  <c r="G38" i="14665" s="1"/>
  <c r="G6" i="14640"/>
  <c r="M6" i="14640"/>
  <c r="B6" i="14640"/>
  <c r="F6" i="14640"/>
  <c r="J6" i="14640"/>
  <c r="C6" i="14671"/>
  <c r="C6" i="14640"/>
  <c r="K6" i="14640"/>
  <c r="F6" i="14670"/>
  <c r="E6" i="14640"/>
  <c r="D6" i="14640"/>
  <c r="H6" i="14640"/>
  <c r="L6" i="14640"/>
  <c r="M6" i="14671"/>
  <c r="M7" i="14629"/>
  <c r="C55" i="14707" a="1"/>
  <c r="J23" i="14685"/>
  <c r="J24" i="14685"/>
  <c r="J25" i="14685"/>
  <c r="J26" i="14685"/>
  <c r="D11" i="14690"/>
  <c r="B71" i="14649" s="1"/>
  <c r="D25" i="14690"/>
  <c r="C8" i="11"/>
  <c r="Q62" i="4128"/>
  <c r="C31" i="14661"/>
  <c r="C30" i="14661"/>
  <c r="C35" i="14661"/>
  <c r="C32" i="14661"/>
  <c r="C36" i="14661"/>
  <c r="C33" i="14661"/>
  <c r="C37" i="14661"/>
  <c r="C34" i="14661"/>
  <c r="J50" i="14685"/>
  <c r="J48" i="14685"/>
  <c r="J47" i="14685"/>
  <c r="J46" i="14685"/>
  <c r="J49" i="14685"/>
  <c r="J29" i="14685"/>
  <c r="J30" i="14685"/>
  <c r="J31" i="14685"/>
  <c r="C90" i="14687"/>
  <c r="I90" i="14687"/>
  <c r="K90" i="14687"/>
  <c r="N90" i="14687"/>
  <c r="D90" i="14687"/>
  <c r="G90" i="14687"/>
  <c r="H90" i="14687"/>
  <c r="J90" i="14687"/>
  <c r="L90" i="14687"/>
  <c r="M90" i="14687"/>
  <c r="E90" i="14687"/>
  <c r="F90" i="14687"/>
  <c r="C86" i="14687"/>
  <c r="H86" i="14687"/>
  <c r="I86" i="14687"/>
  <c r="M86" i="14687"/>
  <c r="N86" i="14687"/>
  <c r="F86" i="14687"/>
  <c r="K86" i="14687"/>
  <c r="G86" i="14687"/>
  <c r="J86" i="14687"/>
  <c r="E86" i="14687"/>
  <c r="D86" i="14687"/>
  <c r="L86" i="14687"/>
  <c r="D89" i="14687"/>
  <c r="F89" i="14687"/>
  <c r="K89" i="14687"/>
  <c r="J89" i="14687"/>
  <c r="M89" i="14687"/>
  <c r="C89" i="14687"/>
  <c r="E89" i="14687"/>
  <c r="G89" i="14687"/>
  <c r="I89" i="14687"/>
  <c r="N89" i="14687"/>
  <c r="H89" i="14687"/>
  <c r="L89" i="14687"/>
  <c r="F85" i="14687"/>
  <c r="I85" i="14687"/>
  <c r="L85" i="14687"/>
  <c r="B93" i="14687"/>
  <c r="J85" i="14687"/>
  <c r="M85" i="14687"/>
  <c r="C85" i="14687"/>
  <c r="D85" i="14687"/>
  <c r="E85" i="14687"/>
  <c r="G85" i="14687"/>
  <c r="K85" i="14687"/>
  <c r="N85" i="14687"/>
  <c r="H85" i="14687"/>
  <c r="D92" i="14687"/>
  <c r="F92" i="14687"/>
  <c r="I92" i="14687"/>
  <c r="H92" i="14687"/>
  <c r="J92" i="14687"/>
  <c r="C92" i="14687"/>
  <c r="E92" i="14687"/>
  <c r="G92" i="14687"/>
  <c r="L92" i="14687"/>
  <c r="N92" i="14687"/>
  <c r="K92" i="14687"/>
  <c r="M92" i="14687"/>
  <c r="C88" i="14687"/>
  <c r="H88" i="14687"/>
  <c r="I88" i="14687"/>
  <c r="M88" i="14687"/>
  <c r="D88" i="14687"/>
  <c r="K88" i="14687"/>
  <c r="G88" i="14687"/>
  <c r="J88" i="14687"/>
  <c r="N88" i="14687"/>
  <c r="F88" i="14687"/>
  <c r="E88" i="14687"/>
  <c r="L88" i="14687"/>
  <c r="C91" i="14687"/>
  <c r="E91" i="14687"/>
  <c r="L91" i="14687"/>
  <c r="N91" i="14687"/>
  <c r="K91" i="14687"/>
  <c r="G91" i="14687"/>
  <c r="H91" i="14687"/>
  <c r="J91" i="14687"/>
  <c r="D91" i="14687"/>
  <c r="F91" i="14687"/>
  <c r="M91" i="14687"/>
  <c r="I91" i="14687"/>
  <c r="C87" i="14687"/>
  <c r="E87" i="14687"/>
  <c r="F87" i="14687"/>
  <c r="J87" i="14687"/>
  <c r="G87" i="14687"/>
  <c r="N87" i="14687"/>
  <c r="D87" i="14687"/>
  <c r="K87" i="14687"/>
  <c r="H87" i="14687"/>
  <c r="M87" i="14687"/>
  <c r="I87" i="14687"/>
  <c r="L87" i="14687"/>
  <c r="C23" i="14687"/>
  <c r="E23" i="14687"/>
  <c r="D23" i="14687"/>
  <c r="F23" i="14687"/>
  <c r="M23" i="14687"/>
  <c r="G23" i="14687"/>
  <c r="J23" i="14687"/>
  <c r="N23" i="14687"/>
  <c r="H23" i="14687"/>
  <c r="I23" i="14687"/>
  <c r="K23" i="14687"/>
  <c r="L23" i="14687"/>
  <c r="E4" i="14705"/>
  <c r="D4" i="14626"/>
  <c r="B12" i="14649"/>
  <c r="H59" i="14653" l="1"/>
  <c r="H72" i="14653" s="1"/>
  <c r="H48" i="14653"/>
  <c r="H61" i="14653" s="1"/>
  <c r="H74" i="14653" s="1"/>
  <c r="G59" i="14653"/>
  <c r="G72" i="14653" s="1"/>
  <c r="D58" i="14653"/>
  <c r="D71" i="14653" s="1"/>
  <c r="L58" i="14653"/>
  <c r="L71" i="14653" s="1"/>
  <c r="N35" i="14653"/>
  <c r="E58" i="14653"/>
  <c r="E71" i="14653" s="1"/>
  <c r="B59" i="14653"/>
  <c r="B72" i="14653" s="1"/>
  <c r="E60" i="14653"/>
  <c r="E73" i="14653" s="1"/>
  <c r="J48" i="14653"/>
  <c r="J61" i="14653" s="1"/>
  <c r="J74" i="14653" s="1"/>
  <c r="B47" i="14653"/>
  <c r="B60" i="14653" s="1"/>
  <c r="B73" i="14653" s="1"/>
  <c r="N34" i="14653"/>
  <c r="I59" i="14653"/>
  <c r="I72" i="14653" s="1"/>
  <c r="K58" i="14653"/>
  <c r="K71" i="14653" s="1"/>
  <c r="M60" i="14653"/>
  <c r="M73" i="14653" s="1"/>
  <c r="F48" i="14653"/>
  <c r="F61" i="14653" s="1"/>
  <c r="F74" i="14653" s="1"/>
  <c r="N45" i="14653"/>
  <c r="P45" i="14653" s="1"/>
  <c r="L19" i="14708" s="1"/>
  <c r="L59" i="14653"/>
  <c r="L72" i="14653" s="1"/>
  <c r="H58" i="14653"/>
  <c r="H71" i="14653" s="1"/>
  <c r="L60" i="14653"/>
  <c r="L73" i="14653" s="1"/>
  <c r="D48" i="14653"/>
  <c r="D61" i="14653" s="1"/>
  <c r="D74" i="14653" s="1"/>
  <c r="N33" i="14653"/>
  <c r="K72" i="14653"/>
  <c r="K60" i="14653"/>
  <c r="K73" i="14653" s="1"/>
  <c r="F58" i="14653"/>
  <c r="F71" i="14653" s="1"/>
  <c r="G48" i="14653"/>
  <c r="G61" i="14653" s="1"/>
  <c r="G74" i="14653" s="1"/>
  <c r="J59" i="14653"/>
  <c r="J72" i="14653" s="1"/>
  <c r="J60" i="14653"/>
  <c r="J73" i="14653" s="1"/>
  <c r="C48" i="14653"/>
  <c r="C61" i="14653" s="1"/>
  <c r="C74" i="14653" s="1"/>
  <c r="F59" i="14653"/>
  <c r="F72" i="14653" s="1"/>
  <c r="H60" i="14653"/>
  <c r="H73" i="14653" s="1"/>
  <c r="B58" i="14653"/>
  <c r="B71" i="14653" s="1"/>
  <c r="B48" i="14653"/>
  <c r="B61" i="14653" s="1"/>
  <c r="B74" i="14653" s="1"/>
  <c r="D59" i="14653"/>
  <c r="D72" i="14653" s="1"/>
  <c r="D60" i="14653"/>
  <c r="D73" i="14653" s="1"/>
  <c r="C58" i="14653"/>
  <c r="C71" i="14653" s="1"/>
  <c r="I48" i="14653"/>
  <c r="I61" i="14653" s="1"/>
  <c r="I74" i="14653" s="1"/>
  <c r="C60" i="14653"/>
  <c r="C73" i="14653" s="1"/>
  <c r="E48" i="14653"/>
  <c r="E61" i="14653" s="1"/>
  <c r="E74" i="14653" s="1"/>
  <c r="E59" i="14653"/>
  <c r="E72" i="14653" s="1"/>
  <c r="I60" i="14653"/>
  <c r="I73" i="14653" s="1"/>
  <c r="M48" i="14653"/>
  <c r="M61" i="14653" s="1"/>
  <c r="M74" i="14653" s="1"/>
  <c r="G58" i="14653"/>
  <c r="G71" i="14653" s="1"/>
  <c r="N46" i="14653"/>
  <c r="C59" i="14653"/>
  <c r="C72" i="14653" s="1"/>
  <c r="G60" i="14653"/>
  <c r="G73" i="14653" s="1"/>
  <c r="L48" i="14653"/>
  <c r="L61" i="14653" s="1"/>
  <c r="L74" i="14653" s="1"/>
  <c r="O49" i="14653"/>
  <c r="O62" i="14653" s="1"/>
  <c r="B36" i="14653"/>
  <c r="K36" i="14653"/>
  <c r="C36" i="14653"/>
  <c r="D36" i="14653"/>
  <c r="G36" i="14653"/>
  <c r="J36" i="14653"/>
  <c r="F36" i="14653"/>
  <c r="H36" i="14653"/>
  <c r="H49" i="14653" s="1"/>
  <c r="H62" i="14653" s="1"/>
  <c r="H75" i="14653" s="1"/>
  <c r="I36" i="14653"/>
  <c r="I49" i="14653" s="1"/>
  <c r="I62" i="14653" s="1"/>
  <c r="I75" i="14653" s="1"/>
  <c r="L36" i="14653"/>
  <c r="E36" i="14653"/>
  <c r="E49" i="14653" s="1"/>
  <c r="E62" i="14653" s="1"/>
  <c r="E75" i="14653" s="1"/>
  <c r="M36" i="14653"/>
  <c r="M49" i="14653" s="1"/>
  <c r="M62" i="14653" s="1"/>
  <c r="M75" i="14653" s="1"/>
  <c r="F60" i="14653"/>
  <c r="F73" i="14653" s="1"/>
  <c r="K48" i="14653"/>
  <c r="K61" i="14653" s="1"/>
  <c r="K74" i="14653" s="1"/>
  <c r="L14" i="14624"/>
  <c r="M10" i="14624"/>
  <c r="I13" i="14624"/>
  <c r="M12" i="14624"/>
  <c r="B11" i="14624"/>
  <c r="C13" i="14624"/>
  <c r="D11" i="14624"/>
  <c r="G39" i="14687"/>
  <c r="L11" i="14624"/>
  <c r="J10" i="14624"/>
  <c r="H12" i="14624"/>
  <c r="J12" i="14624"/>
  <c r="E9" i="14624"/>
  <c r="G9" i="14624"/>
  <c r="E13" i="14624"/>
  <c r="U11" i="14655"/>
  <c r="V11" i="14655" s="1"/>
  <c r="W11" i="14655" s="1"/>
  <c r="X11" i="14655" s="1"/>
  <c r="H11" i="14624"/>
  <c r="J14" i="14624"/>
  <c r="E14" i="14624"/>
  <c r="E11" i="14624"/>
  <c r="C10" i="14624"/>
  <c r="B13" i="14624"/>
  <c r="M13" i="14624"/>
  <c r="N14" i="14653"/>
  <c r="F39" i="14690"/>
  <c r="K12" i="14624"/>
  <c r="C9" i="14624"/>
  <c r="I14" i="14624"/>
  <c r="B39" i="14690"/>
  <c r="K14" i="14624"/>
  <c r="K9" i="14624"/>
  <c r="F42" i="14706"/>
  <c r="H42" i="14706" s="1"/>
  <c r="D39" i="14690"/>
  <c r="L10" i="14624"/>
  <c r="G10" i="14624"/>
  <c r="F29" i="14667"/>
  <c r="H29" i="14667" s="1"/>
  <c r="T19" i="14655"/>
  <c r="D12" i="14624"/>
  <c r="D9" i="14624"/>
  <c r="K10" i="14624"/>
  <c r="L12" i="14624"/>
  <c r="M14" i="14624"/>
  <c r="C11" i="14624"/>
  <c r="D13" i="14624"/>
  <c r="B9" i="14624"/>
  <c r="F9" i="14624"/>
  <c r="G11" i="14624"/>
  <c r="H13" i="14624"/>
  <c r="J9" i="14624"/>
  <c r="K11" i="14624"/>
  <c r="L13" i="14624"/>
  <c r="B10" i="14624"/>
  <c r="C12" i="14624"/>
  <c r="D14" i="14624"/>
  <c r="F10" i="14624"/>
  <c r="G12" i="14624"/>
  <c r="H14" i="14624"/>
  <c r="F11" i="14624"/>
  <c r="G13" i="14624"/>
  <c r="I9" i="14624"/>
  <c r="J11" i="14624"/>
  <c r="K13" i="14624"/>
  <c r="M9" i="14624"/>
  <c r="B12" i="14624"/>
  <c r="C14" i="14624"/>
  <c r="E10" i="14624"/>
  <c r="F12" i="14624"/>
  <c r="G14" i="14624"/>
  <c r="I10" i="14624"/>
  <c r="F13" i="14624"/>
  <c r="H9" i="14624"/>
  <c r="I11" i="14624"/>
  <c r="J13" i="14624"/>
  <c r="L9" i="14624"/>
  <c r="M11" i="14624"/>
  <c r="B14" i="14624"/>
  <c r="D10" i="14624"/>
  <c r="E12" i="14624"/>
  <c r="F14" i="14624"/>
  <c r="H10" i="14624"/>
  <c r="F14" i="14692"/>
  <c r="G14" i="14692"/>
  <c r="C14" i="14692"/>
  <c r="C17" i="14692" s="1"/>
  <c r="M52" i="14687"/>
  <c r="L52" i="14687"/>
  <c r="E52" i="14687"/>
  <c r="G52" i="14687"/>
  <c r="F52" i="14687"/>
  <c r="D52" i="14687"/>
  <c r="J52" i="14687"/>
  <c r="I52" i="14687"/>
  <c r="K52" i="14687"/>
  <c r="N52" i="14687"/>
  <c r="C52" i="14687"/>
  <c r="C59" i="14687" s="1"/>
  <c r="H52" i="14687"/>
  <c r="H55" i="14687" s="1"/>
  <c r="O40" i="14675"/>
  <c r="J40" i="14628"/>
  <c r="C42" i="14687" a="1"/>
  <c r="A127" i="14701"/>
  <c r="A127" i="14700"/>
  <c r="A127" i="14704"/>
  <c r="A127" i="14702"/>
  <c r="A127" i="14698"/>
  <c r="E7" i="14625"/>
  <c r="D11" i="14645"/>
  <c r="D12" i="14645" s="1"/>
  <c r="E40" i="14628"/>
  <c r="F11" i="14645"/>
  <c r="F12" i="14645" s="1"/>
  <c r="G7" i="14625"/>
  <c r="E71" i="14687"/>
  <c r="L71" i="14687"/>
  <c r="F71" i="14687"/>
  <c r="I71" i="14687"/>
  <c r="M71" i="14687"/>
  <c r="K71" i="14687"/>
  <c r="N71" i="14687"/>
  <c r="H71" i="14687"/>
  <c r="D71" i="14687"/>
  <c r="C71" i="14687"/>
  <c r="G71" i="14687"/>
  <c r="J71" i="14687"/>
  <c r="I39" i="14687"/>
  <c r="B12" i="14695" a="1"/>
  <c r="D40" i="14628"/>
  <c r="C19" i="14647"/>
  <c r="G34" i="14687"/>
  <c r="L34" i="14687"/>
  <c r="J34" i="14687"/>
  <c r="E34" i="14687"/>
  <c r="K34" i="14687"/>
  <c r="C34" i="14687"/>
  <c r="F34" i="14687"/>
  <c r="M34" i="14687"/>
  <c r="H34" i="14687"/>
  <c r="I34" i="14687"/>
  <c r="N34" i="14687"/>
  <c r="N36" i="14687" s="1"/>
  <c r="D34" i="14687"/>
  <c r="E69" i="14687"/>
  <c r="F69" i="14687"/>
  <c r="H69" i="14687"/>
  <c r="I69" i="14687"/>
  <c r="L69" i="14687"/>
  <c r="C69" i="14687"/>
  <c r="M69" i="14687"/>
  <c r="N69" i="14687"/>
  <c r="J69" i="14687"/>
  <c r="D69" i="14687"/>
  <c r="K69" i="14687"/>
  <c r="G69" i="14687"/>
  <c r="C79" i="14689"/>
  <c r="G40" i="14628"/>
  <c r="H32" i="14687"/>
  <c r="I32" i="14687"/>
  <c r="G32" i="14687"/>
  <c r="F32" i="14687"/>
  <c r="C32" i="14687"/>
  <c r="E32" i="14687"/>
  <c r="J32" i="14687"/>
  <c r="J36" i="14687" s="1"/>
  <c r="K32" i="14687"/>
  <c r="L32" i="14687"/>
  <c r="D32" i="14687"/>
  <c r="M32" i="14687"/>
  <c r="N32" i="14687"/>
  <c r="E10" i="14652"/>
  <c r="G9" i="14652"/>
  <c r="L67" i="14687"/>
  <c r="E67" i="14687"/>
  <c r="G67" i="14687"/>
  <c r="N67" i="14687"/>
  <c r="H67" i="14687"/>
  <c r="M67" i="14687"/>
  <c r="I67" i="14687"/>
  <c r="F67" i="14687"/>
  <c r="C67" i="14687"/>
  <c r="D67" i="14687"/>
  <c r="J67" i="14687"/>
  <c r="K67" i="14687"/>
  <c r="D7" i="14661" a="1"/>
  <c r="G62" i="14665"/>
  <c r="H62" i="14665" s="1"/>
  <c r="I62" i="14665" s="1"/>
  <c r="B33" i="14689" a="1"/>
  <c r="B12" i="14689" a="1"/>
  <c r="C24" i="14684" a="1"/>
  <c r="D3" i="4128" a="1"/>
  <c r="C32" i="14684" a="1"/>
  <c r="J92" i="14647" a="1"/>
  <c r="J92" i="14647" s="1"/>
  <c r="B92" i="14647"/>
  <c r="I92" i="14647" s="1"/>
  <c r="D70" i="14687"/>
  <c r="G70" i="14687"/>
  <c r="L70" i="14687"/>
  <c r="H70" i="14687"/>
  <c r="K70" i="14687"/>
  <c r="C70" i="14687"/>
  <c r="I70" i="14687"/>
  <c r="N70" i="14687"/>
  <c r="F70" i="14687"/>
  <c r="J70" i="14687"/>
  <c r="M70" i="14687"/>
  <c r="E70" i="14687"/>
  <c r="U26" i="14655"/>
  <c r="V26" i="14655" s="1"/>
  <c r="W26" i="14655" s="1"/>
  <c r="X26" i="14655" s="1"/>
  <c r="D68" i="14687"/>
  <c r="E68" i="14687"/>
  <c r="K68" i="14687"/>
  <c r="F68" i="14687"/>
  <c r="I68" i="14687"/>
  <c r="M68" i="14687"/>
  <c r="N68" i="14687"/>
  <c r="C68" i="14687"/>
  <c r="G68" i="14687"/>
  <c r="H68" i="14687"/>
  <c r="L68" i="14687"/>
  <c r="J68" i="14687"/>
  <c r="U8" i="14655"/>
  <c r="V8" i="14655" s="1"/>
  <c r="W8" i="14655" s="1"/>
  <c r="X8" i="14655" s="1"/>
  <c r="F79" i="14689"/>
  <c r="C33" i="14652" a="1"/>
  <c r="C38" i="14652" s="1"/>
  <c r="E54" i="14687"/>
  <c r="D54" i="14687"/>
  <c r="K54" i="14687"/>
  <c r="N54" i="14687"/>
  <c r="C54" i="14687"/>
  <c r="L54" i="14687"/>
  <c r="J54" i="14687"/>
  <c r="H54" i="14687"/>
  <c r="F54" i="14687"/>
  <c r="M54" i="14687"/>
  <c r="I54" i="14687"/>
  <c r="G54" i="14687"/>
  <c r="C66" i="14687"/>
  <c r="F66" i="14687"/>
  <c r="H66" i="14687"/>
  <c r="D66" i="14687"/>
  <c r="J66" i="14687"/>
  <c r="L66" i="14687"/>
  <c r="N66" i="14687"/>
  <c r="E66" i="14687"/>
  <c r="M66" i="14687"/>
  <c r="B74" i="14687"/>
  <c r="K66" i="14687"/>
  <c r="I66" i="14687"/>
  <c r="G66" i="14687"/>
  <c r="G43" i="14685"/>
  <c r="C58" i="14687"/>
  <c r="N40" i="14628"/>
  <c r="C40" i="14628"/>
  <c r="O40" i="14628" s="1"/>
  <c r="I40" i="14628"/>
  <c r="H40" i="14628"/>
  <c r="F40" i="14628"/>
  <c r="K40" i="14628"/>
  <c r="A181" i="14700"/>
  <c r="A181" i="14702"/>
  <c r="A181" i="14701"/>
  <c r="A181" i="14704"/>
  <c r="A181" i="14698"/>
  <c r="E50" i="14687"/>
  <c r="E55" i="14687" s="1"/>
  <c r="H50" i="14687"/>
  <c r="J50" i="14687"/>
  <c r="J55" i="14687" s="1"/>
  <c r="I50" i="14687"/>
  <c r="G50" i="14687"/>
  <c r="K50" i="14687"/>
  <c r="M50" i="14687"/>
  <c r="N50" i="14687"/>
  <c r="C50" i="14687"/>
  <c r="F50" i="14687"/>
  <c r="D50" i="14687"/>
  <c r="L50" i="14687"/>
  <c r="C72" i="14687"/>
  <c r="G72" i="14687"/>
  <c r="L72" i="14687"/>
  <c r="K72" i="14687"/>
  <c r="D72" i="14687"/>
  <c r="J72" i="14687"/>
  <c r="N72" i="14687"/>
  <c r="I72" i="14687"/>
  <c r="F72" i="14687"/>
  <c r="E72" i="14687"/>
  <c r="M72" i="14687"/>
  <c r="H72" i="14687"/>
  <c r="O30" i="14687"/>
  <c r="N39" i="14687"/>
  <c r="O48" i="14687"/>
  <c r="B23" i="14624" a="1"/>
  <c r="L23" i="14624" s="1"/>
  <c r="B11" i="14696"/>
  <c r="C11" i="14696"/>
  <c r="B11" i="14693"/>
  <c r="M6" i="14670"/>
  <c r="I6" i="14671"/>
  <c r="C6" i="14670"/>
  <c r="U15" i="14655"/>
  <c r="V15" i="14655" s="1"/>
  <c r="W15" i="14655" s="1"/>
  <c r="X15" i="14655" s="1"/>
  <c r="E14" i="14692"/>
  <c r="A38" i="14694"/>
  <c r="A37" i="14694"/>
  <c r="A40" i="14694"/>
  <c r="A39" i="14694"/>
  <c r="A36" i="14694"/>
  <c r="A35" i="14694"/>
  <c r="F73" i="14689"/>
  <c r="D73" i="14689"/>
  <c r="K10" i="14661"/>
  <c r="L10" i="14661" s="1"/>
  <c r="C73" i="14689"/>
  <c r="C80" i="14689" s="1"/>
  <c r="E73" i="14689"/>
  <c r="E80" i="14689" s="1"/>
  <c r="G73" i="14689"/>
  <c r="C39" i="14690"/>
  <c r="H39" i="14690"/>
  <c r="G39" i="14690"/>
  <c r="D80" i="14689"/>
  <c r="B11" i="14645"/>
  <c r="I19" i="14647"/>
  <c r="J19" i="14647" s="1"/>
  <c r="C7" i="14625"/>
  <c r="A66" i="14662"/>
  <c r="A67" i="14662" s="1"/>
  <c r="A68" i="14662" s="1"/>
  <c r="A69" i="14662" s="1"/>
  <c r="A70" i="14662" s="1"/>
  <c r="A71" i="14662" s="1"/>
  <c r="A60" i="14662"/>
  <c r="A61" i="14662" s="1"/>
  <c r="A62" i="14662" s="1"/>
  <c r="A63" i="14662" s="1"/>
  <c r="A64" i="14662" s="1"/>
  <c r="A65" i="14662" s="1"/>
  <c r="B6" i="14661"/>
  <c r="E39" i="14687"/>
  <c r="G6" i="14670"/>
  <c r="D39" i="14661"/>
  <c r="H39" i="14661" s="1"/>
  <c r="D6" i="14671"/>
  <c r="B6" i="14671"/>
  <c r="E6" i="14670"/>
  <c r="H6" i="14670"/>
  <c r="O31" i="14687"/>
  <c r="J9" i="14625"/>
  <c r="F19" i="14624" a="1"/>
  <c r="B14" i="14692"/>
  <c r="B17" i="14692" s="1"/>
  <c r="J5" i="14692" s="1"/>
  <c r="B23" i="11" s="1"/>
  <c r="H25" i="14705" s="1"/>
  <c r="D14" i="14692"/>
  <c r="D17" i="14692" s="1"/>
  <c r="O73" i="14687"/>
  <c r="A45" i="14694"/>
  <c r="A44" i="14694"/>
  <c r="A46" i="14694"/>
  <c r="A48" i="14694"/>
  <c r="A43" i="14694"/>
  <c r="A47" i="14694"/>
  <c r="D19" i="14652" a="1"/>
  <c r="L6" i="14670"/>
  <c r="G6" i="14671"/>
  <c r="J6" i="14670"/>
  <c r="G80" i="14689"/>
  <c r="G9" i="14625"/>
  <c r="H14" i="14692"/>
  <c r="O21" i="14687"/>
  <c r="A51" i="14694"/>
  <c r="A55" i="14694"/>
  <c r="A53" i="14694"/>
  <c r="A52" i="14694"/>
  <c r="A56" i="14694"/>
  <c r="A54" i="14694"/>
  <c r="M39" i="14687"/>
  <c r="K39" i="14687"/>
  <c r="O29" i="14687"/>
  <c r="O33" i="14687"/>
  <c r="L97" i="14687"/>
  <c r="K97" i="14687"/>
  <c r="J97" i="14687"/>
  <c r="E97" i="14687"/>
  <c r="H39" i="14687"/>
  <c r="F36" i="14687"/>
  <c r="O28" i="14687"/>
  <c r="J39" i="14687"/>
  <c r="O35" i="14687"/>
  <c r="O17" i="14687"/>
  <c r="C32" i="4128" s="1"/>
  <c r="C9" i="7"/>
  <c r="C21" i="7" s="1"/>
  <c r="G9" i="7"/>
  <c r="G21" i="7" s="1"/>
  <c r="I9" i="7"/>
  <c r="I21" i="7" s="1"/>
  <c r="E8" i="14630"/>
  <c r="L6" i="7"/>
  <c r="L18" i="7" s="1"/>
  <c r="D6" i="7"/>
  <c r="D18" i="7" s="1"/>
  <c r="I12" i="14630"/>
  <c r="K6" i="7"/>
  <c r="K18" i="7" s="1"/>
  <c r="H12" i="7"/>
  <c r="H24" i="7" s="1"/>
  <c r="H6" i="7"/>
  <c r="H18" i="7" s="1"/>
  <c r="M6" i="7"/>
  <c r="M18" i="7" s="1"/>
  <c r="K9" i="7"/>
  <c r="K21" i="7" s="1"/>
  <c r="M7" i="7"/>
  <c r="M19" i="7" s="1"/>
  <c r="E6" i="7"/>
  <c r="E18" i="7" s="1"/>
  <c r="C9" i="14630"/>
  <c r="G12" i="7"/>
  <c r="G24" i="7" s="1"/>
  <c r="I6" i="7"/>
  <c r="I18" i="7" s="1"/>
  <c r="E7" i="7"/>
  <c r="E19" i="7" s="1"/>
  <c r="E12" i="7"/>
  <c r="E24" i="7" s="1"/>
  <c r="F10" i="7"/>
  <c r="F22" i="7" s="1"/>
  <c r="E10" i="7"/>
  <c r="E22" i="7" s="1"/>
  <c r="F7" i="7"/>
  <c r="F19" i="7" s="1"/>
  <c r="C11" i="7"/>
  <c r="C23" i="7" s="1"/>
  <c r="L12" i="7"/>
  <c r="L24" i="7" s="1"/>
  <c r="I12" i="7"/>
  <c r="I24" i="7" s="1"/>
  <c r="C10" i="7"/>
  <c r="C22" i="7" s="1"/>
  <c r="G6" i="7"/>
  <c r="G18" i="7" s="1"/>
  <c r="L10" i="14630"/>
  <c r="G10" i="14630"/>
  <c r="H6" i="14630"/>
  <c r="B9" i="7"/>
  <c r="B21" i="7" s="1"/>
  <c r="L9" i="7"/>
  <c r="L21" i="7" s="1"/>
  <c r="F11" i="7"/>
  <c r="F23" i="7" s="1"/>
  <c r="E9" i="7"/>
  <c r="E21" i="7" s="1"/>
  <c r="E5" i="7"/>
  <c r="E17" i="7" s="1"/>
  <c r="L5" i="7"/>
  <c r="L17" i="7" s="1"/>
  <c r="D9" i="7"/>
  <c r="D21" i="7" s="1"/>
  <c r="E11" i="7"/>
  <c r="E23" i="7" s="1"/>
  <c r="F12" i="7"/>
  <c r="F24" i="7" s="1"/>
  <c r="M9" i="7"/>
  <c r="M21" i="7" s="1"/>
  <c r="M5" i="7"/>
  <c r="M17" i="7" s="1"/>
  <c r="E8" i="7"/>
  <c r="E20" i="7" s="1"/>
  <c r="K5" i="7"/>
  <c r="K17" i="7" s="1"/>
  <c r="F5" i="7"/>
  <c r="F17" i="7" s="1"/>
  <c r="I10" i="7"/>
  <c r="I22" i="7" s="1"/>
  <c r="J7" i="7"/>
  <c r="J19" i="7" s="1"/>
  <c r="I7" i="7"/>
  <c r="I19" i="7" s="1"/>
  <c r="J9" i="7"/>
  <c r="J21" i="7" s="1"/>
  <c r="C8" i="7"/>
  <c r="C20" i="7" s="1"/>
  <c r="J10" i="7"/>
  <c r="J22" i="7" s="1"/>
  <c r="B7" i="7"/>
  <c r="B19" i="7" s="1"/>
  <c r="L10" i="7"/>
  <c r="L22" i="7" s="1"/>
  <c r="C5" i="7"/>
  <c r="C17" i="7" s="1"/>
  <c r="K7" i="7"/>
  <c r="K19" i="7" s="1"/>
  <c r="B5" i="14630"/>
  <c r="I8" i="14630"/>
  <c r="L11" i="14630"/>
  <c r="F6" i="14630"/>
  <c r="I7" i="14630"/>
  <c r="I6" i="14630"/>
  <c r="B11" i="7"/>
  <c r="B23" i="7" s="1"/>
  <c r="J5" i="7"/>
  <c r="J17" i="7" s="1"/>
  <c r="B5" i="7"/>
  <c r="B17" i="7" s="1"/>
  <c r="D12" i="7"/>
  <c r="D24" i="7" s="1"/>
  <c r="G7" i="7"/>
  <c r="G19" i="7" s="1"/>
  <c r="F9" i="7"/>
  <c r="F21" i="7" s="1"/>
  <c r="M11" i="7"/>
  <c r="M23" i="7" s="1"/>
  <c r="D10" i="7"/>
  <c r="D22" i="7" s="1"/>
  <c r="D11" i="7"/>
  <c r="D23" i="7" s="1"/>
  <c r="B10" i="7"/>
  <c r="B22" i="7" s="1"/>
  <c r="C7" i="7"/>
  <c r="C19" i="7" s="1"/>
  <c r="H9" i="7"/>
  <c r="H21" i="7" s="1"/>
  <c r="L8" i="7"/>
  <c r="L20" i="7" s="1"/>
  <c r="D7" i="7"/>
  <c r="D19" i="7" s="1"/>
  <c r="B6" i="7"/>
  <c r="B18" i="7" s="1"/>
  <c r="D8" i="7"/>
  <c r="D20" i="7" s="1"/>
  <c r="M12" i="7"/>
  <c r="M24" i="7" s="1"/>
  <c r="B12" i="7"/>
  <c r="B24" i="7" s="1"/>
  <c r="B8" i="7"/>
  <c r="B20" i="7" s="1"/>
  <c r="H7" i="7"/>
  <c r="H19" i="7" s="1"/>
  <c r="F6" i="7"/>
  <c r="F18" i="7" s="1"/>
  <c r="I8" i="7"/>
  <c r="I20" i="7" s="1"/>
  <c r="C12" i="7"/>
  <c r="C24" i="7" s="1"/>
  <c r="K8" i="7"/>
  <c r="K20" i="7" s="1"/>
  <c r="G11" i="7"/>
  <c r="G23" i="7" s="1"/>
  <c r="L7" i="7"/>
  <c r="L19" i="7" s="1"/>
  <c r="G5" i="7"/>
  <c r="G17" i="7" s="1"/>
  <c r="H5" i="7"/>
  <c r="H17" i="7" s="1"/>
  <c r="I11" i="7"/>
  <c r="I23" i="7" s="1"/>
  <c r="G10" i="7"/>
  <c r="G22" i="7" s="1"/>
  <c r="G8" i="7"/>
  <c r="G20" i="7" s="1"/>
  <c r="M8" i="7"/>
  <c r="M20" i="7" s="1"/>
  <c r="K11" i="7"/>
  <c r="K23" i="7" s="1"/>
  <c r="K12" i="7"/>
  <c r="K24" i="7" s="1"/>
  <c r="H11" i="7"/>
  <c r="H23" i="7" s="1"/>
  <c r="J11" i="7"/>
  <c r="J23" i="7" s="1"/>
  <c r="H10" i="7"/>
  <c r="H22" i="7" s="1"/>
  <c r="I5" i="7"/>
  <c r="I17" i="7" s="1"/>
  <c r="L11" i="7"/>
  <c r="L23" i="7" s="1"/>
  <c r="J12" i="7"/>
  <c r="J24" i="7" s="1"/>
  <c r="H8" i="7"/>
  <c r="H20" i="7" s="1"/>
  <c r="C6" i="7"/>
  <c r="C18" i="7" s="1"/>
  <c r="J8" i="7"/>
  <c r="J20" i="7" s="1"/>
  <c r="M10" i="7"/>
  <c r="M22" i="7" s="1"/>
  <c r="F8" i="7"/>
  <c r="F20" i="7" s="1"/>
  <c r="J6" i="7"/>
  <c r="J18" i="7" s="1"/>
  <c r="D5" i="7"/>
  <c r="D17" i="7" s="1"/>
  <c r="K11" i="14630"/>
  <c r="K12" i="14630"/>
  <c r="H10" i="14630"/>
  <c r="L9" i="14630"/>
  <c r="K6" i="14630"/>
  <c r="E5" i="14630"/>
  <c r="K7" i="14630"/>
  <c r="G8" i="14630"/>
  <c r="G6" i="14630"/>
  <c r="G12" i="14630"/>
  <c r="M6" i="14630"/>
  <c r="M10" i="14630"/>
  <c r="E9" i="14630"/>
  <c r="E6" i="14630"/>
  <c r="H9" i="14630"/>
  <c r="J12" i="14630"/>
  <c r="J9" i="14630"/>
  <c r="F8" i="14630"/>
  <c r="H12" i="14630"/>
  <c r="G11" i="14630"/>
  <c r="D5" i="14630"/>
  <c r="L6" i="14630"/>
  <c r="C10" i="14630"/>
  <c r="F7" i="14630"/>
  <c r="F11" i="14630"/>
  <c r="C6" i="14630"/>
  <c r="J6" i="14630"/>
  <c r="J7" i="14630"/>
  <c r="B10" i="14630"/>
  <c r="K10" i="14630"/>
  <c r="D9" i="14630"/>
  <c r="G9" i="14630"/>
  <c r="B7" i="14630"/>
  <c r="B9" i="14630"/>
  <c r="L12" i="14630"/>
  <c r="B6" i="14630"/>
  <c r="H7" i="14630"/>
  <c r="C7" i="14630"/>
  <c r="H8" i="14630"/>
  <c r="J10" i="14630"/>
  <c r="F12" i="14630"/>
  <c r="G5" i="14630"/>
  <c r="D7" i="14630"/>
  <c r="D8" i="14630"/>
  <c r="C5" i="14630"/>
  <c r="K8" i="14630"/>
  <c r="D12" i="14630"/>
  <c r="J5" i="14630"/>
  <c r="M8" i="14630"/>
  <c r="E11" i="14630"/>
  <c r="M5" i="14630"/>
  <c r="M12" i="14630"/>
  <c r="D6" i="14630"/>
  <c r="B11" i="14630"/>
  <c r="E12" i="14630"/>
  <c r="L8" i="14630"/>
  <c r="I10" i="14630"/>
  <c r="C8" i="14630"/>
  <c r="I9" i="14630"/>
  <c r="C11" i="14630"/>
  <c r="H11" i="14630"/>
  <c r="E10" i="14630"/>
  <c r="L7" i="14630"/>
  <c r="M9" i="14630"/>
  <c r="K5" i="14630"/>
  <c r="M7" i="14630"/>
  <c r="D11" i="14630"/>
  <c r="I11" i="14630"/>
  <c r="H5" i="14630"/>
  <c r="L5" i="14630"/>
  <c r="B8" i="14630"/>
  <c r="C12" i="14630"/>
  <c r="E7" i="14630"/>
  <c r="J8" i="14630"/>
  <c r="I5" i="14630"/>
  <c r="F10" i="14630"/>
  <c r="F9" i="14630"/>
  <c r="D10" i="14630"/>
  <c r="K9" i="14630"/>
  <c r="B12" i="14630"/>
  <c r="F5" i="14630"/>
  <c r="M11" i="14630"/>
  <c r="G7" i="14630"/>
  <c r="F10" i="14696"/>
  <c r="D10" i="14696"/>
  <c r="T12" i="14655"/>
  <c r="T16" i="14655"/>
  <c r="T20" i="14655"/>
  <c r="I40" i="14634"/>
  <c r="N40" i="14634"/>
  <c r="G40" i="14634"/>
  <c r="K40" i="14634"/>
  <c r="H40" i="14634"/>
  <c r="C40" i="14634"/>
  <c r="M40" i="14634"/>
  <c r="E40" i="14634"/>
  <c r="L40" i="14634"/>
  <c r="F40" i="14634"/>
  <c r="J40" i="14634"/>
  <c r="D40" i="14634"/>
  <c r="C39" i="14687"/>
  <c r="B7" i="14629"/>
  <c r="J7" i="14629"/>
  <c r="B89" i="14647"/>
  <c r="I89" i="14647" s="1"/>
  <c r="J89" i="14647" a="1"/>
  <c r="J89" i="14647" s="1"/>
  <c r="E40" i="14622"/>
  <c r="E39" i="14622"/>
  <c r="E41" i="14622"/>
  <c r="D43" i="14622" a="1"/>
  <c r="D43" i="14622" s="1"/>
  <c r="A46" i="14692"/>
  <c r="A47" i="14692"/>
  <c r="A48" i="14692"/>
  <c r="A44" i="14692"/>
  <c r="A45" i="14692"/>
  <c r="E10" i="14696"/>
  <c r="F39" i="14687"/>
  <c r="B41" i="14690" a="1"/>
  <c r="G58" i="14687"/>
  <c r="O47" i="14687"/>
  <c r="C61" i="14687" a="1"/>
  <c r="K55" i="14687"/>
  <c r="K58" i="14687"/>
  <c r="H58" i="14687"/>
  <c r="L58" i="14687"/>
  <c r="J58" i="14687"/>
  <c r="O51" i="14687"/>
  <c r="H65" i="14645"/>
  <c r="H66" i="14645" s="1"/>
  <c r="D65" i="14645"/>
  <c r="D66" i="14645" s="1"/>
  <c r="C65" i="14645"/>
  <c r="C66" i="14645" s="1"/>
  <c r="C67" i="14647"/>
  <c r="G37" i="14685"/>
  <c r="G65" i="14685" s="1"/>
  <c r="J62" i="14685"/>
  <c r="J58" i="14685"/>
  <c r="J59" i="14685"/>
  <c r="J60" i="14685"/>
  <c r="J63" i="14685"/>
  <c r="J61" i="14685"/>
  <c r="G19" i="14624" a="1"/>
  <c r="I19" i="14624" a="1"/>
  <c r="K19" i="14624" a="1"/>
  <c r="D19" i="14624" a="1"/>
  <c r="M19" i="14624" a="1"/>
  <c r="B19" i="14624" a="1"/>
  <c r="O20" i="14687"/>
  <c r="N7" i="14624"/>
  <c r="N11" i="14708"/>
  <c r="X23" i="14655" s="1"/>
  <c r="W23" i="14655"/>
  <c r="O40" i="14674"/>
  <c r="O49" i="14687"/>
  <c r="O53" i="14687"/>
  <c r="C7" i="14629"/>
  <c r="D39" i="14687"/>
  <c r="H7" i="14629"/>
  <c r="K7" i="14629"/>
  <c r="L39" i="14687"/>
  <c r="F22" i="14686"/>
  <c r="E30" i="14686" a="1"/>
  <c r="E30" i="14686" s="1"/>
  <c r="E31" i="14686" s="1"/>
  <c r="E48" i="14686" a="1"/>
  <c r="E48" i="14686" s="1"/>
  <c r="N8" i="14624"/>
  <c r="J5" i="14694"/>
  <c r="B24" i="11" s="1"/>
  <c r="B12" i="14694" a="1"/>
  <c r="B14" i="14694" a="1"/>
  <c r="G17" i="14649"/>
  <c r="E17" i="14649"/>
  <c r="F17" i="14649"/>
  <c r="D17" i="14649"/>
  <c r="A37" i="14692"/>
  <c r="A39" i="14692"/>
  <c r="A38" i="14692"/>
  <c r="A40" i="14692"/>
  <c r="A36" i="14692"/>
  <c r="A56" i="14692"/>
  <c r="A55" i="14692"/>
  <c r="A53" i="14692"/>
  <c r="A52" i="14692"/>
  <c r="A54" i="14692"/>
  <c r="N27" i="14708"/>
  <c r="N37" i="14708" s="1"/>
  <c r="N38" i="14708" s="1"/>
  <c r="L37" i="14708"/>
  <c r="L38" i="14708" s="1"/>
  <c r="C47" i="14686" a="1"/>
  <c r="D47" i="14686" a="1"/>
  <c r="D47" i="14686" s="1"/>
  <c r="D49" i="14686" s="1"/>
  <c r="M40" i="14639"/>
  <c r="D40" i="14639"/>
  <c r="I40" i="14639"/>
  <c r="E40" i="14639"/>
  <c r="K40" i="14639"/>
  <c r="N40" i="14639"/>
  <c r="H40" i="14639"/>
  <c r="L40" i="14639"/>
  <c r="G40" i="14639"/>
  <c r="J40" i="14639"/>
  <c r="C40" i="14639"/>
  <c r="F40" i="14639"/>
  <c r="E58" i="14687"/>
  <c r="M58" i="14687"/>
  <c r="I58" i="14687"/>
  <c r="D58" i="14687"/>
  <c r="N58" i="14687"/>
  <c r="C77" i="14687"/>
  <c r="F58" i="14687"/>
  <c r="C75" i="14709"/>
  <c r="C73" i="14709"/>
  <c r="C9" i="14625"/>
  <c r="M9" i="14625"/>
  <c r="K9" i="14625"/>
  <c r="N9" i="14625"/>
  <c r="D9" i="14625"/>
  <c r="L9" i="14625"/>
  <c r="I9" i="14625"/>
  <c r="H9" i="14625"/>
  <c r="F9" i="14625"/>
  <c r="F12" i="14695"/>
  <c r="G12" i="14695"/>
  <c r="C12" i="14695"/>
  <c r="B12" i="14695"/>
  <c r="D57" i="14705" s="1"/>
  <c r="D12" i="14695"/>
  <c r="E12" i="14695"/>
  <c r="H12" i="14695"/>
  <c r="B14" i="14695" a="1"/>
  <c r="J42" i="14647" a="1"/>
  <c r="J42" i="14647" s="1"/>
  <c r="B42" i="14647"/>
  <c r="I42" i="14647" s="1"/>
  <c r="K65" i="14645"/>
  <c r="K66" i="14645" s="1"/>
  <c r="G65" i="14645"/>
  <c r="G66" i="14645" s="1"/>
  <c r="H19" i="14624" a="1"/>
  <c r="J19" i="14624" a="1"/>
  <c r="C19" i="14624" a="1"/>
  <c r="L19" i="14624" a="1"/>
  <c r="E19" i="14624" a="1"/>
  <c r="B47" i="14686" a="1"/>
  <c r="B47" i="14686" s="1"/>
  <c r="B49" i="14686" s="1"/>
  <c r="E76" i="14665"/>
  <c r="J24" i="14624"/>
  <c r="N12" i="14708"/>
  <c r="X25" i="14655" s="1"/>
  <c r="W25" i="14655"/>
  <c r="N33" i="14624"/>
  <c r="U14" i="14655"/>
  <c r="V14" i="14655" s="1"/>
  <c r="W14" i="14655" s="1"/>
  <c r="X14" i="14655" s="1"/>
  <c r="T14" i="14655"/>
  <c r="U18" i="14655"/>
  <c r="V18" i="14655" s="1"/>
  <c r="W18" i="14655" s="1"/>
  <c r="X18" i="14655" s="1"/>
  <c r="T18" i="14655"/>
  <c r="C14" i="14626"/>
  <c r="F11" i="14667"/>
  <c r="H11" i="14667" s="1"/>
  <c r="J11" i="14667" s="1"/>
  <c r="L11" i="14667" s="1"/>
  <c r="N11" i="14667" s="1"/>
  <c r="U10" i="14655"/>
  <c r="V10" i="14655" s="1"/>
  <c r="W10" i="14655" s="1"/>
  <c r="X10" i="14655" s="1"/>
  <c r="T10" i="14655"/>
  <c r="C47" i="14686"/>
  <c r="C49" i="14686" s="1"/>
  <c r="E47" i="14686"/>
  <c r="L9" i="14661"/>
  <c r="L6" i="14661" s="1"/>
  <c r="B35" i="14709" a="1"/>
  <c r="F35" i="14709" s="1"/>
  <c r="B20" i="14709" a="1"/>
  <c r="F20" i="14709" s="1"/>
  <c r="O23" i="14687"/>
  <c r="I97" i="14687"/>
  <c r="H97" i="14687"/>
  <c r="D97" i="14687"/>
  <c r="G97" i="14687"/>
  <c r="F97" i="14687"/>
  <c r="O91" i="14687"/>
  <c r="O88" i="14687"/>
  <c r="O89" i="14687"/>
  <c r="M97" i="14687"/>
  <c r="N97" i="14687"/>
  <c r="O92" i="14687"/>
  <c r="O86" i="14687"/>
  <c r="O90" i="14687"/>
  <c r="K6" i="14671"/>
  <c r="E6" i="14671"/>
  <c r="D6" i="14670"/>
  <c r="I6" i="14670"/>
  <c r="K6" i="14670"/>
  <c r="L6" i="14671"/>
  <c r="J6" i="14671"/>
  <c r="H6" i="14671"/>
  <c r="F6" i="14671"/>
  <c r="N6" i="14640"/>
  <c r="E10" i="14657" s="1"/>
  <c r="B6" i="14670"/>
  <c r="O87" i="14687"/>
  <c r="H93" i="14687"/>
  <c r="H96" i="14687"/>
  <c r="N93" i="14687"/>
  <c r="N96" i="14687"/>
  <c r="K96" i="14687"/>
  <c r="K93" i="14687"/>
  <c r="G93" i="14687"/>
  <c r="G96" i="14687"/>
  <c r="E96" i="14687"/>
  <c r="E93" i="14687"/>
  <c r="D93" i="14687"/>
  <c r="D96" i="14687"/>
  <c r="C99" i="14687" a="1"/>
  <c r="B7" i="14673" a="1"/>
  <c r="C96" i="14687"/>
  <c r="C93" i="14687"/>
  <c r="O85" i="14687"/>
  <c r="M93" i="14687"/>
  <c r="M96" i="14687"/>
  <c r="J96" i="14687"/>
  <c r="J93" i="14687"/>
  <c r="L96" i="14687"/>
  <c r="L93" i="14687"/>
  <c r="I96" i="14687"/>
  <c r="I93" i="14687"/>
  <c r="F93" i="14687"/>
  <c r="F96" i="14687"/>
  <c r="D14" i="14661"/>
  <c r="D36" i="14661" s="1"/>
  <c r="D10" i="14661"/>
  <c r="D8" i="14661"/>
  <c r="D11" i="14661"/>
  <c r="D33" i="14661" s="1"/>
  <c r="D7" i="14661"/>
  <c r="D12" i="14661"/>
  <c r="D9" i="14661"/>
  <c r="D15" i="14661"/>
  <c r="D13" i="14661"/>
  <c r="D6" i="14667"/>
  <c r="F6" i="14667" s="1"/>
  <c r="H6" i="14667" s="1"/>
  <c r="J6" i="14667" s="1"/>
  <c r="L6" i="14667" s="1"/>
  <c r="N6" i="14667" s="1"/>
  <c r="C10" i="14626"/>
  <c r="D22" i="14706"/>
  <c r="F22" i="14706" s="1"/>
  <c r="H22" i="14706" s="1"/>
  <c r="J22" i="14706" s="1"/>
  <c r="L22" i="14706" s="1"/>
  <c r="N22" i="14706" s="1"/>
  <c r="D27" i="14667"/>
  <c r="F27" i="14667" s="1"/>
  <c r="H27" i="14667" s="1"/>
  <c r="J27" i="14667" s="1"/>
  <c r="L27" i="14667" s="1"/>
  <c r="N27" i="14667" s="1"/>
  <c r="D40" i="14706"/>
  <c r="F40" i="14706" s="1"/>
  <c r="H40" i="14706" s="1"/>
  <c r="J40" i="14706" s="1"/>
  <c r="L40" i="14706" s="1"/>
  <c r="N40" i="14706" s="1"/>
  <c r="D8" i="11"/>
  <c r="G10" i="14626"/>
  <c r="C55" i="14707"/>
  <c r="C59" i="14707"/>
  <c r="C58" i="14707"/>
  <c r="C56" i="14707"/>
  <c r="C57" i="14707"/>
  <c r="C61" i="14707"/>
  <c r="C62" i="14707"/>
  <c r="C60" i="14707"/>
  <c r="F42" i="14687"/>
  <c r="G42" i="14687"/>
  <c r="D42" i="14687"/>
  <c r="E42" i="14687"/>
  <c r="H42" i="14687"/>
  <c r="M42" i="14687"/>
  <c r="J42" i="14687"/>
  <c r="N42" i="14687"/>
  <c r="C42" i="14687"/>
  <c r="L42" i="14687"/>
  <c r="I42" i="14687"/>
  <c r="K42" i="14687"/>
  <c r="J34" i="14624"/>
  <c r="E34" i="14624"/>
  <c r="D34" i="14624"/>
  <c r="B34" i="14624"/>
  <c r="H34" i="14624"/>
  <c r="C34" i="14624"/>
  <c r="M34" i="14624"/>
  <c r="I34" i="14624"/>
  <c r="K34" i="14624"/>
  <c r="L34" i="14624"/>
  <c r="F34" i="14624"/>
  <c r="G34" i="14624"/>
  <c r="U7" i="14655"/>
  <c r="V7" i="14655" s="1"/>
  <c r="W7" i="14655" s="1"/>
  <c r="X7" i="14655" s="1"/>
  <c r="T7" i="14655"/>
  <c r="C39" i="14706"/>
  <c r="D3" i="14706"/>
  <c r="D3" i="14667"/>
  <c r="B5" i="14696" s="1"/>
  <c r="E4" i="14687"/>
  <c r="B48" i="14709"/>
  <c r="E65" i="14665" a="1"/>
  <c r="N59" i="14653" l="1"/>
  <c r="D49" i="14653"/>
  <c r="D62" i="14653" s="1"/>
  <c r="D75" i="14653" s="1"/>
  <c r="N60" i="14653"/>
  <c r="N47" i="14653"/>
  <c r="C49" i="14653"/>
  <c r="C62" i="14653" s="1"/>
  <c r="C75" i="14653" s="1"/>
  <c r="K49" i="14653"/>
  <c r="K62" i="14653" s="1"/>
  <c r="K75" i="14653" s="1"/>
  <c r="N36" i="14653"/>
  <c r="B49" i="14653"/>
  <c r="B62" i="14653" s="1"/>
  <c r="B75" i="14653" s="1"/>
  <c r="N48" i="14653"/>
  <c r="O50" i="14653"/>
  <c r="O63" i="14653" s="1"/>
  <c r="B37" i="14653"/>
  <c r="B50" i="14653" s="1"/>
  <c r="B63" i="14653" s="1"/>
  <c r="B76" i="14653" s="1"/>
  <c r="K37" i="14653"/>
  <c r="K50" i="14653" s="1"/>
  <c r="K63" i="14653" s="1"/>
  <c r="K76" i="14653" s="1"/>
  <c r="C37" i="14653"/>
  <c r="D37" i="14653"/>
  <c r="D50" i="14653" s="1"/>
  <c r="D63" i="14653" s="1"/>
  <c r="D76" i="14653" s="1"/>
  <c r="G37" i="14653"/>
  <c r="H37" i="14653"/>
  <c r="H50" i="14653" s="1"/>
  <c r="H63" i="14653" s="1"/>
  <c r="H76" i="14653" s="1"/>
  <c r="E37" i="14653"/>
  <c r="E50" i="14653" s="1"/>
  <c r="E63" i="14653" s="1"/>
  <c r="E76" i="14653" s="1"/>
  <c r="I37" i="14653"/>
  <c r="I50" i="14653" s="1"/>
  <c r="I63" i="14653" s="1"/>
  <c r="I76" i="14653" s="1"/>
  <c r="F37" i="14653"/>
  <c r="F50" i="14653" s="1"/>
  <c r="F63" i="14653" s="1"/>
  <c r="F76" i="14653" s="1"/>
  <c r="L37" i="14653"/>
  <c r="L50" i="14653" s="1"/>
  <c r="L63" i="14653" s="1"/>
  <c r="L76" i="14653" s="1"/>
  <c r="M37" i="14653"/>
  <c r="M50" i="14653" s="1"/>
  <c r="M63" i="14653" s="1"/>
  <c r="M76" i="14653" s="1"/>
  <c r="J37" i="14653"/>
  <c r="J50" i="14653" s="1"/>
  <c r="J63" i="14653" s="1"/>
  <c r="J76" i="14653" s="1"/>
  <c r="L49" i="14653"/>
  <c r="L62" i="14653" s="1"/>
  <c r="L75" i="14653" s="1"/>
  <c r="F49" i="14653"/>
  <c r="F62" i="14653" s="1"/>
  <c r="F75" i="14653" s="1"/>
  <c r="N58" i="14653"/>
  <c r="P58" i="14653" s="1"/>
  <c r="N19" i="14708" s="1"/>
  <c r="J49" i="14653"/>
  <c r="J62" i="14653" s="1"/>
  <c r="J75" i="14653" s="1"/>
  <c r="G49" i="14653"/>
  <c r="G62" i="14653" s="1"/>
  <c r="G75" i="14653" s="1"/>
  <c r="C55" i="14687"/>
  <c r="N40" i="14687"/>
  <c r="B15" i="14624"/>
  <c r="H40" i="14687"/>
  <c r="M55" i="14687"/>
  <c r="G15" i="14624"/>
  <c r="F15" i="14624"/>
  <c r="L36" i="14687"/>
  <c r="L55" i="14687"/>
  <c r="C39" i="14652"/>
  <c r="C37" i="14652"/>
  <c r="J23" i="14624"/>
  <c r="J25" i="14624" s="1"/>
  <c r="K19" i="14624"/>
  <c r="I15" i="14624"/>
  <c r="J29" i="14667"/>
  <c r="H15" i="14624"/>
  <c r="J15" i="14624"/>
  <c r="E15" i="14624"/>
  <c r="K23" i="14624"/>
  <c r="M23" i="14624"/>
  <c r="G23" i="14624"/>
  <c r="G25" i="14624" s="1"/>
  <c r="I19" i="14624"/>
  <c r="L24" i="14624"/>
  <c r="L25" i="14624" s="1"/>
  <c r="E19" i="14624"/>
  <c r="G19" i="14624"/>
  <c r="M40" i="14687"/>
  <c r="H23" i="14624"/>
  <c r="H24" i="14624"/>
  <c r="J19" i="14624"/>
  <c r="G36" i="14687"/>
  <c r="C78" i="14687"/>
  <c r="C36" i="14687"/>
  <c r="D15" i="14624"/>
  <c r="G24" i="14624"/>
  <c r="N59" i="14687"/>
  <c r="I59" i="14687"/>
  <c r="I40" i="14687"/>
  <c r="K40" i="14687"/>
  <c r="N14" i="14624"/>
  <c r="N12" i="14624"/>
  <c r="N10" i="14624"/>
  <c r="K15" i="14624"/>
  <c r="E24" i="14624"/>
  <c r="H19" i="14624"/>
  <c r="C97" i="14687"/>
  <c r="O97" i="14687" s="1"/>
  <c r="M59" i="14687"/>
  <c r="H36" i="14687"/>
  <c r="G55" i="14687"/>
  <c r="C15" i="14624"/>
  <c r="B23" i="14624"/>
  <c r="D23" i="14624"/>
  <c r="K24" i="14624"/>
  <c r="L59" i="14687"/>
  <c r="B18" i="11"/>
  <c r="B27" i="14706"/>
  <c r="B26" i="14706" s="1"/>
  <c r="C26" i="14706" s="1"/>
  <c r="M15" i="14624"/>
  <c r="L15" i="14624"/>
  <c r="L40" i="14687"/>
  <c r="C40" i="14687"/>
  <c r="G39" i="14661"/>
  <c r="I36" i="14687"/>
  <c r="M36" i="14687"/>
  <c r="K59" i="14687"/>
  <c r="H78" i="14687"/>
  <c r="D40" i="14687"/>
  <c r="C19" i="14624"/>
  <c r="L78" i="14687"/>
  <c r="L74" i="14687"/>
  <c r="K36" i="14687"/>
  <c r="N13" i="14624"/>
  <c r="N11" i="14624"/>
  <c r="N9" i="14624"/>
  <c r="N55" i="14687"/>
  <c r="B19" i="14624"/>
  <c r="G40" i="14687"/>
  <c r="J40" i="14687"/>
  <c r="E39" i="14661"/>
  <c r="D59" i="14687"/>
  <c r="M78" i="14687"/>
  <c r="E40" i="14687"/>
  <c r="F39" i="14661"/>
  <c r="D19" i="14624"/>
  <c r="H59" i="14687"/>
  <c r="F59" i="14687"/>
  <c r="D55" i="14687"/>
  <c r="I78" i="14687"/>
  <c r="B22" i="11"/>
  <c r="L19" i="14624"/>
  <c r="M19" i="14624"/>
  <c r="O7" i="14625"/>
  <c r="F19" i="14624"/>
  <c r="F74" i="14687"/>
  <c r="F77" i="14687"/>
  <c r="O70" i="14687"/>
  <c r="G3" i="4128"/>
  <c r="F3" i="4128"/>
  <c r="E3" i="4128"/>
  <c r="D3" i="4128"/>
  <c r="E11" i="14652"/>
  <c r="G10" i="14652"/>
  <c r="O69" i="14687"/>
  <c r="O34" i="14687"/>
  <c r="F23" i="14624"/>
  <c r="I55" i="14687"/>
  <c r="O39" i="14687"/>
  <c r="C23" i="14624"/>
  <c r="O50" i="14687"/>
  <c r="G77" i="14687"/>
  <c r="G74" i="14687"/>
  <c r="O66" i="14687"/>
  <c r="F78" i="14687"/>
  <c r="B28" i="14689" a="1"/>
  <c r="C74" i="14687"/>
  <c r="G59" i="14687"/>
  <c r="D24" i="14624"/>
  <c r="F80" i="14689"/>
  <c r="I74" i="14687"/>
  <c r="I77" i="14687"/>
  <c r="K78" i="14687"/>
  <c r="C24" i="14684"/>
  <c r="F24" i="14684"/>
  <c r="E24" i="14684"/>
  <c r="D24" i="14684"/>
  <c r="G24" i="14684"/>
  <c r="C80" i="14687" a="1"/>
  <c r="O67" i="14687"/>
  <c r="O71" i="14687"/>
  <c r="K74" i="14687"/>
  <c r="K77" i="14687"/>
  <c r="E78" i="14687"/>
  <c r="B12" i="14689"/>
  <c r="F12" i="14689"/>
  <c r="D12" i="14689"/>
  <c r="E12" i="14689"/>
  <c r="C12" i="14689"/>
  <c r="K6" i="14661"/>
  <c r="E23" i="14624"/>
  <c r="C24" i="14624"/>
  <c r="J59" i="14687"/>
  <c r="D78" i="14687"/>
  <c r="B45" i="14689" a="1"/>
  <c r="B7" i="14672" a="1"/>
  <c r="E59" i="14687"/>
  <c r="B23" i="14636" s="1" a="1"/>
  <c r="M24" i="14624"/>
  <c r="M74" i="14687"/>
  <c r="M77" i="14687"/>
  <c r="J78" i="14687"/>
  <c r="B23" i="14672" s="1" a="1"/>
  <c r="B52" i="14689" a="1"/>
  <c r="F55" i="14687"/>
  <c r="D36" i="14687"/>
  <c r="E77" i="14687"/>
  <c r="E74" i="14687"/>
  <c r="B39" i="14689" a="1"/>
  <c r="B7" i="14636" a="1"/>
  <c r="N74" i="14687"/>
  <c r="N77" i="14687"/>
  <c r="B33" i="14689"/>
  <c r="D33" i="14689"/>
  <c r="E33" i="14689"/>
  <c r="C33" i="14689"/>
  <c r="F33" i="14689"/>
  <c r="C36" i="14652"/>
  <c r="F40" i="14687"/>
  <c r="B23" i="14629" s="1" a="1"/>
  <c r="L77" i="14687"/>
  <c r="G78" i="14687"/>
  <c r="E32" i="14684"/>
  <c r="C32" i="14684"/>
  <c r="F32" i="14684"/>
  <c r="D32" i="14684"/>
  <c r="G32" i="14684"/>
  <c r="O32" i="14687"/>
  <c r="C40" i="14652"/>
  <c r="E36" i="14687"/>
  <c r="C35" i="14652"/>
  <c r="O72" i="14687"/>
  <c r="J77" i="14687"/>
  <c r="J74" i="14687"/>
  <c r="O54" i="14687"/>
  <c r="O68" i="14687"/>
  <c r="D27" i="14661" a="1"/>
  <c r="O52" i="14687"/>
  <c r="I24" i="14624"/>
  <c r="B24" i="14624"/>
  <c r="C33" i="14652"/>
  <c r="C34" i="14652"/>
  <c r="D77" i="14687"/>
  <c r="D74" i="14687"/>
  <c r="N78" i="14687"/>
  <c r="B57" i="14689" a="1"/>
  <c r="I23" i="14624"/>
  <c r="F24" i="14624"/>
  <c r="H74" i="14687"/>
  <c r="H77" i="14687"/>
  <c r="B22" i="14689" a="1"/>
  <c r="B8" i="14629" a="1"/>
  <c r="D23" i="14652"/>
  <c r="D22" i="14652"/>
  <c r="D24" i="14652"/>
  <c r="D21" i="14652"/>
  <c r="D19" i="14652"/>
  <c r="D20" i="14652"/>
  <c r="D25" i="14652"/>
  <c r="D26" i="14652"/>
  <c r="N73" i="14653"/>
  <c r="E17" i="14692" a="1"/>
  <c r="B12" i="14645"/>
  <c r="N12" i="14645" s="1"/>
  <c r="N11" i="14645"/>
  <c r="B38" i="14667"/>
  <c r="O40" i="14639"/>
  <c r="O58" i="14687"/>
  <c r="N7" i="14629"/>
  <c r="J42" i="14706"/>
  <c r="F39" i="14622"/>
  <c r="N71" i="14653"/>
  <c r="E25" i="7"/>
  <c r="E9" i="14681" s="1"/>
  <c r="C25" i="7"/>
  <c r="C9" i="14681" s="1"/>
  <c r="N20" i="7"/>
  <c r="N6" i="7"/>
  <c r="G25" i="7"/>
  <c r="G9" i="14681" s="1"/>
  <c r="N18" i="7"/>
  <c r="H25" i="7"/>
  <c r="H9" i="14681" s="1"/>
  <c r="B8" i="14703" a="1"/>
  <c r="L13" i="14703" s="1"/>
  <c r="F25" i="7"/>
  <c r="F9" i="14681" s="1"/>
  <c r="I25" i="7"/>
  <c r="I9" i="14681" s="1"/>
  <c r="N23" i="7"/>
  <c r="L25" i="7"/>
  <c r="L9" i="14681" s="1"/>
  <c r="K25" i="7"/>
  <c r="K9" i="14681" s="1"/>
  <c r="N21" i="7"/>
  <c r="B8" i="14698" a="1"/>
  <c r="J14" i="14698" s="1"/>
  <c r="M25" i="7"/>
  <c r="M9" i="14681" s="1"/>
  <c r="N17" i="7"/>
  <c r="N24" i="7"/>
  <c r="D25" i="7"/>
  <c r="D9" i="14681" s="1"/>
  <c r="N22" i="7"/>
  <c r="J25" i="7"/>
  <c r="J9" i="14681" s="1"/>
  <c r="C31" i="14628" a="1"/>
  <c r="F37" i="14628" s="1"/>
  <c r="N8" i="7"/>
  <c r="N9" i="7"/>
  <c r="N5" i="7"/>
  <c r="N19" i="7"/>
  <c r="B25" i="7"/>
  <c r="B9" i="14681" s="1"/>
  <c r="B7" i="14623" a="1"/>
  <c r="M12" i="14623" s="1"/>
  <c r="N12" i="7"/>
  <c r="N7" i="7"/>
  <c r="N11" i="7"/>
  <c r="N10" i="7"/>
  <c r="N8" i="14630"/>
  <c r="N11" i="14630"/>
  <c r="N6" i="14630"/>
  <c r="N10" i="14630"/>
  <c r="N7" i="14630"/>
  <c r="N9" i="14630"/>
  <c r="N12" i="14630"/>
  <c r="N5" i="14630"/>
  <c r="B17" i="14630" a="1"/>
  <c r="K17" i="14630" s="1"/>
  <c r="J19" i="14661" a="1"/>
  <c r="J19" i="14661" s="1"/>
  <c r="H26" i="14705"/>
  <c r="H19" i="14705" s="1"/>
  <c r="B19" i="11"/>
  <c r="F30" i="14686" a="1"/>
  <c r="F30" i="14686" s="1"/>
  <c r="F31" i="14686" s="1"/>
  <c r="F48" i="14686" a="1"/>
  <c r="F48" i="14686" s="1"/>
  <c r="F49" i="14686" s="1"/>
  <c r="H14" i="14636"/>
  <c r="K10" i="14636"/>
  <c r="G11" i="14636"/>
  <c r="I7" i="14636"/>
  <c r="E7" i="14636"/>
  <c r="C10" i="14636"/>
  <c r="B9" i="14636"/>
  <c r="F13" i="14636"/>
  <c r="L7" i="14636"/>
  <c r="H9" i="14636"/>
  <c r="M10" i="14636"/>
  <c r="D12" i="14636"/>
  <c r="J14" i="14636"/>
  <c r="I8" i="14636"/>
  <c r="L10" i="14636"/>
  <c r="I13" i="14636"/>
  <c r="D9" i="14636"/>
  <c r="E11" i="14636"/>
  <c r="C12" i="14636"/>
  <c r="J7" i="14636"/>
  <c r="L8" i="14636"/>
  <c r="C11" i="14636"/>
  <c r="H13" i="14636"/>
  <c r="F10" i="14636"/>
  <c r="M8" i="14636"/>
  <c r="E9" i="14636"/>
  <c r="J13" i="14636"/>
  <c r="E8" i="14636"/>
  <c r="K9" i="14636"/>
  <c r="D11" i="14636"/>
  <c r="E13" i="14636"/>
  <c r="L14" i="14636"/>
  <c r="F9" i="14636"/>
  <c r="H11" i="14636"/>
  <c r="M12" i="14636"/>
  <c r="G10" i="14636"/>
  <c r="M14" i="14636"/>
  <c r="C8" i="14636"/>
  <c r="G9" i="14636"/>
  <c r="D13" i="14636"/>
  <c r="D8" i="14636"/>
  <c r="D14" i="14636"/>
  <c r="B8" i="14636"/>
  <c r="H8" i="14636"/>
  <c r="J12" i="14636"/>
  <c r="K11" i="14636"/>
  <c r="K12" i="14636"/>
  <c r="H12" i="14636"/>
  <c r="I14" i="14636"/>
  <c r="M11" i="14636"/>
  <c r="C14" i="14636"/>
  <c r="F12" i="14636"/>
  <c r="J11" i="14636"/>
  <c r="M13" i="14636"/>
  <c r="D10" i="14636"/>
  <c r="B7" i="14636"/>
  <c r="J8" i="14636"/>
  <c r="E10" i="14636"/>
  <c r="I11" i="14636"/>
  <c r="G13" i="14636"/>
  <c r="F11" i="14636"/>
  <c r="L9" i="14636"/>
  <c r="B13" i="14636"/>
  <c r="C7" i="14636"/>
  <c r="M9" i="14636"/>
  <c r="F14" i="14636"/>
  <c r="G8" i="14636"/>
  <c r="E12" i="14636"/>
  <c r="K13" i="14636"/>
  <c r="G12" i="14636"/>
  <c r="L11" i="14636"/>
  <c r="J9" i="14636"/>
  <c r="D7" i="14636"/>
  <c r="B14" i="14636"/>
  <c r="G7" i="14636"/>
  <c r="C9" i="14636"/>
  <c r="I10" i="14636"/>
  <c r="B12" i="14636"/>
  <c r="I12" i="14636"/>
  <c r="K7" i="14636"/>
  <c r="B10" i="14636"/>
  <c r="E14" i="14636"/>
  <c r="F8" i="14636"/>
  <c r="C13" i="14636"/>
  <c r="F7" i="14636"/>
  <c r="L13" i="14636"/>
  <c r="H7" i="14636"/>
  <c r="I9" i="14636"/>
  <c r="L12" i="14636"/>
  <c r="B11" i="14636"/>
  <c r="G14" i="14636"/>
  <c r="M7" i="14636"/>
  <c r="H10" i="14636"/>
  <c r="J10" i="14636"/>
  <c r="K14" i="14636"/>
  <c r="K8" i="14636"/>
  <c r="F41" i="14622"/>
  <c r="O40" i="14634"/>
  <c r="E49" i="14686"/>
  <c r="D14" i="14695"/>
  <c r="G14" i="14695"/>
  <c r="E14" i="14695"/>
  <c r="C14" i="14695"/>
  <c r="B14" i="14695"/>
  <c r="F14" i="14695"/>
  <c r="H14" i="14695"/>
  <c r="O9" i="14625"/>
  <c r="E14" i="14694"/>
  <c r="C14" i="14694"/>
  <c r="G14" i="14694"/>
  <c r="H14" i="14694"/>
  <c r="B14" i="14694"/>
  <c r="D14" i="14694"/>
  <c r="F14" i="14694"/>
  <c r="G12" i="14694"/>
  <c r="B12" i="14694"/>
  <c r="H52" i="14705" s="1"/>
  <c r="D12" i="14694"/>
  <c r="E12" i="14694"/>
  <c r="C12" i="14694"/>
  <c r="H12" i="14694"/>
  <c r="F12" i="14694"/>
  <c r="B5" i="14682" a="1"/>
  <c r="C14" i="14672"/>
  <c r="H11" i="14672"/>
  <c r="C9" i="14672"/>
  <c r="F10" i="14672"/>
  <c r="F12" i="14672"/>
  <c r="J8" i="14672"/>
  <c r="E13" i="14672"/>
  <c r="B8" i="14672"/>
  <c r="F13" i="14672"/>
  <c r="D7" i="14672"/>
  <c r="H9" i="14672"/>
  <c r="D13" i="14672"/>
  <c r="G7" i="14672"/>
  <c r="B10" i="14672"/>
  <c r="B13" i="14672"/>
  <c r="L14" i="14672"/>
  <c r="G11" i="14672"/>
  <c r="M14" i="14672"/>
  <c r="E11" i="14672"/>
  <c r="L7" i="14672"/>
  <c r="E12" i="14672"/>
  <c r="J7" i="14672"/>
  <c r="E9" i="14672"/>
  <c r="H10" i="14672"/>
  <c r="C12" i="14672"/>
  <c r="H12" i="14672"/>
  <c r="D8" i="14672"/>
  <c r="M11" i="14672"/>
  <c r="H13" i="14672"/>
  <c r="G8" i="14672"/>
  <c r="L10" i="14672"/>
  <c r="G14" i="14672"/>
  <c r="D11" i="14672"/>
  <c r="B12" i="14672"/>
  <c r="E7" i="14672"/>
  <c r="B9" i="14672"/>
  <c r="D10" i="14672"/>
  <c r="K11" i="14672"/>
  <c r="F7" i="14672"/>
  <c r="B11" i="14672"/>
  <c r="J14" i="14672"/>
  <c r="I7" i="14672"/>
  <c r="D12" i="14672"/>
  <c r="M8" i="14672"/>
  <c r="M7" i="14672"/>
  <c r="K10" i="14672"/>
  <c r="K13" i="14672"/>
  <c r="K14" i="14672"/>
  <c r="B14" i="14672"/>
  <c r="B7" i="14672"/>
  <c r="I11" i="14672"/>
  <c r="C10" i="14672"/>
  <c r="K9" i="14672"/>
  <c r="I14" i="14672"/>
  <c r="L11" i="14672"/>
  <c r="C11" i="14672"/>
  <c r="I9" i="14672"/>
  <c r="L8" i="14672"/>
  <c r="H7" i="14672"/>
  <c r="H8" i="14672"/>
  <c r="F11" i="14672"/>
  <c r="J13" i="14672"/>
  <c r="G12" i="14672"/>
  <c r="D9" i="14672"/>
  <c r="E8" i="14672"/>
  <c r="I12" i="14672"/>
  <c r="J9" i="14672"/>
  <c r="F14" i="14672"/>
  <c r="C13" i="14672"/>
  <c r="E10" i="14672"/>
  <c r="F8" i="14672"/>
  <c r="K8" i="14672"/>
  <c r="I10" i="14672"/>
  <c r="L9" i="14672"/>
  <c r="I13" i="14672"/>
  <c r="L12" i="14672"/>
  <c r="M13" i="14672"/>
  <c r="J10" i="14672"/>
  <c r="G9" i="14672"/>
  <c r="G13" i="14672"/>
  <c r="H14" i="14672"/>
  <c r="J12" i="14672"/>
  <c r="M12" i="14672"/>
  <c r="M9" i="14672"/>
  <c r="D14" i="14672"/>
  <c r="G10" i="14672"/>
  <c r="C7" i="14672"/>
  <c r="J11" i="14672"/>
  <c r="I8" i="14672"/>
  <c r="C8" i="14672"/>
  <c r="M10" i="14672"/>
  <c r="F9" i="14672"/>
  <c r="L13" i="14672"/>
  <c r="E14" i="14672"/>
  <c r="K7" i="14672"/>
  <c r="K12" i="14672"/>
  <c r="B65" i="14645"/>
  <c r="I67" i="14647"/>
  <c r="J67" i="14647" s="1"/>
  <c r="F61" i="14687"/>
  <c r="C61" i="14687"/>
  <c r="J61" i="14687"/>
  <c r="M61" i="14687"/>
  <c r="E61" i="14687"/>
  <c r="N61" i="14687"/>
  <c r="D61" i="14687"/>
  <c r="G61" i="14687"/>
  <c r="H61" i="14687"/>
  <c r="K61" i="14687"/>
  <c r="I61" i="14687"/>
  <c r="L61" i="14687"/>
  <c r="F41" i="14690"/>
  <c r="D41" i="14690"/>
  <c r="C41" i="14690"/>
  <c r="B41" i="14690"/>
  <c r="G41" i="14690"/>
  <c r="H41" i="14690"/>
  <c r="E41" i="14690"/>
  <c r="F40" i="14622"/>
  <c r="F43" i="14622" s="1" a="1"/>
  <c r="E43" i="14622" a="1"/>
  <c r="E43" i="14622" s="1"/>
  <c r="E65" i="14665"/>
  <c r="H65" i="14665"/>
  <c r="F65" i="14665"/>
  <c r="G65" i="14665"/>
  <c r="I65" i="14665"/>
  <c r="F76" i="14665"/>
  <c r="N6" i="14671"/>
  <c r="G10" i="14657" s="1"/>
  <c r="O42" i="14687"/>
  <c r="O93" i="14687"/>
  <c r="G32" i="4128" s="1"/>
  <c r="N34" i="14624"/>
  <c r="D6" i="14661"/>
  <c r="B19" i="14661" s="1" a="1"/>
  <c r="N6" i="14670"/>
  <c r="C35" i="14709"/>
  <c r="D35" i="14709"/>
  <c r="B35" i="14709"/>
  <c r="E35" i="14709"/>
  <c r="C20" i="14709"/>
  <c r="B20" i="14709"/>
  <c r="D20" i="14709"/>
  <c r="E20" i="14709"/>
  <c r="N61" i="14653"/>
  <c r="N72" i="14653"/>
  <c r="B37" i="14667"/>
  <c r="C38" i="14667"/>
  <c r="H18" i="14705"/>
  <c r="H24" i="14705"/>
  <c r="H19" i="14661"/>
  <c r="H21" i="14661" s="1" a="1"/>
  <c r="H21" i="14661" s="1"/>
  <c r="G39" i="4128" s="1"/>
  <c r="E19" i="14661"/>
  <c r="B19" i="14661"/>
  <c r="D19" i="14661"/>
  <c r="D21" i="14661" s="1" a="1"/>
  <c r="D21" i="14661" s="1"/>
  <c r="C39" i="4128" s="1"/>
  <c r="F19" i="14661"/>
  <c r="F21" i="14661" s="1" a="1"/>
  <c r="F21" i="14661" s="1"/>
  <c r="E39" i="4128" s="1"/>
  <c r="G19" i="14661"/>
  <c r="G21" i="14661" s="1" a="1"/>
  <c r="G21" i="14661" s="1"/>
  <c r="F39" i="4128" s="1"/>
  <c r="C19" i="14661"/>
  <c r="D35" i="14661"/>
  <c r="H35" i="14661" s="1"/>
  <c r="D37" i="14661"/>
  <c r="F37" i="14661" s="1"/>
  <c r="D31" i="14661"/>
  <c r="E31" i="14661" s="1"/>
  <c r="D34" i="14661"/>
  <c r="E34" i="14661" s="1"/>
  <c r="C10" i="14696"/>
  <c r="B10" i="14696"/>
  <c r="B14" i="14696" s="1"/>
  <c r="H33" i="14661"/>
  <c r="E33" i="14661"/>
  <c r="F33" i="14661"/>
  <c r="G33" i="14661"/>
  <c r="D30" i="14661"/>
  <c r="F30" i="14661" s="1"/>
  <c r="D32" i="14661"/>
  <c r="H32" i="14661" s="1"/>
  <c r="G36" i="14661"/>
  <c r="H36" i="14661"/>
  <c r="F36" i="14661"/>
  <c r="E36" i="14661"/>
  <c r="B23" i="14673" a="1"/>
  <c r="O96" i="14687"/>
  <c r="K12" i="14673"/>
  <c r="D8" i="14673"/>
  <c r="F11" i="14673"/>
  <c r="H11" i="14673"/>
  <c r="M11" i="14673"/>
  <c r="B7" i="14673"/>
  <c r="K14" i="14673"/>
  <c r="J14" i="14673"/>
  <c r="G13" i="14673"/>
  <c r="C13" i="14673"/>
  <c r="J9" i="14673"/>
  <c r="G8" i="14673"/>
  <c r="E8" i="14673"/>
  <c r="E11" i="14673"/>
  <c r="I11" i="14673"/>
  <c r="G14" i="14673"/>
  <c r="B13" i="14673"/>
  <c r="K13" i="14673"/>
  <c r="D9" i="14673"/>
  <c r="C12" i="14673"/>
  <c r="F13" i="14673"/>
  <c r="I14" i="14673"/>
  <c r="L13" i="14673"/>
  <c r="D7" i="14673"/>
  <c r="I7" i="14673"/>
  <c r="H8" i="14673"/>
  <c r="M8" i="14673"/>
  <c r="G9" i="14673"/>
  <c r="M9" i="14673"/>
  <c r="F10" i="14673"/>
  <c r="D11" i="14673"/>
  <c r="L11" i="14673"/>
  <c r="D12" i="14673"/>
  <c r="F14" i="14673"/>
  <c r="L12" i="14673"/>
  <c r="F7" i="14673"/>
  <c r="I12" i="14673"/>
  <c r="E10" i="14673"/>
  <c r="C11" i="14673"/>
  <c r="L14" i="14673"/>
  <c r="D13" i="14673"/>
  <c r="E14" i="14673"/>
  <c r="C7" i="14673"/>
  <c r="F8" i="14673"/>
  <c r="L9" i="14673"/>
  <c r="C10" i="14673"/>
  <c r="M10" i="14673"/>
  <c r="F12" i="14673"/>
  <c r="H13" i="14673"/>
  <c r="M14" i="14673"/>
  <c r="L7" i="14673"/>
  <c r="C9" i="14673"/>
  <c r="I9" i="14673"/>
  <c r="L10" i="14673"/>
  <c r="B12" i="14673"/>
  <c r="I13" i="14673"/>
  <c r="G12" i="14673"/>
  <c r="F9" i="14673"/>
  <c r="J12" i="14673"/>
  <c r="M12" i="14673"/>
  <c r="J10" i="14673"/>
  <c r="H14" i="14673"/>
  <c r="C8" i="14673"/>
  <c r="E12" i="14673"/>
  <c r="J13" i="14673"/>
  <c r="G7" i="14673"/>
  <c r="J8" i="14673"/>
  <c r="E9" i="14673"/>
  <c r="D10" i="14673"/>
  <c r="G11" i="14673"/>
  <c r="E13" i="14673"/>
  <c r="M13" i="14673"/>
  <c r="B9" i="14673"/>
  <c r="H10" i="14673"/>
  <c r="C14" i="14673"/>
  <c r="J11" i="14673"/>
  <c r="H7" i="14673"/>
  <c r="J7" i="14673"/>
  <c r="M7" i="14673"/>
  <c r="I10" i="14673"/>
  <c r="G10" i="14673"/>
  <c r="D14" i="14673"/>
  <c r="B14" i="14673"/>
  <c r="E7" i="14673"/>
  <c r="B11" i="14673"/>
  <c r="H12" i="14673"/>
  <c r="B8" i="14673"/>
  <c r="B10" i="14673"/>
  <c r="L8" i="14673"/>
  <c r="H9" i="14673"/>
  <c r="K7" i="14673"/>
  <c r="I8" i="14673"/>
  <c r="K11" i="14673"/>
  <c r="K10" i="14673"/>
  <c r="K8" i="14673"/>
  <c r="K9" i="14673"/>
  <c r="K99" i="14687"/>
  <c r="I99" i="14687"/>
  <c r="F99" i="14687"/>
  <c r="D99" i="14687"/>
  <c r="H99" i="14687"/>
  <c r="N99" i="14687"/>
  <c r="C99" i="14687"/>
  <c r="M99" i="14687"/>
  <c r="E99" i="14687"/>
  <c r="G99" i="14687"/>
  <c r="J99" i="14687"/>
  <c r="L99" i="14687"/>
  <c r="H17" i="14705" l="1"/>
  <c r="C27" i="14706"/>
  <c r="K25" i="14624"/>
  <c r="N49" i="14653"/>
  <c r="G50" i="14653"/>
  <c r="G63" i="14653" s="1"/>
  <c r="G76" i="14653" s="1"/>
  <c r="C50" i="14653"/>
  <c r="C63" i="14653" s="1"/>
  <c r="C76" i="14653" s="1"/>
  <c r="O51" i="14653"/>
  <c r="O64" i="14653" s="1"/>
  <c r="C38" i="14653"/>
  <c r="C51" i="14653" s="1"/>
  <c r="C64" i="14653" s="1"/>
  <c r="C77" i="14653" s="1"/>
  <c r="J38" i="14653"/>
  <c r="J51" i="14653" s="1"/>
  <c r="J64" i="14653" s="1"/>
  <c r="J77" i="14653" s="1"/>
  <c r="D38" i="14653"/>
  <c r="D51" i="14653" s="1"/>
  <c r="D64" i="14653" s="1"/>
  <c r="D77" i="14653" s="1"/>
  <c r="I38" i="14653"/>
  <c r="I51" i="14653" s="1"/>
  <c r="I64" i="14653" s="1"/>
  <c r="I77" i="14653" s="1"/>
  <c r="E38" i="14653"/>
  <c r="E51" i="14653" s="1"/>
  <c r="E64" i="14653" s="1"/>
  <c r="E77" i="14653" s="1"/>
  <c r="F38" i="14653"/>
  <c r="F51" i="14653" s="1"/>
  <c r="F64" i="14653" s="1"/>
  <c r="F77" i="14653" s="1"/>
  <c r="G38" i="14653"/>
  <c r="G51" i="14653" s="1"/>
  <c r="G64" i="14653" s="1"/>
  <c r="G77" i="14653" s="1"/>
  <c r="H38" i="14653"/>
  <c r="H51" i="14653" s="1"/>
  <c r="H64" i="14653" s="1"/>
  <c r="H77" i="14653" s="1"/>
  <c r="L38" i="14653"/>
  <c r="M38" i="14653"/>
  <c r="M51" i="14653" s="1"/>
  <c r="M64" i="14653" s="1"/>
  <c r="M77" i="14653" s="1"/>
  <c r="B38" i="14653"/>
  <c r="B51" i="14653" s="1"/>
  <c r="B64" i="14653" s="1"/>
  <c r="B77" i="14653" s="1"/>
  <c r="K38" i="14653"/>
  <c r="K51" i="14653" s="1"/>
  <c r="K64" i="14653" s="1"/>
  <c r="K77" i="14653" s="1"/>
  <c r="N37" i="14653"/>
  <c r="I25" i="14624"/>
  <c r="F25" i="14624"/>
  <c r="C25" i="14624"/>
  <c r="B25" i="14624"/>
  <c r="H25" i="14624"/>
  <c r="M25" i="14624"/>
  <c r="N15" i="14624"/>
  <c r="N19" i="14624"/>
  <c r="O36" i="14687"/>
  <c r="D32" i="4128" s="1"/>
  <c r="O55" i="14687"/>
  <c r="E32" i="4128" s="1"/>
  <c r="N23" i="14624"/>
  <c r="B21" i="14682" s="1"/>
  <c r="O40" i="14687"/>
  <c r="O77" i="14687"/>
  <c r="B35" i="14706"/>
  <c r="D25" i="14624"/>
  <c r="E25" i="14624"/>
  <c r="O59" i="14687"/>
  <c r="O78" i="14687"/>
  <c r="B33" i="14667"/>
  <c r="C33" i="14667" s="1"/>
  <c r="N24" i="14624"/>
  <c r="B21" i="14682" s="1" a="1"/>
  <c r="F24" i="14636"/>
  <c r="F25" i="14636" s="1"/>
  <c r="L24" i="14636"/>
  <c r="B24" i="14636"/>
  <c r="B25" i="14636" s="1"/>
  <c r="M23" i="14636"/>
  <c r="J24" i="14636"/>
  <c r="B23" i="14636"/>
  <c r="L23" i="14636"/>
  <c r="C24" i="14636"/>
  <c r="C23" i="14636"/>
  <c r="K23" i="14636"/>
  <c r="D24" i="14636"/>
  <c r="D25" i="14636" s="1"/>
  <c r="G23" i="14636"/>
  <c r="G25" i="14636" s="1"/>
  <c r="E23" i="14636"/>
  <c r="M24" i="14636"/>
  <c r="H23" i="14636"/>
  <c r="H25" i="14636" s="1"/>
  <c r="I23" i="14636"/>
  <c r="J23" i="14636"/>
  <c r="G24" i="14636"/>
  <c r="D23" i="14636"/>
  <c r="F23" i="14636"/>
  <c r="H24" i="14636"/>
  <c r="E24" i="14636"/>
  <c r="I24" i="14636"/>
  <c r="K24" i="14636"/>
  <c r="F24" i="14629"/>
  <c r="E23" i="14629"/>
  <c r="E25" i="14629" s="1"/>
  <c r="G23" i="14629"/>
  <c r="M23" i="14629"/>
  <c r="D24" i="14629"/>
  <c r="E24" i="14629"/>
  <c r="B24" i="14629"/>
  <c r="K23" i="14629"/>
  <c r="H23" i="14629"/>
  <c r="H25" i="14629" s="1"/>
  <c r="L24" i="14629"/>
  <c r="I24" i="14629"/>
  <c r="I23" i="14629"/>
  <c r="F23" i="14629"/>
  <c r="F25" i="14629" s="1"/>
  <c r="C24" i="14629"/>
  <c r="J24" i="14629"/>
  <c r="H24" i="14629"/>
  <c r="B23" i="14629"/>
  <c r="D23" i="14629"/>
  <c r="K24" i="14629"/>
  <c r="L23" i="14629"/>
  <c r="C23" i="14629"/>
  <c r="J23" i="14629"/>
  <c r="M24" i="14629"/>
  <c r="G24" i="14629"/>
  <c r="D22" i="14689"/>
  <c r="C22" i="14689"/>
  <c r="B22" i="14689"/>
  <c r="F22" i="14689"/>
  <c r="E22" i="14689"/>
  <c r="E28" i="14689"/>
  <c r="F28" i="14689"/>
  <c r="D28" i="14689"/>
  <c r="C28" i="14689"/>
  <c r="B28" i="14689"/>
  <c r="L19" i="14661"/>
  <c r="E30" i="14661"/>
  <c r="E27" i="14661"/>
  <c r="F27" i="14661"/>
  <c r="D27" i="14661"/>
  <c r="H27" i="14661"/>
  <c r="G27" i="14661"/>
  <c r="G11" i="14652"/>
  <c r="E12" i="14652"/>
  <c r="C13" i="4128" a="1"/>
  <c r="C17" i="4128" a="1"/>
  <c r="C29" i="4128" a="1"/>
  <c r="M19" i="14636" a="1"/>
  <c r="B57" i="14689"/>
  <c r="D57" i="14689"/>
  <c r="C57" i="14689"/>
  <c r="E57" i="14689"/>
  <c r="F57" i="14689"/>
  <c r="C39" i="14689"/>
  <c r="E39" i="14689"/>
  <c r="D39" i="14689"/>
  <c r="F39" i="14689"/>
  <c r="B39" i="14689"/>
  <c r="F45" i="14689"/>
  <c r="E45" i="14689"/>
  <c r="D45" i="14689"/>
  <c r="C45" i="14689"/>
  <c r="B45" i="14689"/>
  <c r="M80" i="14687"/>
  <c r="I80" i="14687"/>
  <c r="N80" i="14687"/>
  <c r="K80" i="14687"/>
  <c r="J80" i="14687"/>
  <c r="G80" i="14687"/>
  <c r="L80" i="14687"/>
  <c r="C80" i="14687"/>
  <c r="E80" i="14687"/>
  <c r="F80" i="14687"/>
  <c r="D80" i="14687"/>
  <c r="H80" i="14687"/>
  <c r="D33" i="14652" a="1"/>
  <c r="D39" i="14652" s="1"/>
  <c r="H11" i="14629"/>
  <c r="F9" i="14629"/>
  <c r="E11" i="14629"/>
  <c r="I8" i="14629"/>
  <c r="B11" i="14629"/>
  <c r="G12" i="14629"/>
  <c r="C10" i="14629"/>
  <c r="F11" i="14629"/>
  <c r="M10" i="14629"/>
  <c r="D9" i="14629"/>
  <c r="F13" i="14629"/>
  <c r="K8" i="14629"/>
  <c r="I10" i="14629"/>
  <c r="I12" i="14629"/>
  <c r="D10" i="14629"/>
  <c r="E8" i="14629"/>
  <c r="K10" i="14629"/>
  <c r="M12" i="14629"/>
  <c r="C8" i="14629"/>
  <c r="H10" i="14629"/>
  <c r="H12" i="14629"/>
  <c r="C11" i="14629"/>
  <c r="L9" i="14629"/>
  <c r="D12" i="14629"/>
  <c r="L8" i="14629"/>
  <c r="E13" i="14629"/>
  <c r="I9" i="14629"/>
  <c r="B10" i="14629"/>
  <c r="C9" i="14629"/>
  <c r="I14" i="14629"/>
  <c r="M9" i="14629"/>
  <c r="B8" i="14629"/>
  <c r="L10" i="14629"/>
  <c r="B13" i="14629"/>
  <c r="G10" i="14629"/>
  <c r="J10" i="14629"/>
  <c r="M13" i="14629"/>
  <c r="E9" i="14629"/>
  <c r="J8" i="14629"/>
  <c r="F8" i="14629"/>
  <c r="G8" i="14629"/>
  <c r="M14" i="14629"/>
  <c r="B14" i="14629"/>
  <c r="K12" i="14629"/>
  <c r="B9" i="14629"/>
  <c r="D13" i="14629"/>
  <c r="F12" i="14629"/>
  <c r="E14" i="14629"/>
  <c r="F10" i="14629"/>
  <c r="G14" i="14629"/>
  <c r="M8" i="14629"/>
  <c r="K14" i="14629"/>
  <c r="L13" i="14629"/>
  <c r="I13" i="14629"/>
  <c r="G9" i="14629"/>
  <c r="G11" i="14629"/>
  <c r="E12" i="14629"/>
  <c r="J11" i="14629"/>
  <c r="K13" i="14629"/>
  <c r="C12" i="14629"/>
  <c r="H9" i="14629"/>
  <c r="H19" i="14629" s="1" a="1"/>
  <c r="K11" i="14629"/>
  <c r="C14" i="14629"/>
  <c r="D11" i="14629"/>
  <c r="H14" i="14629"/>
  <c r="J13" i="14629"/>
  <c r="I11" i="14629"/>
  <c r="E10" i="14629"/>
  <c r="H8" i="14629"/>
  <c r="G13" i="14629"/>
  <c r="J14" i="14629"/>
  <c r="C13" i="14629"/>
  <c r="B12" i="14629"/>
  <c r="H13" i="14629"/>
  <c r="L14" i="14629"/>
  <c r="D8" i="14629"/>
  <c r="J9" i="14629"/>
  <c r="F14" i="14629"/>
  <c r="J12" i="14629"/>
  <c r="L12" i="14629"/>
  <c r="M11" i="14629"/>
  <c r="L11" i="14629"/>
  <c r="D14" i="14629"/>
  <c r="K9" i="14629"/>
  <c r="K19" i="14629" s="1" a="1"/>
  <c r="E52" i="14689"/>
  <c r="D52" i="14689"/>
  <c r="B52" i="14689"/>
  <c r="F52" i="14689"/>
  <c r="C52" i="14689"/>
  <c r="O74" i="14687"/>
  <c r="F32" i="4128" s="1"/>
  <c r="B47" i="14649" s="1" a="1"/>
  <c r="G19" i="14672" a="1"/>
  <c r="G19" i="14672" s="1"/>
  <c r="J19" i="14672" a="1"/>
  <c r="H31" i="14661"/>
  <c r="B17" i="11"/>
  <c r="B16" i="11" s="1"/>
  <c r="F17" i="14692"/>
  <c r="G17" i="14692"/>
  <c r="H17" i="14692"/>
  <c r="E17" i="14692"/>
  <c r="G31" i="14661"/>
  <c r="F19" i="14652" a="1"/>
  <c r="K15" i="14672"/>
  <c r="C15" i="14672"/>
  <c r="F15" i="14636"/>
  <c r="D15" i="14636"/>
  <c r="C25" i="14636"/>
  <c r="M15" i="14636"/>
  <c r="N11" i="14636"/>
  <c r="J19" i="14672"/>
  <c r="M19" i="14636"/>
  <c r="F43" i="14622"/>
  <c r="L29" i="14667"/>
  <c r="N29" i="14667" s="1"/>
  <c r="F10" i="14657"/>
  <c r="H30" i="14661"/>
  <c r="F31" i="14661"/>
  <c r="H16" i="14705"/>
  <c r="H33" i="14705" s="1"/>
  <c r="D31" i="14705" s="1"/>
  <c r="L42" i="14706"/>
  <c r="N42" i="14706" s="1"/>
  <c r="B7" i="14623"/>
  <c r="K12" i="14703"/>
  <c r="C33" i="14628"/>
  <c r="F36" i="14628"/>
  <c r="D36" i="14628"/>
  <c r="G11" i="14623"/>
  <c r="N37" i="14628"/>
  <c r="M31" i="14628"/>
  <c r="C37" i="14628"/>
  <c r="F11" i="14623"/>
  <c r="D32" i="14628"/>
  <c r="I35" i="14628"/>
  <c r="L35" i="14628"/>
  <c r="I32" i="14628"/>
  <c r="G38" i="14628"/>
  <c r="H34" i="14628"/>
  <c r="J13" i="14623"/>
  <c r="D13" i="14623"/>
  <c r="K14" i="14623"/>
  <c r="J12" i="14698"/>
  <c r="E8" i="14703"/>
  <c r="L9" i="14698"/>
  <c r="C14" i="14698"/>
  <c r="H12" i="14703"/>
  <c r="H33" i="14628"/>
  <c r="L33" i="14628"/>
  <c r="M35" i="14628"/>
  <c r="I33" i="14628"/>
  <c r="N38" i="14628"/>
  <c r="G31" i="14628"/>
  <c r="H31" i="14628"/>
  <c r="H32" i="14628"/>
  <c r="K34" i="14628"/>
  <c r="E36" i="14628"/>
  <c r="F33" i="14628"/>
  <c r="J38" i="14628"/>
  <c r="B8" i="14623"/>
  <c r="D14" i="14623"/>
  <c r="F9" i="14623"/>
  <c r="E13" i="14623"/>
  <c r="F14" i="14623"/>
  <c r="K8" i="14623"/>
  <c r="K36" i="14628"/>
  <c r="G32" i="14628"/>
  <c r="E32" i="14628"/>
  <c r="I36" i="14628"/>
  <c r="E37" i="14628"/>
  <c r="D37" i="14628"/>
  <c r="I34" i="14628"/>
  <c r="N31" i="14628"/>
  <c r="M32" i="14628"/>
  <c r="K32" i="14628"/>
  <c r="E35" i="14628"/>
  <c r="F31" i="14628"/>
  <c r="K31" i="14628"/>
  <c r="H36" i="14628"/>
  <c r="E38" i="14628"/>
  <c r="H35" i="14628"/>
  <c r="I31" i="14628"/>
  <c r="J32" i="14628"/>
  <c r="C35" i="14628"/>
  <c r="E33" i="14628"/>
  <c r="J36" i="14628"/>
  <c r="D35" i="14628"/>
  <c r="J33" i="14628"/>
  <c r="J31" i="14628"/>
  <c r="I7" i="14623"/>
  <c r="L10" i="14623"/>
  <c r="E11" i="14623"/>
  <c r="D10" i="14623"/>
  <c r="M10" i="14623"/>
  <c r="G12" i="14623"/>
  <c r="L9" i="14623"/>
  <c r="H8" i="14623"/>
  <c r="H11" i="14623"/>
  <c r="M8" i="14623"/>
  <c r="C10" i="14623"/>
  <c r="J7" i="14623"/>
  <c r="E9" i="14698"/>
  <c r="L12" i="14698"/>
  <c r="D12" i="14698"/>
  <c r="E12" i="14703"/>
  <c r="J10" i="14703"/>
  <c r="D13" i="14703"/>
  <c r="E11" i="14698"/>
  <c r="I9" i="14698"/>
  <c r="H11" i="14698"/>
  <c r="J15" i="14698"/>
  <c r="H14" i="14698"/>
  <c r="K8" i="14698"/>
  <c r="D12" i="14703"/>
  <c r="F13" i="14703"/>
  <c r="B11" i="14703"/>
  <c r="J9" i="14703"/>
  <c r="D11" i="14703"/>
  <c r="I15" i="14703"/>
  <c r="B13" i="14698"/>
  <c r="I14" i="14698"/>
  <c r="I11" i="14698"/>
  <c r="C12" i="14698"/>
  <c r="B9" i="14698"/>
  <c r="J10" i="14698"/>
  <c r="L13" i="14698"/>
  <c r="B14" i="14698"/>
  <c r="M14" i="14698"/>
  <c r="F14" i="14698"/>
  <c r="H12" i="14698"/>
  <c r="E12" i="14698"/>
  <c r="K11" i="14703"/>
  <c r="K8" i="14703"/>
  <c r="E14" i="14703"/>
  <c r="B10" i="14703"/>
  <c r="C9" i="14703"/>
  <c r="L9" i="14703"/>
  <c r="M15" i="14703"/>
  <c r="L11" i="14703"/>
  <c r="F10" i="14703"/>
  <c r="F14" i="14703"/>
  <c r="J14" i="14703"/>
  <c r="B32" i="7" a="1"/>
  <c r="M32" i="7" s="1"/>
  <c r="N25" i="7"/>
  <c r="B40" i="7" s="1" a="1"/>
  <c r="L40" i="7" s="1"/>
  <c r="B19" i="14683" a="1"/>
  <c r="B26" i="14683" s="1"/>
  <c r="G12" i="14698"/>
  <c r="C8" i="14698"/>
  <c r="G14" i="14698"/>
  <c r="G13" i="14698"/>
  <c r="H13" i="14698"/>
  <c r="L8" i="14698"/>
  <c r="L14" i="14698"/>
  <c r="B8" i="14698"/>
  <c r="H8" i="14698"/>
  <c r="D9" i="14698"/>
  <c r="F9" i="14698"/>
  <c r="F13" i="14698"/>
  <c r="D8" i="14698"/>
  <c r="D10" i="14698"/>
  <c r="L11" i="14698"/>
  <c r="C13" i="14698"/>
  <c r="M8" i="14698"/>
  <c r="K14" i="14698"/>
  <c r="G15" i="14698"/>
  <c r="B12" i="14698"/>
  <c r="I10" i="14698"/>
  <c r="B15" i="14698"/>
  <c r="K10" i="14698"/>
  <c r="D15" i="14698"/>
  <c r="C11" i="14707" a="1"/>
  <c r="C11" i="14707" s="1"/>
  <c r="F18" i="14630"/>
  <c r="M17" i="14630"/>
  <c r="E20" i="14630"/>
  <c r="K18" i="14630"/>
  <c r="B22" i="14630"/>
  <c r="G18" i="14630"/>
  <c r="I22" i="14630"/>
  <c r="B23" i="14630"/>
  <c r="K21" i="14630"/>
  <c r="E21" i="14630"/>
  <c r="M20" i="14630"/>
  <c r="H22" i="14630"/>
  <c r="F19" i="14630"/>
  <c r="F17" i="14630"/>
  <c r="F21" i="14630"/>
  <c r="M23" i="14630"/>
  <c r="J22" i="14630"/>
  <c r="H23" i="14630"/>
  <c r="D23" i="14630"/>
  <c r="E18" i="14630"/>
  <c r="I17" i="14630"/>
  <c r="H21" i="14630"/>
  <c r="E23" i="14630"/>
  <c r="B18" i="14630"/>
  <c r="C24" i="14630"/>
  <c r="K22" i="14630"/>
  <c r="L23" i="14630"/>
  <c r="L22" i="14630"/>
  <c r="I24" i="14630"/>
  <c r="E24" i="14630"/>
  <c r="F15" i="14703"/>
  <c r="G11" i="14703"/>
  <c r="I11" i="14703"/>
  <c r="L14" i="14703"/>
  <c r="J11" i="14703"/>
  <c r="L12" i="14703"/>
  <c r="D15" i="14703"/>
  <c r="H15" i="14703"/>
  <c r="C14" i="14703"/>
  <c r="D14" i="14703"/>
  <c r="C13" i="14703"/>
  <c r="H9" i="14703"/>
  <c r="E9" i="14703"/>
  <c r="G9" i="14703"/>
  <c r="F11" i="14703"/>
  <c r="K15" i="14703"/>
  <c r="H10" i="14703"/>
  <c r="H14" i="14703"/>
  <c r="H8" i="14703"/>
  <c r="I10" i="14703"/>
  <c r="H11" i="14703"/>
  <c r="C15" i="14703"/>
  <c r="D8" i="14703"/>
  <c r="D10" i="14703"/>
  <c r="K14" i="14703"/>
  <c r="E10" i="14703"/>
  <c r="B8" i="14703"/>
  <c r="E11" i="14703"/>
  <c r="C11" i="14703"/>
  <c r="I13" i="14703"/>
  <c r="K13" i="14703"/>
  <c r="M11" i="14703"/>
  <c r="B14" i="14703"/>
  <c r="L8" i="14703"/>
  <c r="M8" i="14703"/>
  <c r="E15" i="14703"/>
  <c r="G12" i="14703"/>
  <c r="C8" i="14703"/>
  <c r="I9" i="14703"/>
  <c r="B15" i="14703"/>
  <c r="B12" i="14703"/>
  <c r="F8" i="14703"/>
  <c r="K9" i="14703"/>
  <c r="M10" i="14703"/>
  <c r="M9" i="14703"/>
  <c r="J8" i="14703"/>
  <c r="F12" i="14703"/>
  <c r="J12" i="14703"/>
  <c r="J9" i="14698"/>
  <c r="E8" i="14698"/>
  <c r="I15" i="14698"/>
  <c r="J11" i="14698"/>
  <c r="M9" i="14698"/>
  <c r="H15" i="14698"/>
  <c r="G11" i="14698"/>
  <c r="K12" i="14698"/>
  <c r="K15" i="14698"/>
  <c r="J8" i="14698"/>
  <c r="J13" i="14698"/>
  <c r="G8" i="14698"/>
  <c r="L15" i="14698"/>
  <c r="I8" i="14698"/>
  <c r="D11" i="14698"/>
  <c r="C11" i="14698"/>
  <c r="K9" i="14698"/>
  <c r="L10" i="14698"/>
  <c r="F11" i="14698"/>
  <c r="C15" i="14698"/>
  <c r="M12" i="14698"/>
  <c r="M10" i="14698"/>
  <c r="B11" i="14698"/>
  <c r="E14" i="14698"/>
  <c r="E13" i="14698"/>
  <c r="D13" i="14698"/>
  <c r="I12" i="14698"/>
  <c r="M13" i="14698"/>
  <c r="F12" i="14698"/>
  <c r="F10" i="14698"/>
  <c r="I13" i="14698"/>
  <c r="F8" i="14698"/>
  <c r="M15" i="14698"/>
  <c r="K13" i="14698"/>
  <c r="F15" i="14698"/>
  <c r="H10" i="14698"/>
  <c r="C9" i="14698"/>
  <c r="K11" i="14698"/>
  <c r="H9" i="14698"/>
  <c r="G10" i="14698"/>
  <c r="D14" i="14698"/>
  <c r="E10" i="14698"/>
  <c r="G9" i="14698"/>
  <c r="C10" i="14698"/>
  <c r="M11" i="14698"/>
  <c r="E15" i="14698"/>
  <c r="B10" i="14698"/>
  <c r="M22" i="14630"/>
  <c r="M21" i="14630"/>
  <c r="M24" i="14630"/>
  <c r="G21" i="14630"/>
  <c r="K20" i="14630"/>
  <c r="C21" i="14630"/>
  <c r="L20" i="14630"/>
  <c r="J24" i="14630"/>
  <c r="G20" i="14630"/>
  <c r="H19" i="14630"/>
  <c r="E19" i="14630"/>
  <c r="J21" i="14630"/>
  <c r="C20" i="14630"/>
  <c r="L21" i="14630"/>
  <c r="D24" i="14630"/>
  <c r="F20" i="14630"/>
  <c r="F23" i="14630"/>
  <c r="I18" i="14630"/>
  <c r="M18" i="14630"/>
  <c r="G24" i="14630"/>
  <c r="B24" i="14630"/>
  <c r="I19" i="14630"/>
  <c r="J23" i="14630"/>
  <c r="J19" i="14630"/>
  <c r="H17" i="14630"/>
  <c r="D18" i="14630"/>
  <c r="E22" i="14630"/>
  <c r="D20" i="14630"/>
  <c r="B21" i="14630"/>
  <c r="M13" i="14703"/>
  <c r="F9" i="14703"/>
  <c r="B9" i="14703"/>
  <c r="E13" i="14703"/>
  <c r="G10" i="14703"/>
  <c r="C12" i="14703"/>
  <c r="L15" i="14703"/>
  <c r="B13" i="14703"/>
  <c r="H13" i="14703"/>
  <c r="M12" i="14703"/>
  <c r="G14" i="14703"/>
  <c r="K10" i="14703"/>
  <c r="G15" i="14703"/>
  <c r="G8" i="14703"/>
  <c r="D9" i="14703"/>
  <c r="C10" i="14703"/>
  <c r="J13" i="14703"/>
  <c r="J15" i="14703"/>
  <c r="L10" i="14703"/>
  <c r="M14" i="14703"/>
  <c r="I12" i="14703"/>
  <c r="G13" i="14703"/>
  <c r="I8" i="14703"/>
  <c r="I14" i="14703"/>
  <c r="B20" i="14630"/>
  <c r="L19" i="14630"/>
  <c r="I21" i="14630"/>
  <c r="L18" i="14630"/>
  <c r="M19" i="14630"/>
  <c r="G19" i="14630"/>
  <c r="J17" i="14630"/>
  <c r="G22" i="14630"/>
  <c r="J18" i="14630"/>
  <c r="G17" i="14630"/>
  <c r="H18" i="14630"/>
  <c r="F22" i="14630"/>
  <c r="I20" i="14630"/>
  <c r="D17" i="14630"/>
  <c r="G23" i="14630"/>
  <c r="E17" i="14630"/>
  <c r="D22" i="14630"/>
  <c r="J20" i="14630"/>
  <c r="I23" i="14630"/>
  <c r="K24" i="14630"/>
  <c r="K23" i="14630"/>
  <c r="D21" i="14630"/>
  <c r="F24" i="14630"/>
  <c r="L24" i="14630"/>
  <c r="B19" i="14630"/>
  <c r="B17" i="14630"/>
  <c r="C22" i="14630"/>
  <c r="L17" i="14630"/>
  <c r="H20" i="14630"/>
  <c r="C18" i="14630"/>
  <c r="K19" i="14630"/>
  <c r="C19" i="14630"/>
  <c r="D19" i="14630"/>
  <c r="C23" i="14630"/>
  <c r="H24" i="14630"/>
  <c r="C17" i="14630"/>
  <c r="B6" i="14683" a="1"/>
  <c r="B12" i="14683" s="1"/>
  <c r="B11" i="14707" a="1"/>
  <c r="B11" i="14707" s="1"/>
  <c r="C40" i="14643" a="1"/>
  <c r="C45" i="14643" s="1"/>
  <c r="L32" i="14628"/>
  <c r="G34" i="14628"/>
  <c r="D34" i="14628"/>
  <c r="C34" i="14628"/>
  <c r="M38" i="14628"/>
  <c r="G37" i="14628"/>
  <c r="F34" i="14628"/>
  <c r="M36" i="14628"/>
  <c r="D38" i="14628"/>
  <c r="L36" i="14628"/>
  <c r="K38" i="14628"/>
  <c r="L38" i="14628"/>
  <c r="F38" i="14628"/>
  <c r="C31" i="14628"/>
  <c r="H38" i="14628"/>
  <c r="G35" i="14628"/>
  <c r="J35" i="14628"/>
  <c r="I37" i="14628"/>
  <c r="D31" i="14628"/>
  <c r="F35" i="14628"/>
  <c r="J37" i="14628"/>
  <c r="N34" i="14628"/>
  <c r="K37" i="14628"/>
  <c r="M33" i="14628"/>
  <c r="L31" i="14628"/>
  <c r="M34" i="14628"/>
  <c r="C32" i="14628"/>
  <c r="E31" i="14628"/>
  <c r="N36" i="14628"/>
  <c r="C36" i="14628"/>
  <c r="I38" i="14628"/>
  <c r="L34" i="14628"/>
  <c r="N35" i="14628"/>
  <c r="F32" i="14628"/>
  <c r="J34" i="14628"/>
  <c r="E34" i="14628"/>
  <c r="H37" i="14628"/>
  <c r="N32" i="14628"/>
  <c r="G36" i="14628"/>
  <c r="G33" i="14628"/>
  <c r="K35" i="14628"/>
  <c r="K33" i="14628"/>
  <c r="C38" i="14628"/>
  <c r="D33" i="14628"/>
  <c r="M37" i="14628"/>
  <c r="L37" i="14628"/>
  <c r="N33" i="14628"/>
  <c r="B5" i="8" a="1"/>
  <c r="D5" i="8" s="1"/>
  <c r="D12" i="14710" s="1"/>
  <c r="N9" i="14681"/>
  <c r="C23" i="14657" s="1"/>
  <c r="B24" i="14707" a="1"/>
  <c r="B26" i="14707" s="1"/>
  <c r="F12" i="14623"/>
  <c r="I14" i="14623"/>
  <c r="J12" i="14623"/>
  <c r="E7" i="14623"/>
  <c r="C13" i="14623"/>
  <c r="M9" i="14623"/>
  <c r="C14" i="14623"/>
  <c r="B13" i="14623"/>
  <c r="M7" i="14623"/>
  <c r="K11" i="14623"/>
  <c r="G8" i="14623"/>
  <c r="I11" i="14623"/>
  <c r="G14" i="14623"/>
  <c r="I10" i="14623"/>
  <c r="L7" i="14623"/>
  <c r="L13" i="14623"/>
  <c r="C7" i="14623"/>
  <c r="J9" i="14623"/>
  <c r="C11" i="14623"/>
  <c r="H14" i="14623"/>
  <c r="H13" i="14623"/>
  <c r="H12" i="14623"/>
  <c r="F13" i="14623"/>
  <c r="L11" i="14623"/>
  <c r="H7" i="14623"/>
  <c r="B10" i="14623"/>
  <c r="L12" i="14623"/>
  <c r="K10" i="14623"/>
  <c r="L14" i="14623"/>
  <c r="I13" i="14623"/>
  <c r="H9" i="14623"/>
  <c r="B14" i="14623"/>
  <c r="E9" i="14623"/>
  <c r="E14" i="14623"/>
  <c r="M13" i="14623"/>
  <c r="F10" i="14623"/>
  <c r="C9" i="14623"/>
  <c r="F8" i="14623"/>
  <c r="I12" i="14623"/>
  <c r="J14" i="14623"/>
  <c r="B9" i="14623"/>
  <c r="G10" i="14623"/>
  <c r="H10" i="14623"/>
  <c r="D11" i="14623"/>
  <c r="E12" i="14623"/>
  <c r="K13" i="14623"/>
  <c r="D8" i="14623"/>
  <c r="G13" i="14623"/>
  <c r="B11" i="14623"/>
  <c r="K7" i="14623"/>
  <c r="G7" i="14623"/>
  <c r="L8" i="14623"/>
  <c r="B12" i="14623"/>
  <c r="D9" i="14623"/>
  <c r="G9" i="14623"/>
  <c r="F7" i="14623"/>
  <c r="C12" i="14623"/>
  <c r="C8" i="14623"/>
  <c r="E10" i="14623"/>
  <c r="J8" i="14623"/>
  <c r="M11" i="14623"/>
  <c r="K9" i="14623"/>
  <c r="K12" i="14623"/>
  <c r="E8" i="14623"/>
  <c r="J11" i="14623"/>
  <c r="D12" i="14623"/>
  <c r="I8" i="14623"/>
  <c r="D7" i="14623"/>
  <c r="M14" i="14623"/>
  <c r="I9" i="14623"/>
  <c r="J10" i="14623"/>
  <c r="C6" i="14683" a="1"/>
  <c r="C6" i="14683" s="1"/>
  <c r="N65" i="14645"/>
  <c r="B66" i="14645"/>
  <c r="N66" i="14645" s="1"/>
  <c r="H15" i="14672"/>
  <c r="I19" i="14672" a="1"/>
  <c r="I19" i="14672" s="1"/>
  <c r="K19" i="14672" a="1"/>
  <c r="K19" i="14672" s="1"/>
  <c r="N14" i="14672"/>
  <c r="M15" i="14672"/>
  <c r="F15" i="14672"/>
  <c r="E15" i="14672"/>
  <c r="E19" i="14672" a="1"/>
  <c r="E19" i="14672" s="1"/>
  <c r="N13" i="14672"/>
  <c r="G15" i="14672"/>
  <c r="H19" i="14672" a="1"/>
  <c r="H19" i="14672" s="1"/>
  <c r="C19" i="14672" a="1"/>
  <c r="C19" i="14672" s="1"/>
  <c r="H15" i="14636"/>
  <c r="N10" i="14636"/>
  <c r="G15" i="14636"/>
  <c r="N13" i="14636"/>
  <c r="N8" i="14636"/>
  <c r="G19" i="14636" a="1"/>
  <c r="G19" i="14636" s="1"/>
  <c r="F19" i="14636" a="1"/>
  <c r="F19" i="14636" s="1"/>
  <c r="K19" i="14636" a="1"/>
  <c r="K19" i="14636" s="1"/>
  <c r="D19" i="14636" a="1"/>
  <c r="D19" i="14636" s="1"/>
  <c r="L15" i="14636"/>
  <c r="N9" i="14636"/>
  <c r="B19" i="14636" a="1"/>
  <c r="B19" i="14636" s="1"/>
  <c r="E15" i="14636"/>
  <c r="K19" i="14673" a="1"/>
  <c r="K19" i="14673" s="1"/>
  <c r="H19" i="14673" a="1"/>
  <c r="H19" i="14673" s="1"/>
  <c r="E15" i="14673"/>
  <c r="J15" i="14673"/>
  <c r="E19" i="14673" a="1"/>
  <c r="E19" i="14673" s="1"/>
  <c r="F19" i="14673" a="1"/>
  <c r="F19" i="14673" s="1"/>
  <c r="C19" i="14673" a="1"/>
  <c r="C19" i="14673" s="1"/>
  <c r="E32" i="14661"/>
  <c r="E35" i="14661"/>
  <c r="B44" i="14690" a="1"/>
  <c r="O61" i="14687"/>
  <c r="F19" i="14672" a="1"/>
  <c r="F19" i="14672" s="1"/>
  <c r="M19" i="14672" a="1"/>
  <c r="M19" i="14672" s="1"/>
  <c r="L19" i="14672" a="1"/>
  <c r="L19" i="14672" s="1"/>
  <c r="D19" i="14672" a="1"/>
  <c r="D19" i="14672" s="1"/>
  <c r="B15" i="14672"/>
  <c r="N7" i="14672"/>
  <c r="I15" i="14672"/>
  <c r="N11" i="14672"/>
  <c r="B19" i="14672" a="1"/>
  <c r="B19" i="14672" s="1"/>
  <c r="N9" i="14672"/>
  <c r="N12" i="14672"/>
  <c r="J15" i="14672"/>
  <c r="L15" i="14672"/>
  <c r="N10" i="14672"/>
  <c r="D15" i="14672"/>
  <c r="N8" i="14672"/>
  <c r="B9" i="14682"/>
  <c r="B8" i="14682"/>
  <c r="B12" i="14682"/>
  <c r="B5" i="14682"/>
  <c r="B7" i="14682"/>
  <c r="B10" i="14682"/>
  <c r="B11" i="14682"/>
  <c r="B6" i="14682"/>
  <c r="B17" i="14694" a="1"/>
  <c r="B17" i="14695" a="1"/>
  <c r="I19" i="14636" a="1"/>
  <c r="I19" i="14636" s="1"/>
  <c r="K15" i="14636"/>
  <c r="N12" i="14636"/>
  <c r="C19" i="14636" a="1"/>
  <c r="C19" i="14636" s="1"/>
  <c r="N14" i="14636"/>
  <c r="J19" i="14636" a="1"/>
  <c r="J19" i="14636" s="1"/>
  <c r="C15" i="14636"/>
  <c r="L19" i="14636" a="1"/>
  <c r="L19" i="14636" s="1"/>
  <c r="N7" i="14636"/>
  <c r="B15" i="14636"/>
  <c r="E19" i="14636" a="1"/>
  <c r="E19" i="14636" s="1"/>
  <c r="J15" i="14636"/>
  <c r="H19" i="14636" a="1"/>
  <c r="H19" i="14636" s="1"/>
  <c r="I15" i="14636"/>
  <c r="E24" i="14672"/>
  <c r="C24" i="14672"/>
  <c r="M24" i="14672"/>
  <c r="G24" i="14672"/>
  <c r="H24" i="14672"/>
  <c r="M23" i="14672"/>
  <c r="J24" i="14672"/>
  <c r="E23" i="14672"/>
  <c r="D23" i="14672"/>
  <c r="L24" i="14672"/>
  <c r="L23" i="14672"/>
  <c r="C23" i="14672"/>
  <c r="F24" i="14672"/>
  <c r="H23" i="14672"/>
  <c r="G23" i="14672"/>
  <c r="I23" i="14672"/>
  <c r="I24" i="14672"/>
  <c r="F23" i="14672"/>
  <c r="B24" i="14672"/>
  <c r="D24" i="14672"/>
  <c r="K23" i="14672"/>
  <c r="B23" i="14672"/>
  <c r="J23" i="14672"/>
  <c r="K24" i="14672"/>
  <c r="K19" i="14661"/>
  <c r="G76" i="14665"/>
  <c r="G32" i="14661"/>
  <c r="F35" i="14661"/>
  <c r="G35" i="14661"/>
  <c r="G37" i="14661"/>
  <c r="G30" i="14661"/>
  <c r="G34" i="14661"/>
  <c r="E37" i="14661"/>
  <c r="C77" i="14665" a="1"/>
  <c r="O99" i="14687"/>
  <c r="K15" i="14673"/>
  <c r="N8" i="14673"/>
  <c r="N11" i="14673"/>
  <c r="N14" i="14673"/>
  <c r="M15" i="14673"/>
  <c r="H15" i="14673"/>
  <c r="N12" i="14673"/>
  <c r="I19" i="14673" a="1"/>
  <c r="I19" i="14673" s="1"/>
  <c r="L15" i="14673"/>
  <c r="L19" i="14673" a="1"/>
  <c r="L19" i="14673" s="1"/>
  <c r="C15" i="14673"/>
  <c r="M19" i="14673" a="1"/>
  <c r="M19" i="14673" s="1"/>
  <c r="I15" i="14673"/>
  <c r="D19" i="14673" a="1"/>
  <c r="D19" i="14673" s="1"/>
  <c r="N13" i="14673"/>
  <c r="J19" i="14673" a="1"/>
  <c r="J19" i="14673" s="1"/>
  <c r="F32" i="14661"/>
  <c r="D28" i="14661"/>
  <c r="F34" i="14661"/>
  <c r="H34" i="14661"/>
  <c r="H37" i="14661"/>
  <c r="K25" i="14629"/>
  <c r="C25" i="14629"/>
  <c r="N10" i="14673"/>
  <c r="G15" i="14673"/>
  <c r="F15" i="14673"/>
  <c r="G19" i="14673" a="1"/>
  <c r="G19" i="14673" s="1"/>
  <c r="D15" i="14673"/>
  <c r="D6" i="14690"/>
  <c r="N74" i="14653"/>
  <c r="B19" i="14673" a="1"/>
  <c r="B19" i="14673" s="1"/>
  <c r="N9" i="14673"/>
  <c r="N7" i="14673"/>
  <c r="B15" i="14673"/>
  <c r="B23" i="14673"/>
  <c r="I23" i="14673"/>
  <c r="M23" i="14673"/>
  <c r="G23" i="14673"/>
  <c r="J23" i="14673"/>
  <c r="J24" i="14673"/>
  <c r="M24" i="14673"/>
  <c r="C23" i="14673"/>
  <c r="E24" i="14673"/>
  <c r="F24" i="14673"/>
  <c r="H23" i="14673"/>
  <c r="I24" i="14673"/>
  <c r="G24" i="14673"/>
  <c r="F23" i="14673"/>
  <c r="E23" i="14673"/>
  <c r="C24" i="14673"/>
  <c r="H24" i="14673"/>
  <c r="K24" i="14673"/>
  <c r="B24" i="14673"/>
  <c r="D24" i="14673"/>
  <c r="K23" i="14673"/>
  <c r="L23" i="14673"/>
  <c r="L24" i="14673"/>
  <c r="D23" i="14673"/>
  <c r="L10" i="14696"/>
  <c r="M10" i="14696" s="1"/>
  <c r="B16" i="14696"/>
  <c r="E60" i="4128"/>
  <c r="E6" i="14690" a="1"/>
  <c r="E21" i="14661" a="1"/>
  <c r="E21" i="14661" s="1"/>
  <c r="D39" i="4128" s="1"/>
  <c r="C20" i="14649" s="1" a="1"/>
  <c r="B34" i="14706"/>
  <c r="C35" i="14706"/>
  <c r="N50" i="14653"/>
  <c r="N62" i="14653"/>
  <c r="N57" i="14653"/>
  <c r="M6" i="14659"/>
  <c r="M30" i="14659" s="1"/>
  <c r="Q18" i="14678"/>
  <c r="F77" i="14665"/>
  <c r="F19" i="4129"/>
  <c r="J6" i="14659"/>
  <c r="J30" i="14659" s="1"/>
  <c r="Q18" i="14638"/>
  <c r="N44" i="14653"/>
  <c r="E19" i="4129"/>
  <c r="E77" i="14665"/>
  <c r="D6" i="14659"/>
  <c r="D30" i="14659" s="1"/>
  <c r="Q18" i="14623"/>
  <c r="C19" i="4129"/>
  <c r="N18" i="14653"/>
  <c r="C77" i="14665"/>
  <c r="N70" i="14653"/>
  <c r="Q18" i="14679"/>
  <c r="G77" i="14665"/>
  <c r="G6" i="14659"/>
  <c r="G30" i="14659" s="1"/>
  <c r="Q18" i="14632"/>
  <c r="D19" i="4129"/>
  <c r="D77" i="14665"/>
  <c r="A36" i="14647"/>
  <c r="N31" i="14653"/>
  <c r="A85" i="14647"/>
  <c r="N25" i="14624" l="1"/>
  <c r="L51" i="14653"/>
  <c r="L64" i="14653" s="1"/>
  <c r="L77" i="14653" s="1"/>
  <c r="N38" i="14653"/>
  <c r="O52" i="14653"/>
  <c r="O65" i="14653" s="1"/>
  <c r="I39" i="14653"/>
  <c r="I52" i="14653" s="1"/>
  <c r="I65" i="14653" s="1"/>
  <c r="I78" i="14653" s="1"/>
  <c r="C39" i="14653"/>
  <c r="C52" i="14653" s="1"/>
  <c r="C65" i="14653" s="1"/>
  <c r="C78" i="14653" s="1"/>
  <c r="D39" i="14653"/>
  <c r="D52" i="14653" s="1"/>
  <c r="D65" i="14653" s="1"/>
  <c r="D78" i="14653" s="1"/>
  <c r="J39" i="14653"/>
  <c r="J52" i="14653" s="1"/>
  <c r="J65" i="14653" s="1"/>
  <c r="J78" i="14653" s="1"/>
  <c r="E39" i="14653"/>
  <c r="E52" i="14653" s="1"/>
  <c r="E65" i="14653" s="1"/>
  <c r="E78" i="14653" s="1"/>
  <c r="G39" i="14653"/>
  <c r="G52" i="14653" s="1"/>
  <c r="G65" i="14653" s="1"/>
  <c r="G78" i="14653" s="1"/>
  <c r="H39" i="14653"/>
  <c r="H52" i="14653" s="1"/>
  <c r="H65" i="14653" s="1"/>
  <c r="H78" i="14653" s="1"/>
  <c r="K39" i="14653"/>
  <c r="K52" i="14653" s="1"/>
  <c r="K65" i="14653" s="1"/>
  <c r="K78" i="14653" s="1"/>
  <c r="F39" i="14653"/>
  <c r="F52" i="14653" s="1"/>
  <c r="F65" i="14653" s="1"/>
  <c r="F78" i="14653" s="1"/>
  <c r="L39" i="14653"/>
  <c r="L52" i="14653" s="1"/>
  <c r="L65" i="14653" s="1"/>
  <c r="L78" i="14653" s="1"/>
  <c r="M39" i="14653"/>
  <c r="B39" i="14653"/>
  <c r="B52" i="14653" s="1"/>
  <c r="B65" i="14653" s="1"/>
  <c r="B78" i="14653" s="1"/>
  <c r="M25" i="14629"/>
  <c r="I25" i="14636"/>
  <c r="M25" i="14636"/>
  <c r="G25" i="14629"/>
  <c r="K25" i="14636"/>
  <c r="L25" i="14636"/>
  <c r="D38" i="14652"/>
  <c r="D34" i="14652"/>
  <c r="D36" i="14652"/>
  <c r="D35" i="14652"/>
  <c r="D37" i="14652"/>
  <c r="D33" i="14652"/>
  <c r="J15" i="14629"/>
  <c r="B32" i="14667"/>
  <c r="J25" i="14629"/>
  <c r="B22" i="14682"/>
  <c r="B23" i="14682" s="1"/>
  <c r="N12" i="14629"/>
  <c r="H19" i="14629"/>
  <c r="L15" i="14629"/>
  <c r="N23" i="14629"/>
  <c r="D25" i="14629"/>
  <c r="N23" i="14636"/>
  <c r="N24" i="14636"/>
  <c r="K19" i="14629"/>
  <c r="D47" i="14649"/>
  <c r="F47" i="14649"/>
  <c r="C47" i="14649"/>
  <c r="E47" i="14649"/>
  <c r="B47" i="14649"/>
  <c r="F25" i="14673"/>
  <c r="J25" i="14636"/>
  <c r="E17" i="4128"/>
  <c r="C17" i="4128"/>
  <c r="D17" i="4128"/>
  <c r="F17" i="4128"/>
  <c r="G17" i="4128"/>
  <c r="D25" i="14673"/>
  <c r="N24" i="14629"/>
  <c r="J19" i="14629" a="1"/>
  <c r="J19" i="14629" s="1"/>
  <c r="G15" i="14629"/>
  <c r="C19" i="14629" a="1"/>
  <c r="C19" i="14629" s="1"/>
  <c r="N11" i="14629"/>
  <c r="C13" i="4128"/>
  <c r="E13" i="4128"/>
  <c r="G13" i="4128"/>
  <c r="D13" i="4128"/>
  <c r="F13" i="4128"/>
  <c r="D15" i="14629"/>
  <c r="F15" i="14629"/>
  <c r="N10" i="14629"/>
  <c r="E15" i="14629"/>
  <c r="I15" i="14629"/>
  <c r="G12" i="14652"/>
  <c r="E13" i="14652"/>
  <c r="L25" i="14629"/>
  <c r="B25" i="14629"/>
  <c r="M15" i="14629"/>
  <c r="I19" i="14629" a="1"/>
  <c r="I19" i="14629" s="1"/>
  <c r="E19" i="14629" a="1"/>
  <c r="E19" i="14629" s="1"/>
  <c r="F19" i="14629" a="1"/>
  <c r="F19" i="14629" s="1"/>
  <c r="K15" i="14629"/>
  <c r="D40" i="14652"/>
  <c r="E33" i="14652" s="1" a="1"/>
  <c r="L19" i="14629" a="1"/>
  <c r="L19" i="14629" s="1"/>
  <c r="N13" i="14629"/>
  <c r="D19" i="14629" a="1"/>
  <c r="D19" i="14629" s="1"/>
  <c r="C25" i="14672"/>
  <c r="J25" i="14672"/>
  <c r="H15" i="14629"/>
  <c r="B19" i="14629" a="1"/>
  <c r="B19" i="14629" s="1"/>
  <c r="N9" i="14629"/>
  <c r="E25" i="14636"/>
  <c r="B15" i="14629"/>
  <c r="N8" i="14629"/>
  <c r="I25" i="14629"/>
  <c r="N25" i="14629" s="1"/>
  <c r="G19" i="14629" a="1"/>
  <c r="G19" i="14629" s="1"/>
  <c r="N14" i="14629"/>
  <c r="M19" i="14629" a="1"/>
  <c r="M19" i="14629" s="1"/>
  <c r="C15" i="14629"/>
  <c r="O80" i="14687"/>
  <c r="F29" i="4128"/>
  <c r="E29" i="4128"/>
  <c r="D29" i="4128"/>
  <c r="C29" i="4128"/>
  <c r="G29" i="4128"/>
  <c r="F21" i="14652"/>
  <c r="F22" i="14652"/>
  <c r="F26" i="14652"/>
  <c r="F25" i="14652"/>
  <c r="F24" i="14652"/>
  <c r="F19" i="14652"/>
  <c r="F20" i="14652"/>
  <c r="F23" i="14652"/>
  <c r="E25" i="14673"/>
  <c r="D5" i="14682" a="1"/>
  <c r="D5" i="14682" s="1"/>
  <c r="B18" i="14692" a="1"/>
  <c r="N15" i="14673"/>
  <c r="K25" i="14673"/>
  <c r="J25" i="14673"/>
  <c r="K25" i="14672"/>
  <c r="N24" i="14672"/>
  <c r="G25" i="14672"/>
  <c r="L25" i="14672"/>
  <c r="D25" i="14672"/>
  <c r="F28" i="14661"/>
  <c r="E28" i="14661"/>
  <c r="D41" i="14661" s="1" a="1"/>
  <c r="C9" i="14657"/>
  <c r="C11" i="14657" s="1"/>
  <c r="C12" i="14707"/>
  <c r="E36" i="7"/>
  <c r="B38" i="7"/>
  <c r="L39" i="7"/>
  <c r="E37" i="7"/>
  <c r="J37" i="7"/>
  <c r="L36" i="7"/>
  <c r="B20" i="14698" a="1"/>
  <c r="F21" i="14698" s="1"/>
  <c r="F34" i="7"/>
  <c r="M34" i="7"/>
  <c r="K35" i="7"/>
  <c r="I36" i="7"/>
  <c r="I33" i="7"/>
  <c r="H34" i="7"/>
  <c r="B17" i="14707"/>
  <c r="L37" i="7"/>
  <c r="I34" i="7"/>
  <c r="C34" i="7"/>
  <c r="M38" i="7"/>
  <c r="D39" i="7"/>
  <c r="F33" i="7"/>
  <c r="I37" i="7"/>
  <c r="D32" i="7"/>
  <c r="G35" i="7"/>
  <c r="L38" i="7"/>
  <c r="F32" i="7"/>
  <c r="L35" i="7"/>
  <c r="C15" i="14707"/>
  <c r="G21" i="14623" a="1"/>
  <c r="G21" i="14623" s="1"/>
  <c r="C44" i="14643"/>
  <c r="B21" i="14683"/>
  <c r="H5" i="8"/>
  <c r="H12" i="14710" s="1"/>
  <c r="B24" i="14683"/>
  <c r="B13" i="14683"/>
  <c r="E19" i="14628" a="1"/>
  <c r="E19" i="14628" s="1"/>
  <c r="K25" i="14630"/>
  <c r="K18" i="14681" s="1"/>
  <c r="C40" i="14643"/>
  <c r="B27" i="14707"/>
  <c r="B8" i="14683"/>
  <c r="H19" i="14628" a="1"/>
  <c r="H19" i="14628" s="1"/>
  <c r="G39" i="14628"/>
  <c r="I25" i="14630"/>
  <c r="I18" i="14681" s="1"/>
  <c r="E25" i="14630"/>
  <c r="E18" i="14681" s="1"/>
  <c r="C43" i="14643"/>
  <c r="C41" i="14643"/>
  <c r="B29" i="14707"/>
  <c r="J5" i="8"/>
  <c r="J12" i="14710" s="1"/>
  <c r="C5" i="8"/>
  <c r="C12" i="14710" s="1"/>
  <c r="B22" i="14683"/>
  <c r="B19" i="14683"/>
  <c r="B6" i="14683"/>
  <c r="D20" i="14623" a="1"/>
  <c r="D20" i="14623" s="1"/>
  <c r="J39" i="14628"/>
  <c r="L15" i="14623"/>
  <c r="C39" i="14628"/>
  <c r="N24" i="14630"/>
  <c r="F25" i="14630"/>
  <c r="F18" i="14681" s="1"/>
  <c r="N23" i="14630"/>
  <c r="L26" i="14623" a="1"/>
  <c r="L26" i="14623" s="1"/>
  <c r="F22" i="14623" a="1"/>
  <c r="F22" i="14623" s="1"/>
  <c r="J19" i="14628" a="1"/>
  <c r="J19" i="14628" s="1"/>
  <c r="C13" i="14683"/>
  <c r="K32" i="7"/>
  <c r="K38" i="7"/>
  <c r="H39" i="7"/>
  <c r="K33" i="7"/>
  <c r="J33" i="7"/>
  <c r="B37" i="7"/>
  <c r="C35" i="7"/>
  <c r="C39" i="7"/>
  <c r="D37" i="7"/>
  <c r="I32" i="7"/>
  <c r="G34" i="7"/>
  <c r="E38" i="7"/>
  <c r="E32" i="7"/>
  <c r="E34" i="7"/>
  <c r="F36" i="7"/>
  <c r="M33" i="7"/>
  <c r="M36" i="7"/>
  <c r="J38" i="7"/>
  <c r="D33" i="7"/>
  <c r="E35" i="7"/>
  <c r="J32" i="7"/>
  <c r="F37" i="7"/>
  <c r="B33" i="7"/>
  <c r="J34" i="7"/>
  <c r="C17" i="14707"/>
  <c r="C13" i="14707"/>
  <c r="H39" i="14628"/>
  <c r="B16" i="14707"/>
  <c r="B14" i="14707"/>
  <c r="L21" i="14623" a="1"/>
  <c r="L21" i="14623" s="1"/>
  <c r="B20" i="14623" a="1"/>
  <c r="B20" i="14623" s="1"/>
  <c r="B27" i="14623" s="1"/>
  <c r="B28" i="14623" s="1"/>
  <c r="N13" i="14623"/>
  <c r="L19" i="14628" a="1"/>
  <c r="L19" i="14628" s="1"/>
  <c r="E39" i="14628"/>
  <c r="B25" i="14630"/>
  <c r="B18" i="14681" s="1"/>
  <c r="N20" i="14630"/>
  <c r="N11" i="14703"/>
  <c r="N12" i="14698"/>
  <c r="C47" i="14643"/>
  <c r="C42" i="14643"/>
  <c r="C46" i="14643"/>
  <c r="B30" i="14707"/>
  <c r="B28" i="14707"/>
  <c r="F5" i="8"/>
  <c r="F12" i="14710" s="1"/>
  <c r="G5" i="8"/>
  <c r="G12" i="14710" s="1"/>
  <c r="M5" i="8"/>
  <c r="M12" i="14710" s="1"/>
  <c r="B23" i="14683"/>
  <c r="B20" i="14683"/>
  <c r="B25" i="14683"/>
  <c r="B9" i="14683"/>
  <c r="B11" i="14683"/>
  <c r="B7" i="14683"/>
  <c r="B10" i="14683"/>
  <c r="K21" i="14623" a="1"/>
  <c r="K21" i="14623" s="1"/>
  <c r="K22" i="14623" a="1"/>
  <c r="K22" i="14623" s="1"/>
  <c r="K20" i="14623" a="1"/>
  <c r="K20" i="14623" s="1"/>
  <c r="N9" i="14623"/>
  <c r="I22" i="14623" a="1"/>
  <c r="I22" i="14623" s="1"/>
  <c r="E21" i="14623" a="1"/>
  <c r="E21" i="14623" s="1"/>
  <c r="K26" i="14623" a="1"/>
  <c r="K26" i="14623" s="1"/>
  <c r="N26" i="14623" a="1"/>
  <c r="N26" i="14623" s="1"/>
  <c r="C15" i="14623"/>
  <c r="M15" i="14623"/>
  <c r="K25" i="14623" a="1"/>
  <c r="K25" i="14623" s="1"/>
  <c r="N39" i="14628"/>
  <c r="M39" i="14628"/>
  <c r="O38" i="14628"/>
  <c r="K39" i="14628"/>
  <c r="O36" i="14628"/>
  <c r="I39" i="14628"/>
  <c r="O31" i="14628"/>
  <c r="L25" i="14630"/>
  <c r="L18" i="14681" s="1"/>
  <c r="B7" i="14632" a="1"/>
  <c r="I9" i="14632" s="1"/>
  <c r="G25" i="14630"/>
  <c r="G18" i="14681" s="1"/>
  <c r="N12" i="14703"/>
  <c r="N9" i="14703"/>
  <c r="H25" i="14630"/>
  <c r="H18" i="14681" s="1"/>
  <c r="N11" i="14698"/>
  <c r="N15" i="14703"/>
  <c r="M25" i="14630"/>
  <c r="M18" i="14681" s="1"/>
  <c r="N9" i="14698"/>
  <c r="I25" i="14623" a="1"/>
  <c r="I25" i="14623" s="1"/>
  <c r="J26" i="14623" a="1"/>
  <c r="J26" i="14623" s="1"/>
  <c r="D39" i="14628"/>
  <c r="O25" i="14623" a="1"/>
  <c r="O25" i="14623" s="1"/>
  <c r="I39" i="7"/>
  <c r="F39" i="7"/>
  <c r="D36" i="7"/>
  <c r="G38" i="7"/>
  <c r="H37" i="7"/>
  <c r="G36" i="7"/>
  <c r="F38" i="7"/>
  <c r="K36" i="7"/>
  <c r="M37" i="7"/>
  <c r="H38" i="7"/>
  <c r="I38" i="7"/>
  <c r="B32" i="7"/>
  <c r="C32" i="7"/>
  <c r="M35" i="7"/>
  <c r="J35" i="7"/>
  <c r="K34" i="7"/>
  <c r="B35" i="7"/>
  <c r="L32" i="7"/>
  <c r="H33" i="7"/>
  <c r="E33" i="7"/>
  <c r="B39" i="7"/>
  <c r="D35" i="7"/>
  <c r="J39" i="7"/>
  <c r="K37" i="7"/>
  <c r="G32" i="7"/>
  <c r="H32" i="7"/>
  <c r="M39" i="7"/>
  <c r="I35" i="7"/>
  <c r="J36" i="7"/>
  <c r="B36" i="7"/>
  <c r="C36" i="7"/>
  <c r="C38" i="7"/>
  <c r="H36" i="7"/>
  <c r="K39" i="7"/>
  <c r="E39" i="7"/>
  <c r="D38" i="7"/>
  <c r="H35" i="7"/>
  <c r="G39" i="7"/>
  <c r="L34" i="7"/>
  <c r="L33" i="7"/>
  <c r="C33" i="7"/>
  <c r="G37" i="7"/>
  <c r="D34" i="7"/>
  <c r="F35" i="7"/>
  <c r="B34" i="7"/>
  <c r="G33" i="7"/>
  <c r="C37" i="7"/>
  <c r="C16" i="14707"/>
  <c r="C18" i="14707"/>
  <c r="C14" i="14707"/>
  <c r="B13" i="14707"/>
  <c r="B12" i="14707"/>
  <c r="E5" i="14690" a="1"/>
  <c r="F5" i="14690" s="1"/>
  <c r="L39" i="14628"/>
  <c r="D19" i="14628" a="1"/>
  <c r="D19" i="14628" s="1"/>
  <c r="C25" i="14630"/>
  <c r="C18" i="14681" s="1"/>
  <c r="N19" i="14630"/>
  <c r="J25" i="14630"/>
  <c r="J18" i="14681" s="1"/>
  <c r="N10" i="14703"/>
  <c r="N10" i="14698"/>
  <c r="N14" i="14698"/>
  <c r="K24" i="14623" a="1"/>
  <c r="K24" i="14623" s="1"/>
  <c r="D22" i="14623" a="1"/>
  <c r="D22" i="14623" s="1"/>
  <c r="F21" i="14623" a="1"/>
  <c r="F21" i="14623" s="1"/>
  <c r="M25" i="14623" a="1"/>
  <c r="M25" i="14623" s="1"/>
  <c r="F23" i="14623" a="1"/>
  <c r="F23" i="14623" s="1"/>
  <c r="L20" i="14623" a="1"/>
  <c r="L20" i="14623" s="1"/>
  <c r="R25" i="14623" a="1"/>
  <c r="R25" i="14623" s="1"/>
  <c r="Q26" i="14623" a="1"/>
  <c r="Q26" i="14623" s="1"/>
  <c r="C11" i="14683"/>
  <c r="J20" i="14623" a="1"/>
  <c r="J20" i="14623" s="1"/>
  <c r="O26" i="14623" a="1"/>
  <c r="O26" i="14623" s="1"/>
  <c r="O33" i="14628"/>
  <c r="M24" i="14623" a="1"/>
  <c r="M24" i="14623" s="1"/>
  <c r="N12" i="14623"/>
  <c r="L25" i="14623" a="1"/>
  <c r="L25" i="14623" s="1"/>
  <c r="H26" i="14623" a="1"/>
  <c r="H26" i="14623" s="1"/>
  <c r="G22" i="14623" a="1"/>
  <c r="G22" i="14623" s="1"/>
  <c r="I21" i="14623" a="1"/>
  <c r="I21" i="14623" s="1"/>
  <c r="H25" i="14623" a="1"/>
  <c r="H25" i="14623" s="1"/>
  <c r="R26" i="14623" a="1"/>
  <c r="R26" i="14623" s="1"/>
  <c r="O22" i="14623" a="1"/>
  <c r="O22" i="14623" s="1"/>
  <c r="H22" i="14623" a="1"/>
  <c r="H22" i="14623" s="1"/>
  <c r="C19" i="14628" a="1"/>
  <c r="C19" i="14628" s="1"/>
  <c r="F39" i="14628"/>
  <c r="O34" i="14628"/>
  <c r="C31" i="14634" a="1"/>
  <c r="I34" i="14634" s="1"/>
  <c r="D25" i="14630"/>
  <c r="D18" i="14681" s="1"/>
  <c r="N13" i="14703"/>
  <c r="N21" i="14630"/>
  <c r="N22" i="14630"/>
  <c r="N13" i="14698"/>
  <c r="N15" i="14698"/>
  <c r="N8" i="14698"/>
  <c r="B20" i="14703" a="1"/>
  <c r="K22" i="14703" s="1"/>
  <c r="N14" i="14703"/>
  <c r="N18" i="14630"/>
  <c r="H24" i="14623" a="1"/>
  <c r="H24" i="14623" s="1"/>
  <c r="G23" i="14623" a="1"/>
  <c r="G23" i="14623" s="1"/>
  <c r="D15" i="14623"/>
  <c r="F15" i="14623"/>
  <c r="F20" i="14623" a="1"/>
  <c r="F20" i="14623" s="1"/>
  <c r="J23" i="14623" a="1"/>
  <c r="J23" i="14623" s="1"/>
  <c r="P25" i="14623" a="1"/>
  <c r="P25" i="14623" s="1"/>
  <c r="H15" i="14623"/>
  <c r="C8" i="14683"/>
  <c r="C7" i="14683"/>
  <c r="O32" i="14628"/>
  <c r="N17" i="14630"/>
  <c r="P26" i="14623" a="1"/>
  <c r="P26" i="14623" s="1"/>
  <c r="C21" i="14623" a="1"/>
  <c r="C21" i="14623" s="1"/>
  <c r="E22" i="14623" a="1"/>
  <c r="E22" i="14623" s="1"/>
  <c r="Q25" i="14623" a="1"/>
  <c r="Q25" i="14623" s="1"/>
  <c r="S26" i="14623" a="1"/>
  <c r="S26" i="14623" s="1"/>
  <c r="G26" i="14632" s="1"/>
  <c r="I24" i="14623" a="1"/>
  <c r="I24" i="14623" s="1"/>
  <c r="I15" i="14623"/>
  <c r="O37" i="14628"/>
  <c r="B15" i="14707"/>
  <c r="N8" i="14703"/>
  <c r="B18" i="14707"/>
  <c r="N25" i="14623" a="1"/>
  <c r="N25" i="14623" s="1"/>
  <c r="N7" i="14623"/>
  <c r="L22" i="14623" a="1"/>
  <c r="L22" i="14623" s="1"/>
  <c r="J24" i="14623" a="1"/>
  <c r="J24" i="14623" s="1"/>
  <c r="P24" i="14623" a="1"/>
  <c r="P24" i="14623" s="1"/>
  <c r="N11" i="14623"/>
  <c r="H20" i="14623" a="1"/>
  <c r="H20" i="14623" s="1"/>
  <c r="Q24" i="14623" a="1"/>
  <c r="Q24" i="14623" s="1"/>
  <c r="K19" i="14628" a="1"/>
  <c r="K19" i="14628" s="1"/>
  <c r="G19" i="14628" a="1"/>
  <c r="G19" i="14628" s="1"/>
  <c r="N19" i="14628" a="1"/>
  <c r="N19" i="14628" s="1"/>
  <c r="F19" i="14628" a="1"/>
  <c r="F19" i="14628" s="1"/>
  <c r="O35" i="14628"/>
  <c r="I19" i="14628" a="1"/>
  <c r="I19" i="14628" s="1"/>
  <c r="N8" i="14623"/>
  <c r="M22" i="14623" a="1"/>
  <c r="M22" i="14623" s="1"/>
  <c r="G20" i="14623" a="1"/>
  <c r="G20" i="14623" s="1"/>
  <c r="N14" i="14623"/>
  <c r="N10" i="14623"/>
  <c r="E20" i="14623" a="1"/>
  <c r="E20" i="14623" s="1"/>
  <c r="M19" i="14628" a="1"/>
  <c r="M19" i="14628" s="1"/>
  <c r="I23" i="14623" a="1"/>
  <c r="I23" i="14623" s="1"/>
  <c r="G15" i="14623"/>
  <c r="H21" i="14623" a="1"/>
  <c r="H21" i="14623" s="1"/>
  <c r="M26" i="14623" a="1"/>
  <c r="M26" i="14623" s="1"/>
  <c r="K15" i="14623"/>
  <c r="N23" i="14623" a="1"/>
  <c r="N23" i="14623" s="1"/>
  <c r="O24" i="14623" a="1"/>
  <c r="O24" i="14623" s="1"/>
  <c r="K23" i="14623" a="1"/>
  <c r="K23" i="14623" s="1"/>
  <c r="L24" i="14623" a="1"/>
  <c r="L24" i="14623" s="1"/>
  <c r="J22" i="14623" a="1"/>
  <c r="J22" i="14623" s="1"/>
  <c r="B25" i="14707"/>
  <c r="B24" i="14707"/>
  <c r="B31" i="14707"/>
  <c r="K5" i="8"/>
  <c r="K12" i="14710" s="1"/>
  <c r="E5" i="8"/>
  <c r="E12" i="14710" s="1"/>
  <c r="I5" i="8"/>
  <c r="I12" i="14710" s="1"/>
  <c r="B5" i="8"/>
  <c r="B12" i="14710" s="1"/>
  <c r="L5" i="8"/>
  <c r="L12" i="14710" s="1"/>
  <c r="J15" i="14623"/>
  <c r="N24" i="14623" a="1"/>
  <c r="N24" i="14623" s="1"/>
  <c r="M23" i="14623" a="1"/>
  <c r="M23" i="14623" s="1"/>
  <c r="F24" i="14623" a="1"/>
  <c r="F24" i="14623" s="1"/>
  <c r="E23" i="14623" a="1"/>
  <c r="E23" i="14623" s="1"/>
  <c r="B15" i="14623"/>
  <c r="G25" i="14623" a="1"/>
  <c r="G25" i="14623" s="1"/>
  <c r="G24" i="14623" a="1"/>
  <c r="G24" i="14623" s="1"/>
  <c r="C20" i="14623" a="1"/>
  <c r="C20" i="14623" s="1"/>
  <c r="D21" i="14623" a="1"/>
  <c r="D21" i="14623" s="1"/>
  <c r="I26" i="14623" a="1"/>
  <c r="I26" i="14623" s="1"/>
  <c r="N22" i="14623" a="1"/>
  <c r="N22" i="14623" s="1"/>
  <c r="O23" i="14623" a="1"/>
  <c r="O23" i="14623" s="1"/>
  <c r="M21" i="14623" a="1"/>
  <c r="M21" i="14623" s="1"/>
  <c r="M20" i="14623" a="1"/>
  <c r="M20" i="14623" s="1"/>
  <c r="N21" i="14623" a="1"/>
  <c r="N21" i="14623" s="1"/>
  <c r="P23" i="14623" a="1"/>
  <c r="P23" i="14623" s="1"/>
  <c r="E15" i="14623"/>
  <c r="J25" i="14623" a="1"/>
  <c r="J25" i="14623" s="1"/>
  <c r="H23" i="14623" a="1"/>
  <c r="H23" i="14623" s="1"/>
  <c r="J21" i="14623" a="1"/>
  <c r="J21" i="14623" s="1"/>
  <c r="I20" i="14623" a="1"/>
  <c r="I20" i="14623" s="1"/>
  <c r="L23" i="14623" a="1"/>
  <c r="L23" i="14623" s="1"/>
  <c r="C12" i="14683"/>
  <c r="C10" i="14683"/>
  <c r="C9" i="14683"/>
  <c r="N15" i="14636"/>
  <c r="C17" i="14694"/>
  <c r="F17" i="14694"/>
  <c r="D17" i="14694"/>
  <c r="B17" i="14694"/>
  <c r="G17" i="14694"/>
  <c r="E17" i="14694"/>
  <c r="H17" i="14694"/>
  <c r="N19" i="14672"/>
  <c r="N15" i="14672"/>
  <c r="B44" i="14690"/>
  <c r="F44" i="14690"/>
  <c r="H44" i="14690"/>
  <c r="D44" i="14690"/>
  <c r="G44" i="14690"/>
  <c r="E44" i="14690"/>
  <c r="C44" i="14690"/>
  <c r="N19" i="14636"/>
  <c r="B25" i="14672"/>
  <c r="N23" i="14672"/>
  <c r="E21" i="14682" s="1" a="1"/>
  <c r="E21" i="14682" s="1"/>
  <c r="F25" i="14672"/>
  <c r="I25" i="14672"/>
  <c r="H25" i="14672"/>
  <c r="E25" i="14672"/>
  <c r="M25" i="14672"/>
  <c r="B17" i="14695"/>
  <c r="E17" i="14695"/>
  <c r="D17" i="14695"/>
  <c r="F17" i="14695"/>
  <c r="H17" i="14695"/>
  <c r="G17" i="14695"/>
  <c r="C17" i="14695"/>
  <c r="B13" i="14682"/>
  <c r="E5" i="14682" a="1"/>
  <c r="H76" i="14665"/>
  <c r="M40" i="7"/>
  <c r="B40" i="7"/>
  <c r="C40" i="7"/>
  <c r="G40" i="7"/>
  <c r="K40" i="7"/>
  <c r="J40" i="7"/>
  <c r="F40" i="7"/>
  <c r="I40" i="7"/>
  <c r="H40" i="7"/>
  <c r="D40" i="7"/>
  <c r="E40" i="7"/>
  <c r="B15" i="14617"/>
  <c r="G28" i="14661"/>
  <c r="H28" i="14661"/>
  <c r="N75" i="14653"/>
  <c r="L25" i="14673"/>
  <c r="C25" i="14673"/>
  <c r="G25" i="14673"/>
  <c r="I25" i="14673"/>
  <c r="G40" i="14653"/>
  <c r="F40" i="14653"/>
  <c r="M40" i="14653"/>
  <c r="J40" i="14653"/>
  <c r="D40" i="14653"/>
  <c r="L79" i="14653"/>
  <c r="L66" i="14653"/>
  <c r="G79" i="14653"/>
  <c r="G66" i="14653"/>
  <c r="I79" i="14653"/>
  <c r="J79" i="14653"/>
  <c r="B47" i="14706"/>
  <c r="B45" i="14706"/>
  <c r="N24" i="14673"/>
  <c r="H25" i="14673"/>
  <c r="M25" i="14673"/>
  <c r="N19" i="14673"/>
  <c r="L40" i="14653"/>
  <c r="J53" i="14653"/>
  <c r="C21" i="14682" a="1"/>
  <c r="F53" i="14653"/>
  <c r="L53" i="14653"/>
  <c r="G53" i="14653"/>
  <c r="J66" i="14653"/>
  <c r="E40" i="14653"/>
  <c r="C40" i="14653"/>
  <c r="F21" i="14706"/>
  <c r="F8" i="14667"/>
  <c r="N63" i="14653"/>
  <c r="N51" i="14653"/>
  <c r="B53" i="14653"/>
  <c r="D21" i="14682" a="1"/>
  <c r="B46" i="14667"/>
  <c r="B45" i="14667"/>
  <c r="C45" i="14667" s="1"/>
  <c r="B44" i="14667"/>
  <c r="C32" i="14667"/>
  <c r="C34" i="14706"/>
  <c r="C47" i="14706" s="1"/>
  <c r="B46" i="14706"/>
  <c r="C46" i="14706" s="1"/>
  <c r="B32" i="11"/>
  <c r="B15" i="14649" s="1"/>
  <c r="B17" i="14649"/>
  <c r="B84" i="14689"/>
  <c r="D22" i="14705"/>
  <c r="E22" i="14682"/>
  <c r="H6" i="14690"/>
  <c r="G6" i="14690"/>
  <c r="F6" i="14690"/>
  <c r="E6" i="14690"/>
  <c r="D20" i="14649"/>
  <c r="C20" i="14649"/>
  <c r="G20" i="14649"/>
  <c r="E20" i="14649"/>
  <c r="F20" i="14649"/>
  <c r="N23" i="14673"/>
  <c r="B25" i="14673"/>
  <c r="F5" i="14682" a="1"/>
  <c r="I5" i="14708"/>
  <c r="I1" i="14640"/>
  <c r="D54" i="14707"/>
  <c r="F1" i="14639"/>
  <c r="F1" i="14641"/>
  <c r="E6" i="14652"/>
  <c r="E1" i="14637"/>
  <c r="D28" i="14637" s="1"/>
  <c r="B79" i="14665"/>
  <c r="E44" i="14687"/>
  <c r="E30" i="14653"/>
  <c r="G4" i="14617"/>
  <c r="E4" i="14683"/>
  <c r="K1" i="14700"/>
  <c r="E9" i="14707"/>
  <c r="E25" i="14681"/>
  <c r="A29" i="14710" s="1"/>
  <c r="A35" i="14710" s="1"/>
  <c r="C25" i="14645"/>
  <c r="C64" i="14643"/>
  <c r="E1" i="14636"/>
  <c r="E1" i="14638"/>
  <c r="Q46" i="14632"/>
  <c r="R57" i="14632" s="1"/>
  <c r="R30" i="14632"/>
  <c r="A54" i="14695"/>
  <c r="A58" i="14694"/>
  <c r="E69" i="14653"/>
  <c r="A59" i="14692"/>
  <c r="K1" i="14704"/>
  <c r="Q46" i="14623"/>
  <c r="R57" i="14623" s="1"/>
  <c r="R30" i="14623"/>
  <c r="R30" i="14638"/>
  <c r="Q46" i="14638"/>
  <c r="R57" i="14638" s="1"/>
  <c r="M5" i="14708"/>
  <c r="E1" i="14679"/>
  <c r="M4" i="14617"/>
  <c r="I9" i="14707"/>
  <c r="B81" i="14665"/>
  <c r="C90" i="14643"/>
  <c r="E1" i="14669"/>
  <c r="D28" i="14669" s="1"/>
  <c r="K1" i="14702"/>
  <c r="F1" i="14677"/>
  <c r="I6" i="14652"/>
  <c r="E56" i="14653"/>
  <c r="E82" i="14687"/>
  <c r="I4" i="14683"/>
  <c r="C46" i="14645"/>
  <c r="I1" i="14671"/>
  <c r="E43" i="14681"/>
  <c r="A47" i="14710" s="1"/>
  <c r="A53" i="14710" s="1"/>
  <c r="F1" i="14675"/>
  <c r="E1" i="14673"/>
  <c r="F54" i="14707"/>
  <c r="R30" i="14679"/>
  <c r="Q46" i="14679"/>
  <c r="R57" i="14679" s="1"/>
  <c r="G5" i="14708"/>
  <c r="C9" i="14707"/>
  <c r="E1" i="14632"/>
  <c r="I1" i="14631"/>
  <c r="E17" i="14653"/>
  <c r="C15" i="14645"/>
  <c r="E25" i="14687"/>
  <c r="C4" i="14683"/>
  <c r="B78" i="14665"/>
  <c r="F1" i="14634"/>
  <c r="F1" i="14633"/>
  <c r="E16" i="14681"/>
  <c r="A20" i="14710" s="1"/>
  <c r="A26" i="14710" s="1"/>
  <c r="D4" i="14617"/>
  <c r="C54" i="14707"/>
  <c r="E1" i="14629"/>
  <c r="K1" i="14698"/>
  <c r="E1" i="14630"/>
  <c r="D28" i="14630" s="1"/>
  <c r="C6" i="14652"/>
  <c r="C51" i="14643"/>
  <c r="K5" i="14708"/>
  <c r="E1" i="14678"/>
  <c r="E1" i="14668"/>
  <c r="D28" i="14668" s="1"/>
  <c r="E34" i="14681"/>
  <c r="A38" i="14710" s="1"/>
  <c r="A44" i="14710" s="1"/>
  <c r="G9" i="14707"/>
  <c r="I1" i="14670"/>
  <c r="G4" i="14683"/>
  <c r="K1" i="14701"/>
  <c r="B80" i="14665"/>
  <c r="E43" i="14653"/>
  <c r="J4" i="14617"/>
  <c r="F1" i="14674"/>
  <c r="C35" i="14645"/>
  <c r="E63" i="14687"/>
  <c r="F1" i="14676"/>
  <c r="C77" i="14643"/>
  <c r="E1" i="14672"/>
  <c r="E54" i="14707"/>
  <c r="G6" i="14652"/>
  <c r="Q46" i="14678"/>
  <c r="R57" i="14678" s="1"/>
  <c r="R30" i="14678"/>
  <c r="B5" i="14637" l="1" a="1"/>
  <c r="K9" i="14637" s="1"/>
  <c r="I53" i="14653"/>
  <c r="K40" i="14653"/>
  <c r="H40" i="14653"/>
  <c r="N39" i="14653"/>
  <c r="I66" i="14653"/>
  <c r="I40" i="14653"/>
  <c r="M52" i="14653"/>
  <c r="M65" i="14653" s="1"/>
  <c r="M78" i="14653" s="1"/>
  <c r="B40" i="14653"/>
  <c r="N40" i="14653" s="1"/>
  <c r="D53" i="14653"/>
  <c r="K53" i="14653"/>
  <c r="C53" i="14653"/>
  <c r="N25" i="14636"/>
  <c r="N19" i="14629"/>
  <c r="E14" i="14652"/>
  <c r="G14" i="14652" s="1"/>
  <c r="G13" i="14652"/>
  <c r="E53" i="14653"/>
  <c r="F7" i="14652" a="1"/>
  <c r="C5" i="14682" a="1"/>
  <c r="N15" i="14629"/>
  <c r="D15" i="14617" s="1"/>
  <c r="G5" i="14690"/>
  <c r="D7" i="14682"/>
  <c r="D8" i="14682"/>
  <c r="D11" i="14682"/>
  <c r="M53" i="14653"/>
  <c r="G18" i="14692"/>
  <c r="F18" i="14692"/>
  <c r="B18" i="14692"/>
  <c r="H18" i="14692"/>
  <c r="D18" i="14692"/>
  <c r="C18" i="14692"/>
  <c r="E18" i="14692"/>
  <c r="D10" i="14682"/>
  <c r="D9" i="14682"/>
  <c r="E40" i="14652"/>
  <c r="E33" i="14652"/>
  <c r="E34" i="14652"/>
  <c r="E37" i="14652"/>
  <c r="E39" i="14652"/>
  <c r="E38" i="14652"/>
  <c r="E36" i="14652"/>
  <c r="E35" i="14652"/>
  <c r="E5" i="14690"/>
  <c r="H5" i="14690"/>
  <c r="D6" i="14682"/>
  <c r="H8" i="14667"/>
  <c r="J8" i="14667" s="1"/>
  <c r="D12" i="14682"/>
  <c r="H19" i="14652" a="1"/>
  <c r="C27" i="14623"/>
  <c r="C10" i="14631" s="1"/>
  <c r="H21" i="14706"/>
  <c r="J21" i="14706" s="1"/>
  <c r="L21" i="14706" s="1"/>
  <c r="N21" i="14706" s="1"/>
  <c r="B8" i="14710"/>
  <c r="L35" i="14634"/>
  <c r="L26" i="14703"/>
  <c r="I36" i="14634"/>
  <c r="N76" i="14653"/>
  <c r="M27" i="14698"/>
  <c r="J22" i="14698"/>
  <c r="F23" i="14698"/>
  <c r="F36" i="14634"/>
  <c r="K20" i="14698"/>
  <c r="H26" i="14698"/>
  <c r="J26" i="14698"/>
  <c r="H35" i="14634"/>
  <c r="M31" i="14634"/>
  <c r="C23" i="14698"/>
  <c r="C24" i="14698"/>
  <c r="B27" i="14698"/>
  <c r="D21" i="14698"/>
  <c r="F22" i="14698"/>
  <c r="I25" i="14698"/>
  <c r="E7" i="14632"/>
  <c r="G11" i="14632"/>
  <c r="J26" i="14703"/>
  <c r="L12" i="14632"/>
  <c r="D9" i="14632"/>
  <c r="L10" i="14632"/>
  <c r="M11" i="14632"/>
  <c r="S28" i="14623"/>
  <c r="I8" i="14632"/>
  <c r="M10" i="14632"/>
  <c r="G13" i="14632"/>
  <c r="H8" i="14632"/>
  <c r="H12" i="14632"/>
  <c r="C10" i="14632"/>
  <c r="F31" i="14634"/>
  <c r="H37" i="14634"/>
  <c r="N31" i="14634"/>
  <c r="C38" i="14634"/>
  <c r="M21" i="14698"/>
  <c r="M24" i="14698"/>
  <c r="E20" i="14698"/>
  <c r="D24" i="14698"/>
  <c r="G25" i="14698"/>
  <c r="K22" i="14698"/>
  <c r="B21" i="14698"/>
  <c r="H22" i="14698"/>
  <c r="F25" i="14698"/>
  <c r="E22" i="14698"/>
  <c r="H20" i="14698"/>
  <c r="D23" i="14698"/>
  <c r="B27" i="14703"/>
  <c r="F11" i="14632"/>
  <c r="F10" i="14632"/>
  <c r="C11" i="14632"/>
  <c r="M7" i="14632"/>
  <c r="F14" i="14632"/>
  <c r="G10" i="14632"/>
  <c r="J9" i="14632"/>
  <c r="M13" i="14632"/>
  <c r="H10" i="14632"/>
  <c r="G14" i="14632"/>
  <c r="M9" i="14632"/>
  <c r="E8" i="14632"/>
  <c r="C22" i="14632" a="1"/>
  <c r="C22" i="14632" s="1"/>
  <c r="H36" i="14634"/>
  <c r="M33" i="14634"/>
  <c r="F38" i="14634"/>
  <c r="J33" i="14634"/>
  <c r="L34" i="14634"/>
  <c r="G35" i="14634"/>
  <c r="E31" i="14634"/>
  <c r="L37" i="14634"/>
  <c r="I35" i="14634"/>
  <c r="J21" i="14698"/>
  <c r="K26" i="14698"/>
  <c r="F24" i="14698"/>
  <c r="K21" i="14698"/>
  <c r="K25" i="14698"/>
  <c r="D20" i="14698"/>
  <c r="B25" i="14698"/>
  <c r="H25" i="14698"/>
  <c r="G22" i="14698"/>
  <c r="F20" i="14698"/>
  <c r="E25" i="14698"/>
  <c r="G24" i="14698"/>
  <c r="G26" i="14698"/>
  <c r="H21" i="14698"/>
  <c r="M22" i="14698"/>
  <c r="C21" i="14698"/>
  <c r="L23" i="14698"/>
  <c r="I22" i="14698"/>
  <c r="B24" i="14698"/>
  <c r="M25" i="14698"/>
  <c r="F27" i="14698"/>
  <c r="L20" i="14698"/>
  <c r="L21" i="14698"/>
  <c r="H23" i="14698"/>
  <c r="B5" i="14631" a="1"/>
  <c r="H5" i="14631" s="1"/>
  <c r="H21" i="14710" s="1"/>
  <c r="L25" i="14703"/>
  <c r="J24" i="14703"/>
  <c r="I20" i="14703"/>
  <c r="R28" i="14623"/>
  <c r="C41" i="14628" a="1"/>
  <c r="F41" i="14628" s="1"/>
  <c r="N38" i="7"/>
  <c r="G32" i="14634"/>
  <c r="H32" i="14634"/>
  <c r="K31" i="14634"/>
  <c r="F34" i="14634"/>
  <c r="K37" i="14634"/>
  <c r="C37" i="14634"/>
  <c r="D34" i="14634"/>
  <c r="D32" i="14634"/>
  <c r="I32" i="14634"/>
  <c r="K35" i="14634"/>
  <c r="N34" i="14634"/>
  <c r="F37" i="14634"/>
  <c r="F35" i="14634"/>
  <c r="D35" i="14634"/>
  <c r="C31" i="14634"/>
  <c r="M34" i="14634"/>
  <c r="N38" i="14634"/>
  <c r="C22" i="14698"/>
  <c r="K23" i="14698"/>
  <c r="F26" i="14698"/>
  <c r="K27" i="14698"/>
  <c r="M23" i="14698"/>
  <c r="B20" i="14698"/>
  <c r="E21" i="14698"/>
  <c r="L25" i="14698"/>
  <c r="B23" i="14698"/>
  <c r="L26" i="14698"/>
  <c r="K24" i="14698"/>
  <c r="H27" i="14698"/>
  <c r="J24" i="14698"/>
  <c r="G21" i="14698"/>
  <c r="C25" i="14698"/>
  <c r="M26" i="14698"/>
  <c r="I20" i="14698"/>
  <c r="C27" i="14698"/>
  <c r="I23" i="14698"/>
  <c r="I26" i="14698"/>
  <c r="J27" i="14698"/>
  <c r="I27" i="14698"/>
  <c r="J23" i="14698"/>
  <c r="M20" i="14698"/>
  <c r="I21" i="14698"/>
  <c r="E27" i="14698"/>
  <c r="E26" i="14698"/>
  <c r="L22" i="14698"/>
  <c r="B22" i="14698"/>
  <c r="D26" i="14698"/>
  <c r="G27" i="14698"/>
  <c r="B26" i="14698"/>
  <c r="C26" i="14698"/>
  <c r="D27" i="14698"/>
  <c r="D22" i="14698"/>
  <c r="G20" i="14698"/>
  <c r="I24" i="14698"/>
  <c r="J25" i="14698"/>
  <c r="E23" i="14698"/>
  <c r="L24" i="14698"/>
  <c r="L27" i="14698"/>
  <c r="H24" i="14698"/>
  <c r="G23" i="14698"/>
  <c r="D25" i="14698"/>
  <c r="J20" i="14698"/>
  <c r="E24" i="14698"/>
  <c r="C20" i="14698"/>
  <c r="C25" i="14703"/>
  <c r="C24" i="14703"/>
  <c r="H24" i="14703"/>
  <c r="I23" i="14703"/>
  <c r="D26" i="14703"/>
  <c r="J21" i="14703"/>
  <c r="N32" i="7"/>
  <c r="B27" i="14683"/>
  <c r="F22" i="14708" s="1"/>
  <c r="I14" i="14632"/>
  <c r="G8" i="14632"/>
  <c r="L13" i="14632"/>
  <c r="B7" i="14632"/>
  <c r="D11" i="14632"/>
  <c r="M14" i="14632"/>
  <c r="L11" i="14632"/>
  <c r="L14" i="14632"/>
  <c r="K9" i="14632"/>
  <c r="L8" i="14632"/>
  <c r="B12" i="14632"/>
  <c r="B8" i="14632"/>
  <c r="K7" i="14632"/>
  <c r="H7" i="14632"/>
  <c r="E11" i="14632"/>
  <c r="I12" i="14632"/>
  <c r="D8" i="14632"/>
  <c r="D13" i="14632"/>
  <c r="E12" i="14632"/>
  <c r="G12" i="14632"/>
  <c r="C9" i="14632"/>
  <c r="J13" i="14632"/>
  <c r="K14" i="14632"/>
  <c r="M8" i="14632"/>
  <c r="G27" i="14703"/>
  <c r="G25" i="14703"/>
  <c r="E22" i="14703"/>
  <c r="M24" i="14703"/>
  <c r="G22" i="14703"/>
  <c r="M20" i="14703"/>
  <c r="C23" i="14703"/>
  <c r="J20" i="14703"/>
  <c r="C20" i="14703"/>
  <c r="L24" i="14703"/>
  <c r="B7" i="8" a="1"/>
  <c r="F7" i="8" s="1"/>
  <c r="E24" i="14632" a="1"/>
  <c r="E26" i="14632" s="1"/>
  <c r="B32" i="14630" a="1"/>
  <c r="E36" i="14630" s="1"/>
  <c r="F25" i="14632" a="1"/>
  <c r="F26" i="14632" s="1"/>
  <c r="N34" i="7"/>
  <c r="N37" i="7"/>
  <c r="E27" i="14623"/>
  <c r="E10" i="14631" s="1"/>
  <c r="J22" i="14703"/>
  <c r="H23" i="14703"/>
  <c r="H21" i="14703"/>
  <c r="E25" i="14703"/>
  <c r="D23" i="14703"/>
  <c r="D22" i="14703"/>
  <c r="M26" i="14703"/>
  <c r="E24" i="14703"/>
  <c r="G26" i="14703"/>
  <c r="L20" i="14703"/>
  <c r="I24" i="14703"/>
  <c r="M27" i="14703"/>
  <c r="B26" i="14703"/>
  <c r="I25" i="14703"/>
  <c r="K25" i="14703"/>
  <c r="C21" i="14703"/>
  <c r="L22" i="14703"/>
  <c r="L23" i="14703"/>
  <c r="D25" i="14703"/>
  <c r="B22" i="14703"/>
  <c r="I22" i="14703"/>
  <c r="J23" i="14703"/>
  <c r="C22" i="14703"/>
  <c r="K23" i="14703"/>
  <c r="B24" i="14703"/>
  <c r="C26" i="14703"/>
  <c r="H22" i="14703"/>
  <c r="I27" i="14703"/>
  <c r="F25" i="14703"/>
  <c r="M21" i="14703"/>
  <c r="G21" i="14703"/>
  <c r="H20" i="14703"/>
  <c r="G23" i="14703"/>
  <c r="H27" i="14703"/>
  <c r="E26" i="14703"/>
  <c r="B25" i="14703"/>
  <c r="L21" i="14703"/>
  <c r="B21" i="14703"/>
  <c r="B23" i="14703"/>
  <c r="I26" i="14703"/>
  <c r="F26" i="14703"/>
  <c r="L27" i="14703"/>
  <c r="K21" i="14703"/>
  <c r="K26" i="14703"/>
  <c r="F23" i="14703"/>
  <c r="D27" i="14703"/>
  <c r="K24" i="14703"/>
  <c r="M23" i="14703"/>
  <c r="I21" i="14703"/>
  <c r="I38" i="14634"/>
  <c r="M32" i="14634"/>
  <c r="K33" i="14634"/>
  <c r="E32" i="14634"/>
  <c r="F32" i="14634"/>
  <c r="K32" i="14634"/>
  <c r="I37" i="14634"/>
  <c r="D38" i="14634"/>
  <c r="D31" i="14634"/>
  <c r="J35" i="14634"/>
  <c r="D33" i="14634"/>
  <c r="C35" i="14634"/>
  <c r="G37" i="14634"/>
  <c r="J32" i="14634"/>
  <c r="J34" i="14634"/>
  <c r="C36" i="14634"/>
  <c r="G38" i="14634"/>
  <c r="M37" i="14634"/>
  <c r="G34" i="14634"/>
  <c r="N35" i="14634"/>
  <c r="N33" i="14634"/>
  <c r="G31" i="14634"/>
  <c r="M38" i="14634"/>
  <c r="E34" i="14634"/>
  <c r="N39" i="7"/>
  <c r="L38" i="14634"/>
  <c r="H33" i="14634"/>
  <c r="L33" i="14634"/>
  <c r="N37" i="14634"/>
  <c r="E36" i="14634"/>
  <c r="I31" i="14634"/>
  <c r="L31" i="14634"/>
  <c r="I33" i="14634"/>
  <c r="K38" i="14634"/>
  <c r="G36" i="14634"/>
  <c r="G33" i="14634"/>
  <c r="M35" i="14634"/>
  <c r="M36" i="14634"/>
  <c r="J38" i="14634"/>
  <c r="C33" i="14634"/>
  <c r="K34" i="14634"/>
  <c r="J36" i="14634"/>
  <c r="L36" i="14634"/>
  <c r="E38" i="14634"/>
  <c r="C34" i="14634"/>
  <c r="N32" i="14634"/>
  <c r="E35" i="14634"/>
  <c r="D37" i="14634"/>
  <c r="D36" i="14634"/>
  <c r="C32" i="14634"/>
  <c r="L32" i="14634"/>
  <c r="J31" i="14634"/>
  <c r="J37" i="14634"/>
  <c r="F33" i="14634"/>
  <c r="H34" i="14634"/>
  <c r="H38" i="14634"/>
  <c r="E37" i="14634"/>
  <c r="E33" i="14634"/>
  <c r="N36" i="14634"/>
  <c r="K36" i="14634"/>
  <c r="H31" i="14634"/>
  <c r="C53" i="14643" a="1"/>
  <c r="C53" i="14643" s="1"/>
  <c r="K20" i="14703"/>
  <c r="J25" i="14703"/>
  <c r="J27" i="14703"/>
  <c r="G20" i="14703"/>
  <c r="H25" i="14703"/>
  <c r="E23" i="14703"/>
  <c r="M25" i="14703"/>
  <c r="D20" i="14703"/>
  <c r="F22" i="14703"/>
  <c r="F21" i="14703"/>
  <c r="D21" i="14703"/>
  <c r="E21" i="14703"/>
  <c r="B20" i="14703"/>
  <c r="C27" i="14703"/>
  <c r="G24" i="14703"/>
  <c r="E20" i="14703"/>
  <c r="H26" i="14703"/>
  <c r="D24" i="14703"/>
  <c r="F20" i="14703"/>
  <c r="K27" i="14703"/>
  <c r="E27" i="14703"/>
  <c r="M22" i="14703"/>
  <c r="F27" i="14703"/>
  <c r="F24" i="14703"/>
  <c r="N18" i="14681"/>
  <c r="D23" i="14657" s="1"/>
  <c r="I27" i="14623"/>
  <c r="I10" i="14631" s="1"/>
  <c r="H27" i="14623"/>
  <c r="H10" i="14631" s="1"/>
  <c r="B21" i="14632" a="1"/>
  <c r="B24" i="14632" s="1"/>
  <c r="D27" i="14623"/>
  <c r="F27" i="14623"/>
  <c r="F10" i="14631" s="1"/>
  <c r="K27" i="14623"/>
  <c r="K10" i="14631" s="1"/>
  <c r="N36" i="7"/>
  <c r="C48" i="14643"/>
  <c r="D40" i="14643" s="1" a="1"/>
  <c r="Q28" i="14623"/>
  <c r="N15" i="14623"/>
  <c r="P28" i="14623"/>
  <c r="O19" i="14628"/>
  <c r="O28" i="14623"/>
  <c r="L27" i="14623"/>
  <c r="C19" i="14683" a="1"/>
  <c r="C26" i="14683" s="1"/>
  <c r="D11" i="14707" a="1"/>
  <c r="D17" i="14707" s="1"/>
  <c r="N25" i="14630"/>
  <c r="B40" i="14630" s="1" a="1"/>
  <c r="B40" i="14630" s="1"/>
  <c r="O39" i="14628"/>
  <c r="N33" i="7"/>
  <c r="N35" i="7"/>
  <c r="C24" i="14707" a="1"/>
  <c r="C26" i="14707" s="1"/>
  <c r="I10" i="14632"/>
  <c r="M12" i="14632"/>
  <c r="D14" i="14632"/>
  <c r="E10" i="14632"/>
  <c r="B10" i="14632"/>
  <c r="B11" i="14632"/>
  <c r="F13" i="14632"/>
  <c r="F8" i="14632"/>
  <c r="C7" i="14632"/>
  <c r="H9" i="14632"/>
  <c r="H14" i="14632"/>
  <c r="B9" i="14632"/>
  <c r="L9" i="14632"/>
  <c r="B13" i="14632"/>
  <c r="J11" i="14632"/>
  <c r="L7" i="14632"/>
  <c r="K11" i="14632"/>
  <c r="K10" i="14632"/>
  <c r="K13" i="14632"/>
  <c r="J12" i="14632"/>
  <c r="C12" i="14632"/>
  <c r="J10" i="14632"/>
  <c r="H11" i="14632"/>
  <c r="B14" i="14632"/>
  <c r="E14" i="14632"/>
  <c r="J8" i="14632"/>
  <c r="C14" i="14632"/>
  <c r="G9" i="14632"/>
  <c r="F12" i="14632"/>
  <c r="D12" i="14632"/>
  <c r="I11" i="14632"/>
  <c r="J7" i="14632"/>
  <c r="C8" i="14632"/>
  <c r="G7" i="14632"/>
  <c r="E13" i="14632"/>
  <c r="F7" i="14632"/>
  <c r="K12" i="14632"/>
  <c r="K8" i="14632"/>
  <c r="C13" i="14632"/>
  <c r="I7" i="14632"/>
  <c r="E9" i="14632"/>
  <c r="J14" i="14632"/>
  <c r="D10" i="14632"/>
  <c r="F9" i="14632"/>
  <c r="H13" i="14632"/>
  <c r="I13" i="14632"/>
  <c r="D7" i="14632"/>
  <c r="D23" i="14632" a="1"/>
  <c r="D23" i="14632" s="1"/>
  <c r="M27" i="14623"/>
  <c r="N28" i="14623"/>
  <c r="B32" i="14707"/>
  <c r="N5" i="8"/>
  <c r="B5" i="14617" s="1" a="1"/>
  <c r="B6" i="14617" s="1"/>
  <c r="J27" i="14623"/>
  <c r="J10" i="14631" s="1"/>
  <c r="G27" i="14623"/>
  <c r="G10" i="14631" s="1"/>
  <c r="D6" i="14683" a="1"/>
  <c r="D9" i="14683" s="1"/>
  <c r="E9" i="14682"/>
  <c r="E5" i="14682"/>
  <c r="E8" i="14682"/>
  <c r="E10" i="14682"/>
  <c r="E7" i="14682"/>
  <c r="E6" i="14682"/>
  <c r="E12" i="14682"/>
  <c r="E11" i="14682"/>
  <c r="L23" i="14695"/>
  <c r="I44" i="14695"/>
  <c r="J51" i="14695"/>
  <c r="B58" i="14695"/>
  <c r="F44" i="14695"/>
  <c r="D30" i="14695"/>
  <c r="M30" i="14695"/>
  <c r="L51" i="14695"/>
  <c r="K30" i="14695"/>
  <c r="L30" i="14695"/>
  <c r="H37" i="14695"/>
  <c r="E30" i="14695"/>
  <c r="I30" i="14695"/>
  <c r="B43" i="14695" a="1"/>
  <c r="B22" i="14695" a="1"/>
  <c r="I23" i="14695"/>
  <c r="C37" i="14695"/>
  <c r="F58" i="14695"/>
  <c r="D44" i="14695"/>
  <c r="F23" i="14695"/>
  <c r="J37" i="14695"/>
  <c r="F30" i="14695"/>
  <c r="B37" i="14695"/>
  <c r="F37" i="14695"/>
  <c r="J58" i="14695"/>
  <c r="E37" i="14695"/>
  <c r="G58" i="14695"/>
  <c r="J44" i="14695"/>
  <c r="B57" i="14695" a="1"/>
  <c r="B50" i="14695" a="1"/>
  <c r="E23" i="14695"/>
  <c r="D51" i="14695"/>
  <c r="M51" i="14695"/>
  <c r="F51" i="14695"/>
  <c r="B23" i="14695"/>
  <c r="G30" i="14695"/>
  <c r="D58" i="14695"/>
  <c r="B51" i="14695"/>
  <c r="G51" i="14695"/>
  <c r="H23" i="14695"/>
  <c r="M23" i="14695"/>
  <c r="I37" i="14695"/>
  <c r="K44" i="14695"/>
  <c r="H51" i="14695"/>
  <c r="L37" i="14695"/>
  <c r="J30" i="14695"/>
  <c r="L44" i="14695"/>
  <c r="C51" i="14695"/>
  <c r="C44" i="14695"/>
  <c r="M44" i="14695"/>
  <c r="B30" i="14695"/>
  <c r="E58" i="14695"/>
  <c r="I58" i="14695"/>
  <c r="K23" i="14695"/>
  <c r="C58" i="14695"/>
  <c r="K37" i="14695"/>
  <c r="M37" i="14695"/>
  <c r="D23" i="14695"/>
  <c r="B44" i="14695"/>
  <c r="E44" i="14695"/>
  <c r="J23" i="14695"/>
  <c r="G44" i="14695"/>
  <c r="B29" i="14695" a="1"/>
  <c r="C23" i="14695"/>
  <c r="H58" i="14695"/>
  <c r="I51" i="14695"/>
  <c r="K51" i="14695"/>
  <c r="E51" i="14695"/>
  <c r="K58" i="14695"/>
  <c r="H44" i="14695"/>
  <c r="H30" i="14695"/>
  <c r="C30" i="14695"/>
  <c r="G23" i="14695"/>
  <c r="G37" i="14695"/>
  <c r="M58" i="14695"/>
  <c r="L58" i="14695"/>
  <c r="D37" i="14695"/>
  <c r="B36" i="14695" a="1"/>
  <c r="L62" i="14694"/>
  <c r="D30" i="14694"/>
  <c r="C30" i="14694"/>
  <c r="F30" i="14694"/>
  <c r="I30" i="14694"/>
  <c r="J30" i="14694"/>
  <c r="E30" i="14694"/>
  <c r="K30" i="14694"/>
  <c r="M30" i="14694"/>
  <c r="L30" i="14694"/>
  <c r="G30" i="14694"/>
  <c r="B30" i="14694"/>
  <c r="H30" i="14694"/>
  <c r="D23" i="14694"/>
  <c r="J23" i="14694"/>
  <c r="F23" i="14694"/>
  <c r="C23" i="14694"/>
  <c r="H23" i="14694"/>
  <c r="L23" i="14694"/>
  <c r="E23" i="14694"/>
  <c r="G23" i="14694"/>
  <c r="I23" i="14694"/>
  <c r="M23" i="14694"/>
  <c r="K23" i="14694"/>
  <c r="B23" i="14694"/>
  <c r="M31" i="14694"/>
  <c r="B39" i="14694"/>
  <c r="G31" i="14694"/>
  <c r="H62" i="14694"/>
  <c r="G55" i="14694"/>
  <c r="E62" i="14694"/>
  <c r="E31" i="14694"/>
  <c r="G47" i="14694"/>
  <c r="F39" i="14694"/>
  <c r="C55" i="14694"/>
  <c r="I55" i="14694"/>
  <c r="D31" i="14694"/>
  <c r="L55" i="14694"/>
  <c r="M39" i="14694"/>
  <c r="H47" i="14694"/>
  <c r="I62" i="14694"/>
  <c r="K39" i="14694"/>
  <c r="B29" i="14694" a="1"/>
  <c r="D62" i="14694"/>
  <c r="K55" i="14694"/>
  <c r="K62" i="14694"/>
  <c r="I47" i="14694"/>
  <c r="J31" i="14694"/>
  <c r="L47" i="14694"/>
  <c r="I31" i="14694"/>
  <c r="D55" i="14694"/>
  <c r="H31" i="14694"/>
  <c r="F55" i="14694"/>
  <c r="D47" i="14694"/>
  <c r="B47" i="14694"/>
  <c r="K31" i="14694"/>
  <c r="J55" i="14694"/>
  <c r="G62" i="14694"/>
  <c r="D39" i="14694"/>
  <c r="J39" i="14694"/>
  <c r="M55" i="14694"/>
  <c r="G39" i="14694"/>
  <c r="I39" i="14694"/>
  <c r="B31" i="14694"/>
  <c r="F31" i="14694"/>
  <c r="K47" i="14694"/>
  <c r="B61" i="14694" a="1"/>
  <c r="E39" i="14694"/>
  <c r="H55" i="14694"/>
  <c r="J47" i="14694"/>
  <c r="C31" i="14694"/>
  <c r="H39" i="14694"/>
  <c r="B45" i="14694" a="1"/>
  <c r="M62" i="14694"/>
  <c r="L39" i="14694"/>
  <c r="C62" i="14694"/>
  <c r="C47" i="14694"/>
  <c r="L31" i="14694"/>
  <c r="C39" i="14694"/>
  <c r="F47" i="14694"/>
  <c r="E47" i="14694"/>
  <c r="M47" i="14694"/>
  <c r="B55" i="14694"/>
  <c r="B53" i="14694" a="1"/>
  <c r="F62" i="14694"/>
  <c r="B62" i="14694"/>
  <c r="J62" i="14694"/>
  <c r="B22" i="14694" a="1"/>
  <c r="B37" i="14694" a="1"/>
  <c r="F38" i="14694"/>
  <c r="J38" i="14694"/>
  <c r="I38" i="14694"/>
  <c r="L38" i="14694"/>
  <c r="C38" i="14694"/>
  <c r="M38" i="14694"/>
  <c r="H38" i="14694"/>
  <c r="G38" i="14694"/>
  <c r="D38" i="14694"/>
  <c r="K38" i="14694"/>
  <c r="E38" i="14694"/>
  <c r="B38" i="14694"/>
  <c r="N25" i="14672"/>
  <c r="C54" i="14694"/>
  <c r="J54" i="14694"/>
  <c r="I54" i="14694"/>
  <c r="H54" i="14694"/>
  <c r="L54" i="14694"/>
  <c r="B54" i="14694"/>
  <c r="G54" i="14694"/>
  <c r="D54" i="14694"/>
  <c r="F54" i="14694"/>
  <c r="K54" i="14694"/>
  <c r="E54" i="14694"/>
  <c r="M54" i="14694"/>
  <c r="E55" i="14694"/>
  <c r="F46" i="14694"/>
  <c r="G46" i="14694"/>
  <c r="L46" i="14694"/>
  <c r="C46" i="14694"/>
  <c r="I46" i="14694"/>
  <c r="B46" i="14694"/>
  <c r="E46" i="14694"/>
  <c r="D46" i="14694"/>
  <c r="K46" i="14694"/>
  <c r="H46" i="14694"/>
  <c r="J46" i="14694"/>
  <c r="M46" i="14694"/>
  <c r="I76" i="14665"/>
  <c r="N40" i="7"/>
  <c r="L8" i="14667"/>
  <c r="N8" i="14667" s="1"/>
  <c r="G15" i="14617"/>
  <c r="D79" i="14653"/>
  <c r="D66" i="14653"/>
  <c r="M66" i="14653"/>
  <c r="K79" i="14653"/>
  <c r="K66" i="14653"/>
  <c r="F79" i="14653"/>
  <c r="F66" i="14653"/>
  <c r="C21" i="14682"/>
  <c r="C22" i="14682"/>
  <c r="C45" i="14706"/>
  <c r="B49" i="14706"/>
  <c r="C79" i="14653"/>
  <c r="C66" i="14653"/>
  <c r="E79" i="14653"/>
  <c r="E66" i="14653"/>
  <c r="H53" i="14653"/>
  <c r="B5" i="14668" a="1"/>
  <c r="E23" i="14682"/>
  <c r="D41" i="14661"/>
  <c r="F41" i="14661"/>
  <c r="B22" i="14640" s="1" a="1"/>
  <c r="E41" i="14661"/>
  <c r="B22" i="14631" s="1" a="1"/>
  <c r="H41" i="14661"/>
  <c r="B22" i="14671" s="1" a="1"/>
  <c r="G41" i="14661"/>
  <c r="B22" i="14670" s="1" a="1"/>
  <c r="F11" i="14682"/>
  <c r="F9" i="14682"/>
  <c r="F10" i="14682"/>
  <c r="F12" i="14682"/>
  <c r="F5" i="14682"/>
  <c r="F7" i="14682"/>
  <c r="F6" i="14682"/>
  <c r="F8" i="14682"/>
  <c r="N25" i="14673"/>
  <c r="F21" i="14682" a="1"/>
  <c r="B82" i="14689"/>
  <c r="B86" i="14689" s="1"/>
  <c r="D33" i="14705"/>
  <c r="H34" i="14705" s="1"/>
  <c r="G34" i="14705" s="1"/>
  <c r="C44" i="14667"/>
  <c r="B48" i="14667"/>
  <c r="D21" i="14682"/>
  <c r="D22" i="14682"/>
  <c r="N52" i="14653"/>
  <c r="N64" i="14653"/>
  <c r="G44" i="14701"/>
  <c r="G18" i="14701"/>
  <c r="G57" i="14701"/>
  <c r="D31" i="14652"/>
  <c r="G44" i="14698"/>
  <c r="G18" i="14698"/>
  <c r="G57" i="14698"/>
  <c r="C32" i="14683"/>
  <c r="C47" i="14683"/>
  <c r="C17" i="14683"/>
  <c r="C69" i="14645"/>
  <c r="A71" i="14645" s="1"/>
  <c r="A17" i="14645"/>
  <c r="C22" i="14707"/>
  <c r="C136" i="14707"/>
  <c r="I17" i="14683"/>
  <c r="I32" i="14683"/>
  <c r="I47" i="14683"/>
  <c r="A51" i="14692"/>
  <c r="A50" i="14694"/>
  <c r="A47" i="14695"/>
  <c r="M18" i="14708"/>
  <c r="M29" i="14708"/>
  <c r="C79" i="14645"/>
  <c r="A81" i="14645" s="1"/>
  <c r="A27" i="14645"/>
  <c r="E22" i="14707"/>
  <c r="E136" i="14707"/>
  <c r="E17" i="14683"/>
  <c r="E47" i="14683"/>
  <c r="E32" i="14683"/>
  <c r="A35" i="14692"/>
  <c r="A34" i="14694"/>
  <c r="A33" i="14695"/>
  <c r="F31" i="14652"/>
  <c r="E18" i="14652"/>
  <c r="H31" i="14652"/>
  <c r="G18" i="14652"/>
  <c r="C89" i="14645"/>
  <c r="A91" i="14645" s="1"/>
  <c r="A37" i="14645"/>
  <c r="A40" i="14695"/>
  <c r="A43" i="14692"/>
  <c r="A42" i="14694"/>
  <c r="G32" i="14683"/>
  <c r="G17" i="14683"/>
  <c r="G47" i="14683"/>
  <c r="G22" i="14707"/>
  <c r="G136" i="14707"/>
  <c r="K29" i="14708"/>
  <c r="K18" i="14708"/>
  <c r="A21" i="14647"/>
  <c r="A70" i="14647"/>
  <c r="A26" i="14694"/>
  <c r="A26" i="14695"/>
  <c r="A27" i="14692"/>
  <c r="G29" i="14708"/>
  <c r="G18" i="14708"/>
  <c r="C99" i="14645"/>
  <c r="A101" i="14645" s="1"/>
  <c r="A48" i="14645"/>
  <c r="I18" i="14652"/>
  <c r="J31" i="14652"/>
  <c r="G44" i="14702"/>
  <c r="G57" i="14702"/>
  <c r="G18" i="14702"/>
  <c r="I22" i="14707"/>
  <c r="I136" i="14707"/>
  <c r="G18" i="14704"/>
  <c r="G44" i="14704"/>
  <c r="G57" i="14704"/>
  <c r="G18" i="14700"/>
  <c r="G57" i="14700"/>
  <c r="G44" i="14700"/>
  <c r="I18" i="14708"/>
  <c r="I29" i="14708"/>
  <c r="B10" i="14631"/>
  <c r="F12" i="14637" l="1"/>
  <c r="F8" i="14637"/>
  <c r="H5" i="14637"/>
  <c r="F11" i="14637"/>
  <c r="B9" i="14637"/>
  <c r="E10" i="14637"/>
  <c r="H11" i="14637"/>
  <c r="F7" i="14637"/>
  <c r="F9" i="14637"/>
  <c r="I10" i="14637"/>
  <c r="B5" i="14637"/>
  <c r="L6" i="14637"/>
  <c r="D5" i="14637"/>
  <c r="K5" i="14637"/>
  <c r="G8" i="14637"/>
  <c r="F6" i="14637"/>
  <c r="K7" i="14637"/>
  <c r="H9" i="14637"/>
  <c r="I9" i="14637"/>
  <c r="M7" i="14637"/>
  <c r="E7" i="14637"/>
  <c r="I6" i="14637"/>
  <c r="M12" i="14637"/>
  <c r="C10" i="14637"/>
  <c r="J12" i="14637"/>
  <c r="H12" i="14637"/>
  <c r="H6" i="14637"/>
  <c r="L12" i="14637"/>
  <c r="F5" i="14637"/>
  <c r="K12" i="14637"/>
  <c r="B10" i="14637"/>
  <c r="D12" i="14637"/>
  <c r="J8" i="14637"/>
  <c r="C11" i="14637"/>
  <c r="J7" i="14637"/>
  <c r="E9" i="14637"/>
  <c r="H10" i="14637"/>
  <c r="D8" i="14637"/>
  <c r="L7" i="14637"/>
  <c r="G6" i="14637"/>
  <c r="M5" i="14637"/>
  <c r="L5" i="14637"/>
  <c r="C9" i="14637"/>
  <c r="B8" i="14637"/>
  <c r="C6" i="14637"/>
  <c r="L10" i="14637"/>
  <c r="B6" i="14637"/>
  <c r="I12" i="14637"/>
  <c r="M10" i="14637"/>
  <c r="I8" i="14637"/>
  <c r="C12" i="14637"/>
  <c r="G5" i="14637"/>
  <c r="B12" i="14637"/>
  <c r="C8" i="14637"/>
  <c r="G10" i="14637"/>
  <c r="B11" i="14637"/>
  <c r="B7" i="14637"/>
  <c r="G11" i="14637"/>
  <c r="I5" i="14637"/>
  <c r="I7" i="14637"/>
  <c r="I11" i="14637"/>
  <c r="E12" i="14637"/>
  <c r="J9" i="14637"/>
  <c r="C5" i="14637"/>
  <c r="D7" i="14637"/>
  <c r="D9" i="14637"/>
  <c r="J5" i="14637"/>
  <c r="G9" i="14637"/>
  <c r="G12" i="14637"/>
  <c r="M9" i="14637"/>
  <c r="L11" i="14637"/>
  <c r="M8" i="14637"/>
  <c r="E11" i="14637"/>
  <c r="J6" i="14637"/>
  <c r="D10" i="14637"/>
  <c r="D11" i="14637"/>
  <c r="L8" i="14637"/>
  <c r="J11" i="14637"/>
  <c r="D6" i="14637"/>
  <c r="C7" i="14637"/>
  <c r="M11" i="14637"/>
  <c r="E6" i="14637"/>
  <c r="K11" i="14637"/>
  <c r="H8" i="14637"/>
  <c r="K8" i="14637"/>
  <c r="M6" i="14637"/>
  <c r="K6" i="14637"/>
  <c r="H7" i="14637"/>
  <c r="J10" i="14637"/>
  <c r="E8" i="14637"/>
  <c r="G7" i="14637"/>
  <c r="K10" i="14637"/>
  <c r="E5" i="14637"/>
  <c r="L9" i="14637"/>
  <c r="F10" i="14637"/>
  <c r="N53" i="14653"/>
  <c r="C10" i="14682"/>
  <c r="C8" i="14682"/>
  <c r="C7" i="14682"/>
  <c r="C11" i="14682"/>
  <c r="C9" i="14682"/>
  <c r="C5" i="14682"/>
  <c r="C12" i="14682"/>
  <c r="C6" i="14682"/>
  <c r="F9" i="14652"/>
  <c r="F13" i="14652"/>
  <c r="F12" i="14652"/>
  <c r="F7" i="14652"/>
  <c r="F11" i="14652"/>
  <c r="F8" i="14652"/>
  <c r="F14" i="14652"/>
  <c r="F10" i="14652"/>
  <c r="C23" i="14682"/>
  <c r="D13" i="14682"/>
  <c r="S30" i="14623"/>
  <c r="F16" i="14667" s="1"/>
  <c r="H19" i="14652"/>
  <c r="H20" i="14652"/>
  <c r="H23" i="14652"/>
  <c r="H26" i="14652"/>
  <c r="H21" i="14652"/>
  <c r="H24" i="14652"/>
  <c r="H25" i="14652"/>
  <c r="H22" i="14652"/>
  <c r="K31" i="14692"/>
  <c r="E31" i="14692"/>
  <c r="I31" i="14692"/>
  <c r="H31" i="14692"/>
  <c r="F31" i="14692"/>
  <c r="D31" i="14692"/>
  <c r="M31" i="14692"/>
  <c r="B31" i="14692"/>
  <c r="C31" i="14692"/>
  <c r="L31" i="14692"/>
  <c r="G31" i="14692"/>
  <c r="J31" i="14692"/>
  <c r="F24" i="14692"/>
  <c r="E40" i="14692"/>
  <c r="H32" i="14692"/>
  <c r="I24" i="14692"/>
  <c r="H56" i="14692"/>
  <c r="M40" i="14692"/>
  <c r="F63" i="14692"/>
  <c r="L24" i="14692"/>
  <c r="G24" i="14692"/>
  <c r="B54" i="14692" a="1"/>
  <c r="L56" i="14692"/>
  <c r="F48" i="14692"/>
  <c r="D48" i="14692"/>
  <c r="B62" i="14692" a="1"/>
  <c r="F32" i="14692"/>
  <c r="C24" i="14692"/>
  <c r="M48" i="14692"/>
  <c r="C63" i="14692"/>
  <c r="F40" i="14692"/>
  <c r="I48" i="14692"/>
  <c r="J63" i="14692"/>
  <c r="H63" i="14692"/>
  <c r="K40" i="14692"/>
  <c r="D24" i="14692"/>
  <c r="H48" i="14692"/>
  <c r="L40" i="14692"/>
  <c r="E56" i="14692"/>
  <c r="C40" i="14692"/>
  <c r="D56" i="14692"/>
  <c r="L32" i="14692"/>
  <c r="M32" i="14692"/>
  <c r="B40" i="14692"/>
  <c r="H40" i="14692"/>
  <c r="H24" i="14692"/>
  <c r="K48" i="14692"/>
  <c r="I40" i="14692"/>
  <c r="D63" i="14692"/>
  <c r="K24" i="14692"/>
  <c r="D32" i="14692"/>
  <c r="D40" i="14692"/>
  <c r="B23" i="14692" a="1"/>
  <c r="K63" i="14692"/>
  <c r="B24" i="14692"/>
  <c r="M56" i="14692"/>
  <c r="C32" i="14692"/>
  <c r="E48" i="14692"/>
  <c r="B30" i="14692" a="1"/>
  <c r="G56" i="14692"/>
  <c r="K32" i="14692"/>
  <c r="B46" i="14692" a="1"/>
  <c r="B63" i="14692"/>
  <c r="B32" i="14692"/>
  <c r="J48" i="14692"/>
  <c r="B48" i="14692"/>
  <c r="F56" i="14692"/>
  <c r="J24" i="14692"/>
  <c r="J32" i="14692"/>
  <c r="E63" i="14692"/>
  <c r="G40" i="14692"/>
  <c r="L63" i="14692"/>
  <c r="G63" i="14692"/>
  <c r="B38" i="14692" a="1"/>
  <c r="G32" i="14692"/>
  <c r="I32" i="14692"/>
  <c r="K56" i="14692"/>
  <c r="I63" i="14692"/>
  <c r="I56" i="14692"/>
  <c r="E32" i="14692"/>
  <c r="M24" i="14692"/>
  <c r="B56" i="14692"/>
  <c r="J40" i="14692"/>
  <c r="E24" i="14692"/>
  <c r="M63" i="14692"/>
  <c r="J56" i="14692"/>
  <c r="L48" i="14692"/>
  <c r="G48" i="14692"/>
  <c r="C56" i="14692"/>
  <c r="C48" i="14692"/>
  <c r="C39" i="14692"/>
  <c r="M39" i="14692"/>
  <c r="G39" i="14692"/>
  <c r="E39" i="14692"/>
  <c r="F39" i="14692"/>
  <c r="I39" i="14692"/>
  <c r="H39" i="14692"/>
  <c r="D39" i="14692"/>
  <c r="L39" i="14692"/>
  <c r="B39" i="14692"/>
  <c r="J39" i="14692"/>
  <c r="K39" i="14692"/>
  <c r="J47" i="14692"/>
  <c r="D47" i="14692"/>
  <c r="G47" i="14692"/>
  <c r="I47" i="14692"/>
  <c r="M47" i="14692"/>
  <c r="E47" i="14692"/>
  <c r="H47" i="14692"/>
  <c r="C47" i="14692"/>
  <c r="B47" i="14692"/>
  <c r="F47" i="14692"/>
  <c r="K47" i="14692"/>
  <c r="L47" i="14692"/>
  <c r="F55" i="14692"/>
  <c r="G55" i="14692"/>
  <c r="H55" i="14692"/>
  <c r="K55" i="14692"/>
  <c r="I55" i="14692"/>
  <c r="J55" i="14692"/>
  <c r="B55" i="14692"/>
  <c r="C55" i="14692"/>
  <c r="D55" i="14692"/>
  <c r="L55" i="14692"/>
  <c r="E55" i="14692"/>
  <c r="M55" i="14692"/>
  <c r="C28" i="14623"/>
  <c r="N30" i="14694"/>
  <c r="C16" i="14657" a="1"/>
  <c r="N38" i="14694"/>
  <c r="G38" i="14630"/>
  <c r="D9" i="14657"/>
  <c r="C8" i="14710" s="1"/>
  <c r="C26" i="14632"/>
  <c r="N77" i="14653"/>
  <c r="F227" i="14698" a="1"/>
  <c r="K227" i="14698" s="1"/>
  <c r="C7" i="8"/>
  <c r="E34" i="14630"/>
  <c r="C5" i="14631"/>
  <c r="C21" i="14710" s="1"/>
  <c r="D7" i="8"/>
  <c r="D41" i="14628"/>
  <c r="I35" i="14630"/>
  <c r="G118" i="14698" a="1"/>
  <c r="J118" i="14698" s="1"/>
  <c r="G83" i="14698" a="1"/>
  <c r="G83" i="14698" s="1"/>
  <c r="C21" i="14683"/>
  <c r="B25" i="14632"/>
  <c r="F5" i="14631"/>
  <c r="F21" i="14710" s="1"/>
  <c r="P78" i="14698" a="1"/>
  <c r="P78" i="14698" s="1"/>
  <c r="P80" i="14698" a="1"/>
  <c r="P80" i="14698" s="1"/>
  <c r="U72" i="14698" a="1"/>
  <c r="U72" i="14698" s="1"/>
  <c r="H7" i="8"/>
  <c r="I41" i="14628"/>
  <c r="I36" i="14630"/>
  <c r="J34" i="14630"/>
  <c r="H35" i="14630"/>
  <c r="L113" i="14698" a="1"/>
  <c r="O113" i="14698" s="1"/>
  <c r="M81" i="14698" a="1"/>
  <c r="M81" i="14698" s="1"/>
  <c r="J78" i="14698" a="1"/>
  <c r="J78" i="14698" s="1"/>
  <c r="D229" i="14698" a="1"/>
  <c r="K229" i="14698" s="1"/>
  <c r="N13" i="14632"/>
  <c r="G190" i="14698" a="1"/>
  <c r="R190" i="14698" s="1"/>
  <c r="I83" i="14698" a="1"/>
  <c r="I83" i="14698" s="1"/>
  <c r="M166" i="14703" a="1"/>
  <c r="D157" i="14698" a="1"/>
  <c r="J157" i="14698" s="1"/>
  <c r="L81" i="14698" a="1"/>
  <c r="L81" i="14698" s="1"/>
  <c r="C176" i="14698" a="1"/>
  <c r="K176" i="14698" s="1"/>
  <c r="D139" i="14698" a="1"/>
  <c r="K139" i="14698" s="1"/>
  <c r="U75" i="14698" a="1"/>
  <c r="U75" i="14698" s="1"/>
  <c r="M84" i="14698" a="1"/>
  <c r="M84" i="14698" s="1"/>
  <c r="O76" i="14698" a="1"/>
  <c r="O76" i="14698" s="1"/>
  <c r="G28" i="14623"/>
  <c r="G5" i="14631"/>
  <c r="G21" i="14710" s="1"/>
  <c r="L75" i="14698" a="1"/>
  <c r="L75" i="14698" s="1"/>
  <c r="N77" i="14698" a="1"/>
  <c r="N77" i="14698" s="1"/>
  <c r="W74" i="14698" a="1"/>
  <c r="W74" i="14698" s="1"/>
  <c r="B177" i="14698" a="1"/>
  <c r="L177" i="14698" s="1"/>
  <c r="F80" i="14698" a="1"/>
  <c r="F80" i="14698" s="1"/>
  <c r="C30" i="14707"/>
  <c r="C25" i="14632"/>
  <c r="F7" i="14708"/>
  <c r="C60" i="14643"/>
  <c r="B23" i="14632"/>
  <c r="B21" i="14632"/>
  <c r="B5" i="14617"/>
  <c r="K5" i="14631"/>
  <c r="K21" i="14710" s="1"/>
  <c r="B5" i="14631"/>
  <c r="B21" i="14710" s="1"/>
  <c r="D5" i="14631"/>
  <c r="D21" i="14710" s="1"/>
  <c r="F28" i="14623"/>
  <c r="C24" i="14683"/>
  <c r="C24" i="14707"/>
  <c r="C23" i="14632"/>
  <c r="C24" i="14632"/>
  <c r="E25" i="14632"/>
  <c r="G25" i="14632" a="1"/>
  <c r="G25" i="14632" s="1"/>
  <c r="H19" i="14634" a="1"/>
  <c r="H19" i="14634" s="1"/>
  <c r="O37" i="14634"/>
  <c r="H189" i="14698" a="1"/>
  <c r="R189" i="14698" s="1"/>
  <c r="D211" i="14698" a="1"/>
  <c r="L211" i="14698" s="1"/>
  <c r="J84" i="14698" a="1"/>
  <c r="J84" i="14698" s="1"/>
  <c r="Q74" i="14698" a="1"/>
  <c r="Q74" i="14698" s="1"/>
  <c r="C230" i="14698" a="1"/>
  <c r="K230" i="14698" s="1"/>
  <c r="P81" i="14698" a="1"/>
  <c r="P81" i="14698" s="1"/>
  <c r="O34" i="14634"/>
  <c r="I242" i="14698" a="1"/>
  <c r="N242" i="14698" s="1"/>
  <c r="C122" i="14698" a="1"/>
  <c r="H122" i="14698" s="1"/>
  <c r="N165" i="14698" a="1"/>
  <c r="N165" i="14698" s="1"/>
  <c r="O81" i="14698" a="1"/>
  <c r="O81" i="14698" s="1"/>
  <c r="N79" i="14698" a="1"/>
  <c r="N79" i="14698" s="1"/>
  <c r="O72" i="14698" a="1"/>
  <c r="O72" i="14698" s="1"/>
  <c r="L25" i="14632" a="1"/>
  <c r="L25" i="14632" s="1"/>
  <c r="Q24" i="14632" a="1"/>
  <c r="Q24" i="14632" s="1"/>
  <c r="O77" i="14698" a="1"/>
  <c r="O77" i="14698" s="1"/>
  <c r="M76" i="14698" a="1"/>
  <c r="M76" i="14698" s="1"/>
  <c r="C19" i="14634" a="1"/>
  <c r="C19" i="14634" s="1"/>
  <c r="H33" i="14630"/>
  <c r="G36" i="14630"/>
  <c r="F37" i="14630"/>
  <c r="B32" i="14630"/>
  <c r="J35" i="14630"/>
  <c r="D35" i="14630"/>
  <c r="M28" i="14623"/>
  <c r="J77" i="14698" a="1"/>
  <c r="J77" i="14698" s="1"/>
  <c r="V72" i="14698" a="1"/>
  <c r="V72" i="14698" s="1"/>
  <c r="S75" i="14698" a="1"/>
  <c r="S75" i="14698" s="1"/>
  <c r="G28" i="14698"/>
  <c r="E228" i="14698" a="1"/>
  <c r="N219" i="14698" a="1"/>
  <c r="Q219" i="14698" s="1"/>
  <c r="C158" i="14698" a="1"/>
  <c r="N147" i="14698" a="1"/>
  <c r="W147" i="14698" s="1"/>
  <c r="R79" i="14698" a="1"/>
  <c r="R79" i="14698" s="1"/>
  <c r="U76" i="14698" a="1"/>
  <c r="U76" i="14698" s="1"/>
  <c r="N23" i="14698"/>
  <c r="M73" i="14698" a="1"/>
  <c r="M73" i="14698" s="1"/>
  <c r="N111" i="14698" a="1"/>
  <c r="U111" i="14698" s="1"/>
  <c r="D121" i="14698" a="1"/>
  <c r="M121" i="14698" s="1"/>
  <c r="K28" i="14623"/>
  <c r="M7" i="8"/>
  <c r="J7" i="8"/>
  <c r="I7" i="8"/>
  <c r="N82" i="14698" a="1"/>
  <c r="N82" i="14698" s="1"/>
  <c r="R74" i="14698" a="1"/>
  <c r="R74" i="14698" s="1"/>
  <c r="K36" i="14630"/>
  <c r="L38" i="14630"/>
  <c r="H39" i="14630"/>
  <c r="K37" i="14630"/>
  <c r="L32" i="14630"/>
  <c r="K38" i="14630"/>
  <c r="F38" i="14630"/>
  <c r="E38" i="14630"/>
  <c r="F36" i="14630"/>
  <c r="E39" i="14630"/>
  <c r="G33" i="14630"/>
  <c r="I26" i="14632" a="1"/>
  <c r="I26" i="14632" s="1"/>
  <c r="I15" i="14632"/>
  <c r="I19" i="14634" a="1"/>
  <c r="I19" i="14634" s="1"/>
  <c r="J19" i="14634" a="1"/>
  <c r="J19" i="14634" s="1"/>
  <c r="L79" i="14703" a="1"/>
  <c r="L79" i="14703" s="1"/>
  <c r="M22" i="14632" a="1"/>
  <c r="M22" i="14632" s="1"/>
  <c r="C83" i="14698" a="1"/>
  <c r="C83" i="14698" s="1"/>
  <c r="F173" i="14698" a="1"/>
  <c r="N173" i="14698" s="1"/>
  <c r="T76" i="14698" a="1"/>
  <c r="T76" i="14698" s="1"/>
  <c r="R75" i="14698" a="1"/>
  <c r="R75" i="14698" s="1"/>
  <c r="G80" i="14698" a="1"/>
  <c r="G80" i="14698" s="1"/>
  <c r="K24" i="14632" a="1"/>
  <c r="K24" i="14632" s="1"/>
  <c r="P23" i="14632" a="1"/>
  <c r="P23" i="14632" s="1"/>
  <c r="I83" i="14703" a="1"/>
  <c r="I83" i="14703" s="1"/>
  <c r="M34" i="14630"/>
  <c r="I34" i="14630"/>
  <c r="C35" i="14630"/>
  <c r="E37" i="14630"/>
  <c r="D38" i="14630"/>
  <c r="J37" i="14630"/>
  <c r="J39" i="14630"/>
  <c r="L39" i="14630"/>
  <c r="F32" i="14630"/>
  <c r="K32" i="14630"/>
  <c r="F34" i="14630"/>
  <c r="M38" i="14630"/>
  <c r="G35" i="14630"/>
  <c r="D33" i="14630"/>
  <c r="K35" i="14630"/>
  <c r="J33" i="14630"/>
  <c r="M36" i="14630"/>
  <c r="D37" i="14630"/>
  <c r="F33" i="14630"/>
  <c r="D36" i="14630"/>
  <c r="D39" i="14630"/>
  <c r="M37" i="14630"/>
  <c r="C36" i="14630"/>
  <c r="D34" i="14630"/>
  <c r="L35" i="14630"/>
  <c r="K34" i="14630"/>
  <c r="B37" i="14630"/>
  <c r="E32" i="14630"/>
  <c r="K33" i="14630"/>
  <c r="B33" i="14630"/>
  <c r="B39" i="14630"/>
  <c r="H38" i="14630"/>
  <c r="B34" i="14630"/>
  <c r="L37" i="14630"/>
  <c r="M33" i="14630"/>
  <c r="E35" i="14630"/>
  <c r="J36" i="14630"/>
  <c r="M39" i="14630"/>
  <c r="J32" i="14630"/>
  <c r="I39" i="14630"/>
  <c r="K39" i="14630"/>
  <c r="I32" i="14630"/>
  <c r="G37" i="14630"/>
  <c r="E33" i="14630"/>
  <c r="C32" i="14630"/>
  <c r="H37" i="14630"/>
  <c r="C33" i="14630"/>
  <c r="H32" i="14630"/>
  <c r="N165" i="14703" a="1"/>
  <c r="W165" i="14703" s="1"/>
  <c r="N183" i="14698" a="1"/>
  <c r="W183" i="14698" s="1"/>
  <c r="E192" i="14698" a="1"/>
  <c r="G192" i="14698" s="1"/>
  <c r="N24" i="14698"/>
  <c r="C212" i="14698" a="1"/>
  <c r="F212" i="14698" s="1"/>
  <c r="H207" i="14698" a="1"/>
  <c r="N207" i="14698" s="1"/>
  <c r="B249" i="14698" a="1"/>
  <c r="D249" i="14698" s="1"/>
  <c r="N237" i="14698" a="1"/>
  <c r="N237" i="14698" s="1"/>
  <c r="L41" i="14628"/>
  <c r="C41" i="14628"/>
  <c r="J41" i="14628"/>
  <c r="M41" i="14628"/>
  <c r="K41" i="14628"/>
  <c r="E41" i="14628"/>
  <c r="O75" i="14698" a="1"/>
  <c r="O75" i="14698" s="1"/>
  <c r="H82" i="14698" a="1"/>
  <c r="H82" i="14698" s="1"/>
  <c r="F82" i="14698" a="1"/>
  <c r="F82" i="14698" s="1"/>
  <c r="W72" i="14698" a="1"/>
  <c r="W72" i="14698" s="1"/>
  <c r="R77" i="14698" a="1"/>
  <c r="R77" i="14698" s="1"/>
  <c r="K81" i="14698" a="1"/>
  <c r="K81" i="14698" s="1"/>
  <c r="J82" i="14698" a="1"/>
  <c r="J82" i="14698" s="1"/>
  <c r="M79" i="14698" a="1"/>
  <c r="M79" i="14698" s="1"/>
  <c r="H28" i="14698"/>
  <c r="S73" i="14698" a="1"/>
  <c r="S73" i="14698" s="1"/>
  <c r="H84" i="14698" a="1"/>
  <c r="H84" i="14698" s="1"/>
  <c r="Q75" i="14698" a="1"/>
  <c r="Q75" i="14698" s="1"/>
  <c r="N129" i="14698" a="1"/>
  <c r="N129" i="14698" s="1"/>
  <c r="K132" i="14698" a="1"/>
  <c r="S132" i="14698" s="1"/>
  <c r="N75" i="14698" a="1"/>
  <c r="N75" i="14698" s="1"/>
  <c r="I80" i="14698" a="1"/>
  <c r="I80" i="14698" s="1"/>
  <c r="H28" i="14623"/>
  <c r="F81" i="14698" a="1"/>
  <c r="F81" i="14698" s="1"/>
  <c r="C84" i="14698" a="1"/>
  <c r="C84" i="14698" s="1"/>
  <c r="E82" i="14698" a="1"/>
  <c r="E82" i="14698" s="1"/>
  <c r="J28" i="14698"/>
  <c r="Q77" i="14698" a="1"/>
  <c r="Q77" i="14698" s="1"/>
  <c r="S72" i="14698" a="1"/>
  <c r="S72" i="14698" s="1"/>
  <c r="G84" i="14698" a="1"/>
  <c r="G84" i="14698" s="1"/>
  <c r="I82" i="14698" a="1"/>
  <c r="I82" i="14698" s="1"/>
  <c r="H225" i="14698" a="1"/>
  <c r="L225" i="14698" s="1"/>
  <c r="M220" i="14698" a="1"/>
  <c r="M220" i="14698" s="1"/>
  <c r="E156" i="14698" a="1"/>
  <c r="I156" i="14698" s="1"/>
  <c r="F155" i="14698" a="1"/>
  <c r="O155" i="14698" s="1"/>
  <c r="M148" i="14698" a="1"/>
  <c r="I152" i="14698" a="1"/>
  <c r="R152" i="14698" s="1"/>
  <c r="T77" i="14698" a="1"/>
  <c r="T77" i="14698" s="1"/>
  <c r="M28" i="14698"/>
  <c r="T73" i="14698" a="1"/>
  <c r="T73" i="14698" s="1"/>
  <c r="Q76" i="14698" a="1"/>
  <c r="Q76" i="14698" s="1"/>
  <c r="J83" i="14698" a="1"/>
  <c r="J83" i="14698" s="1"/>
  <c r="D175" i="14698" a="1"/>
  <c r="K175" i="14698" s="1"/>
  <c r="K168" i="14698" a="1"/>
  <c r="S168" i="14698" s="1"/>
  <c r="B123" i="14698" a="1"/>
  <c r="F123" i="14698" s="1"/>
  <c r="F119" i="14698" a="1"/>
  <c r="G119" i="14698" s="1"/>
  <c r="E81" i="14698" a="1"/>
  <c r="E81" i="14698" s="1"/>
  <c r="H117" i="14698" a="1"/>
  <c r="J117" i="14698" s="1"/>
  <c r="G79" i="14698" a="1"/>
  <c r="G79" i="14698" s="1"/>
  <c r="B28" i="14698"/>
  <c r="B7" i="8"/>
  <c r="G7" i="8"/>
  <c r="L7" i="8"/>
  <c r="K7" i="8"/>
  <c r="E7" i="8"/>
  <c r="S77" i="14698" a="1"/>
  <c r="S77" i="14698" s="1"/>
  <c r="X72" i="14698" a="1"/>
  <c r="X72" i="14698" s="1"/>
  <c r="N78" i="14698" a="1"/>
  <c r="N78" i="14698" s="1"/>
  <c r="L80" i="14698" a="1"/>
  <c r="L80" i="14698" s="1"/>
  <c r="T72" i="14698" a="1"/>
  <c r="T72" i="14698" s="1"/>
  <c r="P76" i="14698" a="1"/>
  <c r="P76" i="14698" s="1"/>
  <c r="L185" i="14698" a="1"/>
  <c r="P185" i="14698" s="1"/>
  <c r="B195" i="14698" a="1"/>
  <c r="B195" i="14698" s="1"/>
  <c r="F137" i="14698" a="1"/>
  <c r="J137" i="14698" s="1"/>
  <c r="L239" i="14698" a="1"/>
  <c r="M239" i="14698" s="1"/>
  <c r="G208" i="14698" a="1"/>
  <c r="N208" i="14698" s="1"/>
  <c r="M75" i="14698" a="1"/>
  <c r="M75" i="14698" s="1"/>
  <c r="Q72" i="14698" a="1"/>
  <c r="Q72" i="14698" s="1"/>
  <c r="K28" i="14698"/>
  <c r="G41" i="14628"/>
  <c r="H41" i="14628"/>
  <c r="N41" i="14628"/>
  <c r="G34" i="14630"/>
  <c r="L36" i="14630"/>
  <c r="G32" i="14630"/>
  <c r="D32" i="14630"/>
  <c r="F39" i="14630"/>
  <c r="B35" i="14630"/>
  <c r="B36" i="14630"/>
  <c r="I37" i="14630"/>
  <c r="L34" i="14630"/>
  <c r="H36" i="14630"/>
  <c r="C39" i="14630"/>
  <c r="G39" i="14630"/>
  <c r="I38" i="14630"/>
  <c r="C37" i="14630"/>
  <c r="M32" i="14630"/>
  <c r="L33" i="14630"/>
  <c r="H34" i="14630"/>
  <c r="B38" i="14630"/>
  <c r="M35" i="14630"/>
  <c r="C38" i="14630"/>
  <c r="C34" i="14630"/>
  <c r="I33" i="14630"/>
  <c r="J38" i="14630"/>
  <c r="F35" i="14630"/>
  <c r="G20" i="14632" a="1"/>
  <c r="G20" i="14632" s="1"/>
  <c r="M20" i="14632" a="1"/>
  <c r="M20" i="14632" s="1"/>
  <c r="I116" i="14698" a="1"/>
  <c r="Q116" i="14698" s="1"/>
  <c r="L82" i="14698" a="1"/>
  <c r="L82" i="14698" s="1"/>
  <c r="N26" i="14698"/>
  <c r="N72" i="14698" a="1"/>
  <c r="N72" i="14698" s="1"/>
  <c r="N25" i="14703"/>
  <c r="V75" i="14703" a="1"/>
  <c r="V75" i="14703" s="1"/>
  <c r="R75" i="14703" a="1"/>
  <c r="R75" i="14703" s="1"/>
  <c r="C176" i="14703" a="1"/>
  <c r="K26" i="14632" a="1"/>
  <c r="K26" i="14632" s="1"/>
  <c r="F83" i="14703" a="1"/>
  <c r="F83" i="14703" s="1"/>
  <c r="E138" i="14703" a="1"/>
  <c r="J20" i="14632" a="1"/>
  <c r="J20" i="14632" s="1"/>
  <c r="N77" i="14703" a="1"/>
  <c r="N77" i="14703" s="1"/>
  <c r="C39" i="14634"/>
  <c r="L39" i="14634"/>
  <c r="E19" i="14634" a="1"/>
  <c r="E19" i="14634" s="1"/>
  <c r="M19" i="14634" a="1"/>
  <c r="M19" i="14634" s="1"/>
  <c r="L74" i="14703" a="1"/>
  <c r="L74" i="14703" s="1"/>
  <c r="L84" i="14703" a="1"/>
  <c r="L84" i="14703" s="1"/>
  <c r="S26" i="14632" a="1"/>
  <c r="S26" i="14632" s="1"/>
  <c r="S28" i="14632" s="1"/>
  <c r="N26" i="14632" a="1"/>
  <c r="N26" i="14632" s="1"/>
  <c r="O78" i="14698" a="1"/>
  <c r="O78" i="14698" s="1"/>
  <c r="H171" i="14698" a="1"/>
  <c r="S171" i="14698" s="1"/>
  <c r="D39" i="14634"/>
  <c r="W73" i="14698" a="1"/>
  <c r="W73" i="14698" s="1"/>
  <c r="C194" i="14698" a="1"/>
  <c r="E194" i="14698" s="1"/>
  <c r="N83" i="14698" a="1"/>
  <c r="N83" i="14698" s="1"/>
  <c r="L79" i="14698" a="1"/>
  <c r="L79" i="14698" s="1"/>
  <c r="D26" i="14632"/>
  <c r="D25" i="14632"/>
  <c r="D84" i="14703" a="1"/>
  <c r="D84" i="14703" s="1"/>
  <c r="J78" i="14703" a="1"/>
  <c r="J78" i="14703" s="1"/>
  <c r="D247" i="14698" a="1"/>
  <c r="O247" i="14698" s="1"/>
  <c r="J241" i="14698" a="1"/>
  <c r="R241" i="14698" s="1"/>
  <c r="K240" i="14698" a="1"/>
  <c r="E246" i="14698" a="1"/>
  <c r="E246" i="14698" s="1"/>
  <c r="N27" i="14698"/>
  <c r="F245" i="14698" a="1"/>
  <c r="M245" i="14698" s="1"/>
  <c r="G244" i="14698" a="1"/>
  <c r="K204" i="14698" a="1"/>
  <c r="M204" i="14698" s="1"/>
  <c r="E210" i="14698" a="1"/>
  <c r="H210" i="14698" s="1"/>
  <c r="F209" i="14698" a="1"/>
  <c r="M209" i="14698" s="1"/>
  <c r="N25" i="14698"/>
  <c r="B213" i="14698" a="1"/>
  <c r="F213" i="14698" s="1"/>
  <c r="J205" i="14698" a="1"/>
  <c r="L205" i="14698" s="1"/>
  <c r="I206" i="14698" a="1"/>
  <c r="P206" i="14698" s="1"/>
  <c r="I81" i="14698" a="1"/>
  <c r="I81" i="14698" s="1"/>
  <c r="M77" i="14698" a="1"/>
  <c r="M77" i="14698" s="1"/>
  <c r="J80" i="14698" a="1"/>
  <c r="J80" i="14698" s="1"/>
  <c r="K79" i="14698" a="1"/>
  <c r="K79" i="14698" s="1"/>
  <c r="R72" i="14698" a="1"/>
  <c r="R72" i="14698" s="1"/>
  <c r="L78" i="14698" a="1"/>
  <c r="L78" i="14698" s="1"/>
  <c r="F28" i="14698"/>
  <c r="C58" i="14643"/>
  <c r="C54" i="14643"/>
  <c r="C57" i="14643"/>
  <c r="C56" i="14643"/>
  <c r="G39" i="14634"/>
  <c r="K19" i="14634" a="1"/>
  <c r="K19" i="14634" s="1"/>
  <c r="N81" i="14703" a="1"/>
  <c r="N81" i="14703" s="1"/>
  <c r="V73" i="14703" a="1"/>
  <c r="V73" i="14703" s="1"/>
  <c r="D193" i="14703" a="1"/>
  <c r="J193" i="14703" s="1"/>
  <c r="C28" i="14703"/>
  <c r="C212" i="14703" a="1"/>
  <c r="H212" i="14703" s="1"/>
  <c r="G208" i="14703" a="1"/>
  <c r="M208" i="14703" s="1"/>
  <c r="J223" i="14703" a="1"/>
  <c r="N78" i="14703" a="1"/>
  <c r="N78" i="14703" s="1"/>
  <c r="M79" i="14703" a="1"/>
  <c r="M79" i="14703" s="1"/>
  <c r="Q77" i="14703" a="1"/>
  <c r="Q77" i="14703" s="1"/>
  <c r="O82" i="14703" a="1"/>
  <c r="O82" i="14703" s="1"/>
  <c r="I79" i="14698" a="1"/>
  <c r="I79" i="14698" s="1"/>
  <c r="P72" i="14698" a="1"/>
  <c r="P72" i="14698" s="1"/>
  <c r="E83" i="14698" a="1"/>
  <c r="E83" i="14698" s="1"/>
  <c r="G81" i="14698" a="1"/>
  <c r="G81" i="14698" s="1"/>
  <c r="H80" i="14698" a="1"/>
  <c r="H80" i="14698" s="1"/>
  <c r="K77" i="14698" a="1"/>
  <c r="K77" i="14698" s="1"/>
  <c r="D28" i="14698"/>
  <c r="T75" i="14698" a="1"/>
  <c r="T75" i="14698" s="1"/>
  <c r="V73" i="14698" a="1"/>
  <c r="V73" i="14698" s="1"/>
  <c r="K84" i="14698" a="1"/>
  <c r="K84" i="14698" s="1"/>
  <c r="S76" i="14698" a="1"/>
  <c r="S76" i="14698" s="1"/>
  <c r="U74" i="14698" a="1"/>
  <c r="U74" i="14698" s="1"/>
  <c r="O80" i="14698" a="1"/>
  <c r="O80" i="14698" s="1"/>
  <c r="Q78" i="14698" a="1"/>
  <c r="Q78" i="14698" s="1"/>
  <c r="J79" i="14698" a="1"/>
  <c r="J79" i="14698" s="1"/>
  <c r="H81" i="14698" a="1"/>
  <c r="H81" i="14698" s="1"/>
  <c r="L77" i="14698" a="1"/>
  <c r="L77" i="14698" s="1"/>
  <c r="G82" i="14698" a="1"/>
  <c r="G82" i="14698" s="1"/>
  <c r="P73" i="14698" a="1"/>
  <c r="P73" i="14698" s="1"/>
  <c r="K78" i="14698" a="1"/>
  <c r="K78" i="14698" s="1"/>
  <c r="F83" i="14698" a="1"/>
  <c r="F83" i="14698" s="1"/>
  <c r="C140" i="14698" a="1"/>
  <c r="F140" i="14698" s="1"/>
  <c r="M130" i="14698" a="1"/>
  <c r="B141" i="14698" a="1"/>
  <c r="J141" i="14698" s="1"/>
  <c r="I134" i="14698" a="1"/>
  <c r="L131" i="14698" a="1"/>
  <c r="W131" i="14698" s="1"/>
  <c r="G136" i="14698" a="1"/>
  <c r="K136" i="14698" s="1"/>
  <c r="B26" i="14632"/>
  <c r="B22" i="14632"/>
  <c r="I28" i="14623"/>
  <c r="M15" i="14632"/>
  <c r="L5" i="14631"/>
  <c r="L21" i="14710" s="1"/>
  <c r="J5" i="14631"/>
  <c r="J21" i="14710" s="1"/>
  <c r="E5" i="14631"/>
  <c r="E21" i="14710" s="1"/>
  <c r="I5" i="14631"/>
  <c r="I21" i="14710" s="1"/>
  <c r="M5" i="14631"/>
  <c r="M21" i="14710" s="1"/>
  <c r="C28" i="14698"/>
  <c r="I78" i="14698" a="1"/>
  <c r="I78" i="14698" s="1"/>
  <c r="N73" i="14698" a="1"/>
  <c r="N73" i="14698" s="1"/>
  <c r="M74" i="14698" a="1"/>
  <c r="M74" i="14698" s="1"/>
  <c r="D83" i="14698" a="1"/>
  <c r="D83" i="14698" s="1"/>
  <c r="H79" i="14698" a="1"/>
  <c r="H79" i="14698" s="1"/>
  <c r="K76" i="14698" a="1"/>
  <c r="K76" i="14698" s="1"/>
  <c r="R76" i="14698" a="1"/>
  <c r="R76" i="14698" s="1"/>
  <c r="O79" i="14698" a="1"/>
  <c r="O79" i="14698" s="1"/>
  <c r="T74" i="14698" a="1"/>
  <c r="T74" i="14698" s="1"/>
  <c r="K83" i="14698" a="1"/>
  <c r="K83" i="14698" s="1"/>
  <c r="N80" i="14698" a="1"/>
  <c r="N80" i="14698" s="1"/>
  <c r="U73" i="14698" a="1"/>
  <c r="U73" i="14698" s="1"/>
  <c r="J81" i="14698" a="1"/>
  <c r="J81" i="14698" s="1"/>
  <c r="P75" i="14698" a="1"/>
  <c r="P75" i="14698" s="1"/>
  <c r="K80" i="14698" a="1"/>
  <c r="K80" i="14698" s="1"/>
  <c r="H83" i="14698" a="1"/>
  <c r="H83" i="14698" s="1"/>
  <c r="M78" i="14698" a="1"/>
  <c r="M78" i="14698" s="1"/>
  <c r="R73" i="14698" a="1"/>
  <c r="R73" i="14698" s="1"/>
  <c r="B231" i="14698" a="1"/>
  <c r="F231" i="14698" s="1"/>
  <c r="L221" i="14698" a="1"/>
  <c r="N221" i="14698" s="1"/>
  <c r="J223" i="14698" a="1"/>
  <c r="P223" i="14698" s="1"/>
  <c r="K222" i="14698" a="1"/>
  <c r="T222" i="14698" s="1"/>
  <c r="I224" i="14698" a="1"/>
  <c r="N224" i="14698" s="1"/>
  <c r="G226" i="14698" a="1"/>
  <c r="B159" i="14698" a="1"/>
  <c r="J159" i="14698" s="1"/>
  <c r="H153" i="14698" a="1"/>
  <c r="L153" i="14698" s="1"/>
  <c r="L149" i="14698" a="1"/>
  <c r="Q149" i="14698" s="1"/>
  <c r="K150" i="14698" a="1"/>
  <c r="M150" i="14698" s="1"/>
  <c r="N22" i="14698"/>
  <c r="J151" i="14698" a="1"/>
  <c r="N151" i="14698" s="1"/>
  <c r="G154" i="14698" a="1"/>
  <c r="K154" i="14698" s="1"/>
  <c r="S78" i="14698" a="1"/>
  <c r="S78" i="14698" s="1"/>
  <c r="O82" i="14698" a="1"/>
  <c r="O82" i="14698" s="1"/>
  <c r="Y72" i="14698" a="1"/>
  <c r="Y72" i="14698" s="1"/>
  <c r="V75" i="14698" a="1"/>
  <c r="V75" i="14698" s="1"/>
  <c r="Q80" i="14698" a="1"/>
  <c r="Q80" i="14698" s="1"/>
  <c r="X73" i="14698" a="1"/>
  <c r="X73" i="14698" s="1"/>
  <c r="I28" i="14698"/>
  <c r="S74" i="14698" a="1"/>
  <c r="S74" i="14698" s="1"/>
  <c r="M80" i="14698" a="1"/>
  <c r="M80" i="14698" s="1"/>
  <c r="I84" i="14698" a="1"/>
  <c r="I84" i="14698" s="1"/>
  <c r="K82" i="14698" a="1"/>
  <c r="K82" i="14698" s="1"/>
  <c r="P77" i="14698" a="1"/>
  <c r="P77" i="14698" s="1"/>
  <c r="E174" i="14698" a="1"/>
  <c r="G174" i="14698" s="1"/>
  <c r="M166" i="14698" a="1"/>
  <c r="W166" i="14698" s="1"/>
  <c r="J169" i="14698" a="1"/>
  <c r="P169" i="14698" s="1"/>
  <c r="I170" i="14698" a="1"/>
  <c r="T170" i="14698" s="1"/>
  <c r="G172" i="14698" a="1"/>
  <c r="M172" i="14698" s="1"/>
  <c r="L167" i="14698" a="1"/>
  <c r="O167" i="14698" s="1"/>
  <c r="J115" i="14698" a="1"/>
  <c r="E120" i="14698" a="1"/>
  <c r="I120" i="14698" s="1"/>
  <c r="B32" i="14698" a="1"/>
  <c r="D36" i="14698" s="1"/>
  <c r="J76" i="14698" a="1"/>
  <c r="J76" i="14698" s="1"/>
  <c r="H78" i="14698" a="1"/>
  <c r="H78" i="14698" s="1"/>
  <c r="L74" i="14698" a="1"/>
  <c r="L74" i="14698" s="1"/>
  <c r="M112" i="14698" a="1"/>
  <c r="P112" i="14698" s="1"/>
  <c r="I77" i="14698" a="1"/>
  <c r="I77" i="14698" s="1"/>
  <c r="B84" i="14698" a="1"/>
  <c r="B84" i="14698" s="1"/>
  <c r="N84" i="14703" s="1"/>
  <c r="D82" i="14698" a="1"/>
  <c r="D82" i="14698" s="1"/>
  <c r="K75" i="14698" a="1"/>
  <c r="K75" i="14698" s="1"/>
  <c r="K114" i="14698" a="1"/>
  <c r="L114" i="14698" s="1"/>
  <c r="N20" i="14698"/>
  <c r="C25" i="14683"/>
  <c r="C23" i="14683"/>
  <c r="C31" i="14707"/>
  <c r="C29" i="14707"/>
  <c r="F8" i="14708"/>
  <c r="B24" i="14655" s="1"/>
  <c r="H21" i="14632" a="1"/>
  <c r="H21" i="14632" s="1"/>
  <c r="M26" i="14632" a="1"/>
  <c r="M26" i="14632" s="1"/>
  <c r="Q79" i="14698" a="1"/>
  <c r="Q79" i="14698" s="1"/>
  <c r="R78" i="14698" a="1"/>
  <c r="R78" i="14698" s="1"/>
  <c r="L84" i="14698" a="1"/>
  <c r="L84" i="14698" s="1"/>
  <c r="L28" i="14698"/>
  <c r="V74" i="14698" a="1"/>
  <c r="V74" i="14698" s="1"/>
  <c r="M83" i="14698" a="1"/>
  <c r="M83" i="14698" s="1"/>
  <c r="J187" i="14698" a="1"/>
  <c r="K186" i="14698" a="1"/>
  <c r="S186" i="14698" s="1"/>
  <c r="F191" i="14698" a="1"/>
  <c r="N191" i="14698" s="1"/>
  <c r="I188" i="14698" a="1"/>
  <c r="P188" i="14698" s="1"/>
  <c r="M184" i="14698" a="1"/>
  <c r="O184" i="14698" s="1"/>
  <c r="D193" i="14698" a="1"/>
  <c r="J193" i="14698" s="1"/>
  <c r="J133" i="14698" a="1"/>
  <c r="T133" i="14698" s="1"/>
  <c r="N21" i="14698"/>
  <c r="E138" i="14698" a="1"/>
  <c r="M138" i="14698" s="1"/>
  <c r="H135" i="14698" a="1"/>
  <c r="H135" i="14698" s="1"/>
  <c r="H243" i="14698" a="1"/>
  <c r="L243" i="14698" s="1"/>
  <c r="C248" i="14698" a="1"/>
  <c r="I248" i="14698" s="1"/>
  <c r="M238" i="14698" a="1"/>
  <c r="R238" i="14698" s="1"/>
  <c r="Q73" i="14698" a="1"/>
  <c r="Q73" i="14698" s="1"/>
  <c r="P74" i="14698" a="1"/>
  <c r="P74" i="14698" s="1"/>
  <c r="N76" i="14698" a="1"/>
  <c r="N76" i="14698" s="1"/>
  <c r="F84" i="14698" a="1"/>
  <c r="F84" i="14698" s="1"/>
  <c r="M202" i="14698" a="1"/>
  <c r="V202" i="14698" s="1"/>
  <c r="N201" i="14698" a="1"/>
  <c r="S201" i="14698" s="1"/>
  <c r="L203" i="14698" a="1"/>
  <c r="Q203" i="14698" s="1"/>
  <c r="D84" i="14698" a="1"/>
  <c r="D84" i="14698" s="1"/>
  <c r="N74" i="14698" a="1"/>
  <c r="N74" i="14698" s="1"/>
  <c r="O73" i="14698" a="1"/>
  <c r="O73" i="14698" s="1"/>
  <c r="L76" i="14698" a="1"/>
  <c r="L76" i="14698" s="1"/>
  <c r="E28" i="14698"/>
  <c r="E84" i="14698" a="1"/>
  <c r="E84" i="14698" s="1"/>
  <c r="O74" i="14698" a="1"/>
  <c r="O74" i="14698" s="1"/>
  <c r="P79" i="14698" a="1"/>
  <c r="P79" i="14698" s="1"/>
  <c r="N81" i="14698" a="1"/>
  <c r="N81" i="14698" s="1"/>
  <c r="L83" i="14698" a="1"/>
  <c r="L83" i="14698" s="1"/>
  <c r="M82" i="14698" a="1"/>
  <c r="M82" i="14698" s="1"/>
  <c r="C59" i="14643"/>
  <c r="C55" i="14643"/>
  <c r="F25" i="14632"/>
  <c r="E24" i="14632"/>
  <c r="N75" i="14703" a="1"/>
  <c r="N75" i="14703" s="1"/>
  <c r="R76" i="14703" a="1"/>
  <c r="R76" i="14703" s="1"/>
  <c r="H80" i="14703" a="1"/>
  <c r="H80" i="14703" s="1"/>
  <c r="J77" i="14703" a="1"/>
  <c r="J77" i="14703" s="1"/>
  <c r="N82" i="14703" a="1"/>
  <c r="N82" i="14703" s="1"/>
  <c r="N83" i="14703" a="1"/>
  <c r="N83" i="14703" s="1"/>
  <c r="E156" i="14703" a="1"/>
  <c r="M156" i="14703" s="1"/>
  <c r="I78" i="14703" a="1"/>
  <c r="I78" i="14703" s="1"/>
  <c r="P80" i="14703" a="1"/>
  <c r="P80" i="14703" s="1"/>
  <c r="J80" i="14703" a="1"/>
  <c r="J80" i="14703" s="1"/>
  <c r="M112" i="14703" a="1"/>
  <c r="D229" i="14703" a="1"/>
  <c r="E229" i="14703" s="1"/>
  <c r="H189" i="14703" a="1"/>
  <c r="S189" i="14703" s="1"/>
  <c r="I77" i="14703" a="1"/>
  <c r="I77" i="14703" s="1"/>
  <c r="I79" i="14703" a="1"/>
  <c r="I79" i="14703" s="1"/>
  <c r="G154" i="14703" a="1"/>
  <c r="O154" i="14703" s="1"/>
  <c r="W74" i="14703" a="1"/>
  <c r="W74" i="14703" s="1"/>
  <c r="P78" i="14703" a="1"/>
  <c r="P78" i="14703" s="1"/>
  <c r="O80" i="14703" a="1"/>
  <c r="O80" i="14703" s="1"/>
  <c r="L203" i="14703" a="1"/>
  <c r="R203" i="14703" s="1"/>
  <c r="R72" i="14703" a="1"/>
  <c r="R72" i="14703" s="1"/>
  <c r="H117" i="14703" a="1"/>
  <c r="E246" i="14703" a="1"/>
  <c r="D83" i="14703" a="1"/>
  <c r="D83" i="14703" s="1"/>
  <c r="D14" i="14707"/>
  <c r="O74" i="14703" a="1"/>
  <c r="O74" i="14703" s="1"/>
  <c r="B249" i="14703" a="1"/>
  <c r="B231" i="14703" a="1"/>
  <c r="C83" i="14703" a="1"/>
  <c r="C83" i="14703" s="1"/>
  <c r="N183" i="14703" a="1"/>
  <c r="F245" i="14703" a="1"/>
  <c r="K75" i="14703" a="1"/>
  <c r="K75" i="14703" s="1"/>
  <c r="H153" i="14703" a="1"/>
  <c r="Q153" i="14703" s="1"/>
  <c r="C158" i="14703" a="1"/>
  <c r="H158" i="14703" s="1"/>
  <c r="Q73" i="14703" a="1"/>
  <c r="Q73" i="14703" s="1"/>
  <c r="B32" i="14703" a="1"/>
  <c r="D33" i="14703" s="1"/>
  <c r="N22" i="14703"/>
  <c r="M220" i="14703" a="1"/>
  <c r="V220" i="14703" s="1"/>
  <c r="G172" i="14703" a="1"/>
  <c r="H207" i="14703" a="1"/>
  <c r="N24" i="14703"/>
  <c r="D121" i="14703" a="1"/>
  <c r="K121" i="14703" s="1"/>
  <c r="P81" i="14703" a="1"/>
  <c r="P81" i="14703" s="1"/>
  <c r="H39" i="14634"/>
  <c r="L19" i="14634" a="1"/>
  <c r="L19" i="14634" s="1"/>
  <c r="R73" i="14703" a="1"/>
  <c r="R73" i="14703" s="1"/>
  <c r="D15" i="14707"/>
  <c r="Q26" i="14632" a="1"/>
  <c r="Q26" i="14632" s="1"/>
  <c r="G21" i="14632" a="1"/>
  <c r="G21" i="14632" s="1"/>
  <c r="H24" i="14632" a="1"/>
  <c r="H24" i="14632" s="1"/>
  <c r="O23" i="14632" a="1"/>
  <c r="O23" i="14632" s="1"/>
  <c r="C21" i="14632" a="1"/>
  <c r="C21" i="14632" s="1"/>
  <c r="H15" i="14632"/>
  <c r="N8" i="14632"/>
  <c r="E20" i="14632" a="1"/>
  <c r="E20" i="14632" s="1"/>
  <c r="O22" i="14632" a="1"/>
  <c r="O22" i="14632" s="1"/>
  <c r="R25" i="14632" a="1"/>
  <c r="R25" i="14632" s="1"/>
  <c r="N21" i="14632" a="1"/>
  <c r="N21" i="14632" s="1"/>
  <c r="C19" i="14683"/>
  <c r="C20" i="14683"/>
  <c r="C22" i="14683"/>
  <c r="C27" i="14707"/>
  <c r="C28" i="14707"/>
  <c r="C25" i="14707"/>
  <c r="J23" i="14632" a="1"/>
  <c r="J23" i="14632" s="1"/>
  <c r="G15" i="14632"/>
  <c r="I22" i="14632" a="1"/>
  <c r="I22" i="14632" s="1"/>
  <c r="D24" i="14632"/>
  <c r="N9" i="14632"/>
  <c r="N14" i="14632"/>
  <c r="O35" i="14634"/>
  <c r="M39" i="14634"/>
  <c r="K23" i="14632" a="1"/>
  <c r="K23" i="14632" s="1"/>
  <c r="K15" i="14632"/>
  <c r="O38" i="14634"/>
  <c r="J39" i="14634"/>
  <c r="O33" i="14634"/>
  <c r="F39" i="14634"/>
  <c r="D8" i="14683"/>
  <c r="D11" i="14683"/>
  <c r="D7" i="14683"/>
  <c r="G23" i="14632" a="1"/>
  <c r="G23" i="14632" s="1"/>
  <c r="J26" i="14632" a="1"/>
  <c r="J26" i="14632" s="1"/>
  <c r="D20" i="14632" a="1"/>
  <c r="D20" i="14632" s="1"/>
  <c r="J24" i="14632" a="1"/>
  <c r="J24" i="14632" s="1"/>
  <c r="F20" i="14632" a="1"/>
  <c r="F20" i="14632" s="1"/>
  <c r="L26" i="14632" a="1"/>
  <c r="L26" i="14632" s="1"/>
  <c r="N24" i="14632" a="1"/>
  <c r="N24" i="14632" s="1"/>
  <c r="M23" i="14632" a="1"/>
  <c r="M23" i="14632" s="1"/>
  <c r="O25" i="14632" a="1"/>
  <c r="O25" i="14632" s="1"/>
  <c r="N22" i="14632" a="1"/>
  <c r="N22" i="14632" s="1"/>
  <c r="L20" i="14632" a="1"/>
  <c r="L20" i="14632" s="1"/>
  <c r="R26" i="14632" a="1"/>
  <c r="R26" i="14632" s="1"/>
  <c r="E22" i="14632" a="1"/>
  <c r="E22" i="14632" s="1"/>
  <c r="C15" i="14632"/>
  <c r="D22" i="14632" a="1"/>
  <c r="D22" i="14632" s="1"/>
  <c r="N10" i="14632"/>
  <c r="O26" i="14632" a="1"/>
  <c r="O26" i="14632" s="1"/>
  <c r="J21" i="14632" a="1"/>
  <c r="J21" i="14632" s="1"/>
  <c r="D16" i="14707"/>
  <c r="D18" i="14707"/>
  <c r="D12" i="14707"/>
  <c r="L10" i="14631"/>
  <c r="L28" i="14623"/>
  <c r="D10" i="14631"/>
  <c r="D28" i="14623"/>
  <c r="O75" i="14703" a="1"/>
  <c r="O75" i="14703" s="1"/>
  <c r="G83" i="14703" a="1"/>
  <c r="G83" i="14703" s="1"/>
  <c r="L78" i="14703" a="1"/>
  <c r="L78" i="14703" s="1"/>
  <c r="F84" i="14703" a="1"/>
  <c r="F84" i="14703" s="1"/>
  <c r="F28" i="14703"/>
  <c r="N76" i="14703" a="1"/>
  <c r="N76" i="14703" s="1"/>
  <c r="P74" i="14703" a="1"/>
  <c r="P74" i="14703" s="1"/>
  <c r="K80" i="14703" a="1"/>
  <c r="K80" i="14703" s="1"/>
  <c r="Q74" i="14703" a="1"/>
  <c r="Q74" i="14703" s="1"/>
  <c r="G28" i="14703"/>
  <c r="S72" i="14703" a="1"/>
  <c r="S72" i="14703" s="1"/>
  <c r="O76" i="14703" a="1"/>
  <c r="O76" i="14703" s="1"/>
  <c r="H83" i="14703" a="1"/>
  <c r="H83" i="14703" s="1"/>
  <c r="M78" i="14703" a="1"/>
  <c r="M78" i="14703" s="1"/>
  <c r="J81" i="14703" a="1"/>
  <c r="J81" i="14703" s="1"/>
  <c r="E81" i="14703" a="1"/>
  <c r="E81" i="14703" s="1"/>
  <c r="B28" i="14703"/>
  <c r="F80" i="14703" a="1"/>
  <c r="F80" i="14703" s="1"/>
  <c r="M73" i="14703" a="1"/>
  <c r="M73" i="14703" s="1"/>
  <c r="K114" i="14703" a="1"/>
  <c r="L113" i="14703" a="1"/>
  <c r="L113" i="14703" s="1"/>
  <c r="B123" i="14703" a="1"/>
  <c r="H78" i="14703" a="1"/>
  <c r="H78" i="14703" s="1"/>
  <c r="B84" i="14703" a="1"/>
  <c r="B84" i="14703" s="1"/>
  <c r="B85" i="14703" s="1"/>
  <c r="J115" i="14703" a="1"/>
  <c r="O115" i="14703" s="1"/>
  <c r="G118" i="14703" a="1"/>
  <c r="Q118" i="14703" s="1"/>
  <c r="C122" i="14703" a="1"/>
  <c r="L122" i="14703" s="1"/>
  <c r="G79" i="14703" a="1"/>
  <c r="G79" i="14703" s="1"/>
  <c r="F119" i="14703" a="1"/>
  <c r="M119" i="14703" s="1"/>
  <c r="D82" i="14703" a="1"/>
  <c r="D82" i="14703" s="1"/>
  <c r="O73" i="14703" a="1"/>
  <c r="O73" i="14703" s="1"/>
  <c r="L76" i="14703" a="1"/>
  <c r="L76" i="14703" s="1"/>
  <c r="M75" i="14703" a="1"/>
  <c r="M75" i="14703" s="1"/>
  <c r="G81" i="14703" a="1"/>
  <c r="G81" i="14703" s="1"/>
  <c r="K77" i="14703" a="1"/>
  <c r="K77" i="14703" s="1"/>
  <c r="P72" i="14703" a="1"/>
  <c r="P72" i="14703" s="1"/>
  <c r="N74" i="14703" a="1"/>
  <c r="N74" i="14703" s="1"/>
  <c r="K84" i="14703" a="1"/>
  <c r="K84" i="14703" s="1"/>
  <c r="S76" i="14703" a="1"/>
  <c r="S76" i="14703" s="1"/>
  <c r="R77" i="14703" a="1"/>
  <c r="R77" i="14703" s="1"/>
  <c r="L83" i="14703" a="1"/>
  <c r="L83" i="14703" s="1"/>
  <c r="W72" i="14703" a="1"/>
  <c r="W72" i="14703" s="1"/>
  <c r="T75" i="14703" a="1"/>
  <c r="T75" i="14703" s="1"/>
  <c r="M82" i="14703" a="1"/>
  <c r="M82" i="14703" s="1"/>
  <c r="O36" i="14634"/>
  <c r="I39" i="14634"/>
  <c r="N19" i="14634" a="1"/>
  <c r="N19" i="14634" s="1"/>
  <c r="G19" i="14634" a="1"/>
  <c r="G19" i="14634" s="1"/>
  <c r="D19" i="14634" a="1"/>
  <c r="D19" i="14634" s="1"/>
  <c r="K39" i="14634"/>
  <c r="C248" i="14703" a="1"/>
  <c r="N27" i="14703"/>
  <c r="D247" i="14703" a="1"/>
  <c r="G244" i="14703" a="1"/>
  <c r="K244" i="14703" s="1"/>
  <c r="H243" i="14703" a="1"/>
  <c r="Q243" i="14703" s="1"/>
  <c r="M238" i="14703" a="1"/>
  <c r="I242" i="14703" a="1"/>
  <c r="S242" i="14703" s="1"/>
  <c r="D139" i="14703" a="1"/>
  <c r="N139" i="14703" s="1"/>
  <c r="K132" i="14703" a="1"/>
  <c r="C140" i="14703" a="1"/>
  <c r="D140" i="14703" s="1"/>
  <c r="L131" i="14703" a="1"/>
  <c r="P131" i="14703" s="1"/>
  <c r="I134" i="14703" a="1"/>
  <c r="I134" i="14703" s="1"/>
  <c r="J133" i="14703" a="1"/>
  <c r="U133" i="14703" s="1"/>
  <c r="N129" i="14703" a="1"/>
  <c r="N129" i="14703" s="1"/>
  <c r="N21" i="14703"/>
  <c r="D211" i="14703" a="1"/>
  <c r="K211" i="14703" s="1"/>
  <c r="B213" i="14703" a="1"/>
  <c r="C213" i="14703" s="1"/>
  <c r="F209" i="14703" a="1"/>
  <c r="J205" i="14703" a="1"/>
  <c r="J205" i="14703" s="1"/>
  <c r="E210" i="14703" a="1"/>
  <c r="P210" i="14703" s="1"/>
  <c r="K204" i="14703" a="1"/>
  <c r="O204" i="14703" s="1"/>
  <c r="L80" i="14703" a="1"/>
  <c r="L80" i="14703" s="1"/>
  <c r="P76" i="14703" a="1"/>
  <c r="P76" i="14703" s="1"/>
  <c r="R74" i="14703" a="1"/>
  <c r="R74" i="14703" s="1"/>
  <c r="O77" i="14703" a="1"/>
  <c r="O77" i="14703" s="1"/>
  <c r="S73" i="14703" a="1"/>
  <c r="S73" i="14703" s="1"/>
  <c r="J82" i="14703" a="1"/>
  <c r="J82" i="14703" s="1"/>
  <c r="H84" i="14703" a="1"/>
  <c r="H84" i="14703" s="1"/>
  <c r="K81" i="14703" a="1"/>
  <c r="K81" i="14703" s="1"/>
  <c r="H28" i="14703"/>
  <c r="Q80" i="14703" a="1"/>
  <c r="Q80" i="14703" s="1"/>
  <c r="M28" i="14703"/>
  <c r="R79" i="14703" a="1"/>
  <c r="R79" i="14703" s="1"/>
  <c r="X73" i="14703" a="1"/>
  <c r="X73" i="14703" s="1"/>
  <c r="T77" i="14703" a="1"/>
  <c r="T77" i="14703" s="1"/>
  <c r="U76" i="14703" a="1"/>
  <c r="U76" i="14703" s="1"/>
  <c r="H225" i="14703" a="1"/>
  <c r="E228" i="14703" a="1"/>
  <c r="P228" i="14703" s="1"/>
  <c r="N26" i="14703"/>
  <c r="C230" i="14703" a="1"/>
  <c r="F227" i="14703" a="1"/>
  <c r="I224" i="14703" a="1"/>
  <c r="R224" i="14703" s="1"/>
  <c r="O79" i="14703" a="1"/>
  <c r="O79" i="14703" s="1"/>
  <c r="S75" i="14703" a="1"/>
  <c r="S75" i="14703" s="1"/>
  <c r="U73" i="14703" a="1"/>
  <c r="U73" i="14703" s="1"/>
  <c r="J28" i="14703"/>
  <c r="N80" i="14703" a="1"/>
  <c r="N80" i="14703" s="1"/>
  <c r="K83" i="14703" a="1"/>
  <c r="K83" i="14703" s="1"/>
  <c r="T74" i="14703" a="1"/>
  <c r="T74" i="14703" s="1"/>
  <c r="I152" i="14703" a="1"/>
  <c r="F155" i="14703" a="1"/>
  <c r="Q155" i="14703" s="1"/>
  <c r="D157" i="14703" a="1"/>
  <c r="L149" i="14703" a="1"/>
  <c r="N149" i="14703" s="1"/>
  <c r="K150" i="14703" a="1"/>
  <c r="H79" i="14703" a="1"/>
  <c r="H79" i="14703" s="1"/>
  <c r="E82" i="14703" a="1"/>
  <c r="E82" i="14703" s="1"/>
  <c r="G80" i="14703" a="1"/>
  <c r="G80" i="14703" s="1"/>
  <c r="C84" i="14703" a="1"/>
  <c r="C84" i="14703" s="1"/>
  <c r="O72" i="14703" a="1"/>
  <c r="O72" i="14703" s="1"/>
  <c r="N73" i="14703" a="1"/>
  <c r="N73" i="14703" s="1"/>
  <c r="K76" i="14703" a="1"/>
  <c r="K76" i="14703" s="1"/>
  <c r="S74" i="14703" a="1"/>
  <c r="S74" i="14703" s="1"/>
  <c r="T73" i="14703" a="1"/>
  <c r="T73" i="14703" s="1"/>
  <c r="I84" i="14703" a="1"/>
  <c r="I84" i="14703" s="1"/>
  <c r="Q76" i="14703" a="1"/>
  <c r="Q76" i="14703" s="1"/>
  <c r="O78" i="14703" a="1"/>
  <c r="O78" i="14703" s="1"/>
  <c r="I28" i="14703"/>
  <c r="N79" i="14703" a="1"/>
  <c r="N79" i="14703" s="1"/>
  <c r="U75" i="14703" a="1"/>
  <c r="U75" i="14703" s="1"/>
  <c r="Q79" i="14703" a="1"/>
  <c r="Q79" i="14703" s="1"/>
  <c r="S77" i="14703" a="1"/>
  <c r="S77" i="14703" s="1"/>
  <c r="T76" i="14703" a="1"/>
  <c r="T76" i="14703" s="1"/>
  <c r="L28" i="14703"/>
  <c r="V74" i="14703" a="1"/>
  <c r="V74" i="14703" s="1"/>
  <c r="O81" i="14703" a="1"/>
  <c r="O81" i="14703" s="1"/>
  <c r="X72" i="14703" a="1"/>
  <c r="X72" i="14703" s="1"/>
  <c r="C194" i="14703" a="1"/>
  <c r="K194" i="14703" s="1"/>
  <c r="I80" i="14703" a="1"/>
  <c r="I80" i="14703" s="1"/>
  <c r="L185" i="14703" a="1"/>
  <c r="N185" i="14703" s="1"/>
  <c r="K186" i="14703" a="1"/>
  <c r="V186" i="14703" s="1"/>
  <c r="F191" i="14703" a="1"/>
  <c r="H191" i="14703" s="1"/>
  <c r="Q72" i="14703" a="1"/>
  <c r="Q72" i="14703" s="1"/>
  <c r="H81" i="14703" a="1"/>
  <c r="H81" i="14703" s="1"/>
  <c r="E192" i="14703" a="1"/>
  <c r="M184" i="14703" a="1"/>
  <c r="T184" i="14703" s="1"/>
  <c r="J187" i="14703" a="1"/>
  <c r="E84" i="14703" a="1"/>
  <c r="E84" i="14703" s="1"/>
  <c r="G82" i="14703" a="1"/>
  <c r="G82" i="14703" s="1"/>
  <c r="J79" i="14703" a="1"/>
  <c r="J79" i="14703" s="1"/>
  <c r="M76" i="14703" a="1"/>
  <c r="M76" i="14703" s="1"/>
  <c r="K78" i="14703" a="1"/>
  <c r="K78" i="14703" s="1"/>
  <c r="J169" i="14703" a="1"/>
  <c r="P169" i="14703" s="1"/>
  <c r="H171" i="14703" a="1"/>
  <c r="L167" i="14703" a="1"/>
  <c r="F173" i="14703" a="1"/>
  <c r="B177" i="14703" a="1"/>
  <c r="D175" i="14703" a="1"/>
  <c r="N175" i="14703" s="1"/>
  <c r="E174" i="14703" a="1"/>
  <c r="E28" i="14623"/>
  <c r="L24" i="14632" a="1"/>
  <c r="L24" i="14632" s="1"/>
  <c r="L21" i="14632" a="1"/>
  <c r="L21" i="14632" s="1"/>
  <c r="E15" i="14632"/>
  <c r="F21" i="14632" a="1"/>
  <c r="F21" i="14632" s="1"/>
  <c r="N7" i="14632"/>
  <c r="E23" i="14632" a="1"/>
  <c r="E23" i="14632" s="1"/>
  <c r="B15" i="14632"/>
  <c r="O31" i="14634"/>
  <c r="E39" i="14634"/>
  <c r="O32" i="14634"/>
  <c r="F22" i="14632" a="1"/>
  <c r="F22" i="14632" s="1"/>
  <c r="K22" i="14632" a="1"/>
  <c r="K22" i="14632" s="1"/>
  <c r="H22" i="14632" a="1"/>
  <c r="H22" i="14632" s="1"/>
  <c r="L22" i="14632" a="1"/>
  <c r="L22" i="14632" s="1"/>
  <c r="L15" i="14632"/>
  <c r="D21" i="14632" a="1"/>
  <c r="D21" i="14632" s="1"/>
  <c r="D14" i="14643"/>
  <c r="D15" i="14643" s="1"/>
  <c r="D10" i="14683"/>
  <c r="N39" i="14634"/>
  <c r="F19" i="14634" a="1"/>
  <c r="F19" i="14634" s="1"/>
  <c r="J28" i="14623"/>
  <c r="D13" i="14707"/>
  <c r="L77" i="14703" a="1"/>
  <c r="L77" i="14703" s="1"/>
  <c r="Y72" i="14703" a="1"/>
  <c r="Y72" i="14703" s="1"/>
  <c r="M84" i="14703" a="1"/>
  <c r="M84" i="14703" s="1"/>
  <c r="B141" i="14703" a="1"/>
  <c r="G136" i="14703" a="1"/>
  <c r="L82" i="14703" a="1"/>
  <c r="L82" i="14703" s="1"/>
  <c r="M81" i="14703" a="1"/>
  <c r="M81" i="14703" s="1"/>
  <c r="T72" i="14703" a="1"/>
  <c r="T72" i="14703" s="1"/>
  <c r="D28" i="14703"/>
  <c r="E83" i="14703" a="1"/>
  <c r="E83" i="14703" s="1"/>
  <c r="N23" i="14703"/>
  <c r="I170" i="14703" a="1"/>
  <c r="R170" i="14703" s="1"/>
  <c r="L75" i="14703" a="1"/>
  <c r="L75" i="14703" s="1"/>
  <c r="F81" i="14703" a="1"/>
  <c r="F81" i="14703" s="1"/>
  <c r="I82" i="14703" a="1"/>
  <c r="I82" i="14703" s="1"/>
  <c r="M83" i="14703" a="1"/>
  <c r="M83" i="14703" s="1"/>
  <c r="W73" i="14703" a="1"/>
  <c r="W73" i="14703" s="1"/>
  <c r="P79" i="14703" a="1"/>
  <c r="P79" i="14703" s="1"/>
  <c r="U74" i="14703" a="1"/>
  <c r="U74" i="14703" s="1"/>
  <c r="M202" i="14703" a="1"/>
  <c r="P202" i="14703" s="1"/>
  <c r="N201" i="14703" a="1"/>
  <c r="F82" i="14703" a="1"/>
  <c r="F82" i="14703" s="1"/>
  <c r="F137" i="14703" a="1"/>
  <c r="Q137" i="14703" s="1"/>
  <c r="P75" i="14703" a="1"/>
  <c r="P75" i="14703" s="1"/>
  <c r="M74" i="14703" a="1"/>
  <c r="M74" i="14703" s="1"/>
  <c r="V72" i="14703" a="1"/>
  <c r="V72" i="14703" s="1"/>
  <c r="N147" i="14703" a="1"/>
  <c r="U147" i="14703" s="1"/>
  <c r="L239" i="14703" a="1"/>
  <c r="T239" i="14703" s="1"/>
  <c r="L221" i="14703" a="1"/>
  <c r="N221" i="14703" s="1"/>
  <c r="E120" i="14703" a="1"/>
  <c r="I120" i="14703" s="1"/>
  <c r="I116" i="14703" a="1"/>
  <c r="M116" i="14703" s="1"/>
  <c r="L81" i="14703" a="1"/>
  <c r="L81" i="14703" s="1"/>
  <c r="J83" i="14703" a="1"/>
  <c r="J83" i="14703" s="1"/>
  <c r="B195" i="14703" a="1"/>
  <c r="B195" i="14703" s="1"/>
  <c r="B196" i="14703" s="1"/>
  <c r="D11" i="14707"/>
  <c r="K222" i="14703" a="1"/>
  <c r="G226" i="14703" a="1"/>
  <c r="R226" i="14703" s="1"/>
  <c r="E28" i="14703"/>
  <c r="J84" i="14703" a="1"/>
  <c r="J84" i="14703" s="1"/>
  <c r="K240" i="14703" a="1"/>
  <c r="N237" i="14703" a="1"/>
  <c r="X237" i="14703" s="1"/>
  <c r="K168" i="14703" a="1"/>
  <c r="N72" i="14703" a="1"/>
  <c r="N72" i="14703" s="1"/>
  <c r="N111" i="14703" a="1"/>
  <c r="J76" i="14703" a="1"/>
  <c r="J76" i="14703" s="1"/>
  <c r="S78" i="14703" a="1"/>
  <c r="S78" i="14703" s="1"/>
  <c r="M130" i="14703" a="1"/>
  <c r="S130" i="14703" s="1"/>
  <c r="H82" i="14703" a="1"/>
  <c r="H82" i="14703" s="1"/>
  <c r="K79" i="14703" a="1"/>
  <c r="K79" i="14703" s="1"/>
  <c r="Q75" i="14703" a="1"/>
  <c r="Q75" i="14703" s="1"/>
  <c r="M148" i="14703" a="1"/>
  <c r="V148" i="14703" s="1"/>
  <c r="J151" i="14703" a="1"/>
  <c r="P151" i="14703" s="1"/>
  <c r="G84" i="14703" a="1"/>
  <c r="G84" i="14703" s="1"/>
  <c r="R78" i="14703" a="1"/>
  <c r="R78" i="14703" s="1"/>
  <c r="K28" i="14703"/>
  <c r="I206" i="14703" a="1"/>
  <c r="N206" i="14703" s="1"/>
  <c r="I81" i="14703" a="1"/>
  <c r="I81" i="14703" s="1"/>
  <c r="U72" i="14703" a="1"/>
  <c r="U72" i="14703" s="1"/>
  <c r="I188" i="14703" a="1"/>
  <c r="J188" i="14703" s="1"/>
  <c r="M77" i="14703" a="1"/>
  <c r="M77" i="14703" s="1"/>
  <c r="P73" i="14703" a="1"/>
  <c r="P73" i="14703" s="1"/>
  <c r="H135" i="14703" a="1"/>
  <c r="K82" i="14703" a="1"/>
  <c r="K82" i="14703" s="1"/>
  <c r="Q78" i="14703" a="1"/>
  <c r="Q78" i="14703" s="1"/>
  <c r="M80" i="14703" a="1"/>
  <c r="M80" i="14703" s="1"/>
  <c r="J241" i="14703" a="1"/>
  <c r="B159" i="14703" a="1"/>
  <c r="H159" i="14703" s="1"/>
  <c r="N219" i="14703" a="1"/>
  <c r="N20" i="14703"/>
  <c r="P77" i="14703" a="1"/>
  <c r="P77" i="14703" s="1"/>
  <c r="G190" i="14703" a="1"/>
  <c r="H190" i="14703" s="1"/>
  <c r="N11" i="14632"/>
  <c r="N12" i="14632"/>
  <c r="P25" i="14632" a="1"/>
  <c r="P25" i="14632" s="1"/>
  <c r="H25" i="14632" a="1"/>
  <c r="H25" i="14632" s="1"/>
  <c r="N25" i="14632" a="1"/>
  <c r="N25" i="14632" s="1"/>
  <c r="I21" i="14632" a="1"/>
  <c r="I21" i="14632" s="1"/>
  <c r="H20" i="14632" a="1"/>
  <c r="H20" i="14632" s="1"/>
  <c r="M25" i="14632" a="1"/>
  <c r="M25" i="14632" s="1"/>
  <c r="J22" i="14632" a="1"/>
  <c r="J22" i="14632" s="1"/>
  <c r="O24" i="14632" a="1"/>
  <c r="O24" i="14632" s="1"/>
  <c r="K20" i="14632" a="1"/>
  <c r="K20" i="14632" s="1"/>
  <c r="N23" i="14632" a="1"/>
  <c r="N23" i="14632" s="1"/>
  <c r="J25" i="14632" a="1"/>
  <c r="J25" i="14632" s="1"/>
  <c r="H23" i="14632" a="1"/>
  <c r="H23" i="14632" s="1"/>
  <c r="I24" i="14632" a="1"/>
  <c r="I24" i="14632" s="1"/>
  <c r="G22" i="14632" a="1"/>
  <c r="G22" i="14632" s="1"/>
  <c r="H26" i="14632" a="1"/>
  <c r="H26" i="14632" s="1"/>
  <c r="B20" i="14632" a="1"/>
  <c r="B20" i="14632" s="1"/>
  <c r="F24" i="14632" a="1"/>
  <c r="F24" i="14632" s="1"/>
  <c r="S31" i="14623"/>
  <c r="H21" i="14645" s="1"/>
  <c r="H22" i="14645" s="1"/>
  <c r="D15" i="14632"/>
  <c r="I25" i="14632" a="1"/>
  <c r="I25" i="14632" s="1"/>
  <c r="E21" i="14632" a="1"/>
  <c r="E21" i="14632" s="1"/>
  <c r="L23" i="14632" a="1"/>
  <c r="L23" i="14632" s="1"/>
  <c r="M24" i="14632" a="1"/>
  <c r="M24" i="14632" s="1"/>
  <c r="I20" i="14632" a="1"/>
  <c r="I20" i="14632" s="1"/>
  <c r="K25" i="14632" a="1"/>
  <c r="K25" i="14632" s="1"/>
  <c r="I23" i="14632" a="1"/>
  <c r="I23" i="14632" s="1"/>
  <c r="F15" i="14632"/>
  <c r="P26" i="14632" a="1"/>
  <c r="P26" i="14632" s="1"/>
  <c r="K21" i="14632" a="1"/>
  <c r="K21" i="14632" s="1"/>
  <c r="J15" i="14632"/>
  <c r="Q25" i="14632" a="1"/>
  <c r="Q25" i="14632" s="1"/>
  <c r="M21" i="14632" a="1"/>
  <c r="M21" i="14632" s="1"/>
  <c r="P24" i="14632" a="1"/>
  <c r="P24" i="14632" s="1"/>
  <c r="F23" i="14632" a="1"/>
  <c r="F23" i="14632" s="1"/>
  <c r="C20" i="14632" a="1"/>
  <c r="C20" i="14632" s="1"/>
  <c r="G24" i="14632" a="1"/>
  <c r="G24" i="14632" s="1"/>
  <c r="D6" i="14683"/>
  <c r="D13" i="14683"/>
  <c r="D12" i="14683"/>
  <c r="B5" i="14669" a="1"/>
  <c r="J10" i="14669" s="1"/>
  <c r="N46" i="14694"/>
  <c r="J15" i="14617"/>
  <c r="L15" i="14617" s="1"/>
  <c r="G22" i="14694"/>
  <c r="B22" i="14694"/>
  <c r="L22" i="14694"/>
  <c r="E22" i="14694"/>
  <c r="K22" i="14694"/>
  <c r="C22" i="14694"/>
  <c r="I22" i="14694"/>
  <c r="H22" i="14694"/>
  <c r="D22" i="14694"/>
  <c r="F22" i="14694"/>
  <c r="J22" i="14694"/>
  <c r="M22" i="14694"/>
  <c r="N62" i="14694"/>
  <c r="J53" i="14694"/>
  <c r="H53" i="14694"/>
  <c r="B53" i="14694"/>
  <c r="D53" i="14694"/>
  <c r="E53" i="14694"/>
  <c r="K53" i="14694"/>
  <c r="G53" i="14694"/>
  <c r="F53" i="14694"/>
  <c r="M53" i="14694"/>
  <c r="I53" i="14694"/>
  <c r="L53" i="14694"/>
  <c r="C53" i="14694"/>
  <c r="N31" i="14694"/>
  <c r="H36" i="14695"/>
  <c r="M36" i="14695"/>
  <c r="B36" i="14695"/>
  <c r="C36" i="14695"/>
  <c r="D36" i="14695"/>
  <c r="J36" i="14695"/>
  <c r="K36" i="14695"/>
  <c r="L36" i="14695"/>
  <c r="I36" i="14695"/>
  <c r="F36" i="14695"/>
  <c r="E36" i="14695"/>
  <c r="G36" i="14695"/>
  <c r="N51" i="14695"/>
  <c r="G50" i="14695"/>
  <c r="J50" i="14695"/>
  <c r="E50" i="14695"/>
  <c r="C50" i="14695"/>
  <c r="L50" i="14695"/>
  <c r="F50" i="14695"/>
  <c r="I50" i="14695"/>
  <c r="M50" i="14695"/>
  <c r="H50" i="14695"/>
  <c r="D50" i="14695"/>
  <c r="K50" i="14695"/>
  <c r="B50" i="14695"/>
  <c r="K43" i="14695"/>
  <c r="J43" i="14695"/>
  <c r="I43" i="14695"/>
  <c r="F43" i="14695"/>
  <c r="L43" i="14695"/>
  <c r="M43" i="14695"/>
  <c r="B43" i="14695"/>
  <c r="C43" i="14695"/>
  <c r="D43" i="14695"/>
  <c r="E43" i="14695"/>
  <c r="H43" i="14695"/>
  <c r="G43" i="14695"/>
  <c r="N58" i="14695"/>
  <c r="E13" i="14682"/>
  <c r="N54" i="14694"/>
  <c r="G37" i="14694"/>
  <c r="D37" i="14694"/>
  <c r="F37" i="14694"/>
  <c r="L37" i="14694"/>
  <c r="C37" i="14694"/>
  <c r="I37" i="14694"/>
  <c r="M37" i="14694"/>
  <c r="E37" i="14694"/>
  <c r="H37" i="14694"/>
  <c r="J37" i="14694"/>
  <c r="B37" i="14694"/>
  <c r="K37" i="14694"/>
  <c r="N55" i="14694"/>
  <c r="D45" i="14694"/>
  <c r="G45" i="14694"/>
  <c r="C45" i="14694"/>
  <c r="E45" i="14694"/>
  <c r="H45" i="14694"/>
  <c r="K45" i="14694"/>
  <c r="J45" i="14694"/>
  <c r="L45" i="14694"/>
  <c r="I45" i="14694"/>
  <c r="F45" i="14694"/>
  <c r="B45" i="14694"/>
  <c r="M45" i="14694"/>
  <c r="J61" i="14694"/>
  <c r="K61" i="14694"/>
  <c r="M61" i="14694"/>
  <c r="F61" i="14694"/>
  <c r="L61" i="14694"/>
  <c r="I61" i="14694"/>
  <c r="D61" i="14694"/>
  <c r="B61" i="14694"/>
  <c r="E61" i="14694"/>
  <c r="H61" i="14694"/>
  <c r="G61" i="14694"/>
  <c r="C61" i="14694"/>
  <c r="N47" i="14694"/>
  <c r="M29" i="14694"/>
  <c r="E29" i="14694"/>
  <c r="F29" i="14694"/>
  <c r="K29" i="14694"/>
  <c r="J29" i="14694"/>
  <c r="I29" i="14694"/>
  <c r="G29" i="14694"/>
  <c r="C29" i="14694"/>
  <c r="D29" i="14694"/>
  <c r="H29" i="14694"/>
  <c r="B29" i="14694"/>
  <c r="L29" i="14694"/>
  <c r="N39" i="14694"/>
  <c r="N23" i="14694"/>
  <c r="F29" i="14695"/>
  <c r="L29" i="14695"/>
  <c r="B29" i="14695"/>
  <c r="C29" i="14695"/>
  <c r="J29" i="14695"/>
  <c r="K29" i="14695"/>
  <c r="H29" i="14695"/>
  <c r="G29" i="14695"/>
  <c r="E29" i="14695"/>
  <c r="D29" i="14695"/>
  <c r="M29" i="14695"/>
  <c r="I29" i="14695"/>
  <c r="N44" i="14695"/>
  <c r="N30" i="14695"/>
  <c r="N23" i="14695"/>
  <c r="L57" i="14695"/>
  <c r="K57" i="14695"/>
  <c r="J57" i="14695"/>
  <c r="C57" i="14695"/>
  <c r="I57" i="14695"/>
  <c r="F57" i="14695"/>
  <c r="B57" i="14695"/>
  <c r="E57" i="14695"/>
  <c r="M57" i="14695"/>
  <c r="H57" i="14695"/>
  <c r="G57" i="14695"/>
  <c r="D57" i="14695"/>
  <c r="N37" i="14695"/>
  <c r="C22" i="14695"/>
  <c r="I22" i="14695"/>
  <c r="D22" i="14695"/>
  <c r="E22" i="14695"/>
  <c r="B22" i="14695"/>
  <c r="H22" i="14695"/>
  <c r="K22" i="14695"/>
  <c r="L22" i="14695"/>
  <c r="G22" i="14695"/>
  <c r="M22" i="14695"/>
  <c r="J22" i="14695"/>
  <c r="F22" i="14695"/>
  <c r="J76" i="14665"/>
  <c r="D40" i="14630"/>
  <c r="F40" i="14630"/>
  <c r="G40" i="14630"/>
  <c r="J40" i="14630"/>
  <c r="E40" i="14630"/>
  <c r="M40" i="14630"/>
  <c r="K40" i="14630"/>
  <c r="C40" i="14630"/>
  <c r="L40" i="14630"/>
  <c r="H40" i="14630"/>
  <c r="I40" i="14630"/>
  <c r="B22" i="14671"/>
  <c r="E22" i="14671"/>
  <c r="L22" i="14671"/>
  <c r="C22" i="14671"/>
  <c r="G22" i="14671"/>
  <c r="K22" i="14671"/>
  <c r="J22" i="14671"/>
  <c r="D22" i="14671"/>
  <c r="M22" i="14671"/>
  <c r="F22" i="14671"/>
  <c r="H22" i="14671"/>
  <c r="I22" i="14671"/>
  <c r="D22" i="14640"/>
  <c r="B22" i="14640"/>
  <c r="K22" i="14640"/>
  <c r="M22" i="14640"/>
  <c r="I22" i="14640"/>
  <c r="C22" i="14640"/>
  <c r="H22" i="14640"/>
  <c r="G22" i="14640"/>
  <c r="E22" i="14640"/>
  <c r="J22" i="14640"/>
  <c r="F22" i="14640"/>
  <c r="L22" i="14640"/>
  <c r="H5" i="14668"/>
  <c r="H11" i="14668"/>
  <c r="E6" i="14668"/>
  <c r="K10" i="14668"/>
  <c r="H12" i="14668"/>
  <c r="M12" i="14668"/>
  <c r="I5" i="14668"/>
  <c r="E10" i="14668"/>
  <c r="B5" i="14668"/>
  <c r="B7" i="14668"/>
  <c r="F6" i="14668"/>
  <c r="E8" i="14668"/>
  <c r="M6" i="14668"/>
  <c r="J10" i="14668"/>
  <c r="D6" i="14668"/>
  <c r="C8" i="14668"/>
  <c r="J9" i="14668"/>
  <c r="H6" i="14668"/>
  <c r="L10" i="14668"/>
  <c r="E9" i="14668"/>
  <c r="I11" i="14668"/>
  <c r="F7" i="14668"/>
  <c r="E12" i="14668"/>
  <c r="K11" i="14668"/>
  <c r="C12" i="14668"/>
  <c r="E7" i="14668"/>
  <c r="D10" i="14668"/>
  <c r="I7" i="14668"/>
  <c r="L9" i="14668"/>
  <c r="G10" i="14668"/>
  <c r="C7" i="14668"/>
  <c r="C6" i="14668"/>
  <c r="C9" i="14668"/>
  <c r="B8" i="14668"/>
  <c r="F8" i="14668"/>
  <c r="K8" i="14668"/>
  <c r="C10" i="14668"/>
  <c r="I10" i="14668"/>
  <c r="M5" i="14668"/>
  <c r="L6" i="14668"/>
  <c r="K6" i="14668"/>
  <c r="F12" i="14668"/>
  <c r="G6" i="14668"/>
  <c r="J12" i="14668"/>
  <c r="M10" i="14668"/>
  <c r="I12" i="14668"/>
  <c r="H8" i="14668"/>
  <c r="B11" i="14668"/>
  <c r="M9" i="14668"/>
  <c r="J5" i="14668"/>
  <c r="L11" i="14668"/>
  <c r="J11" i="14668"/>
  <c r="K12" i="14668"/>
  <c r="K9" i="14668"/>
  <c r="J8" i="14668"/>
  <c r="D5" i="14668"/>
  <c r="J7" i="14668"/>
  <c r="I8" i="14668"/>
  <c r="C11" i="14668"/>
  <c r="B12" i="14668"/>
  <c r="C5" i="14668"/>
  <c r="L5" i="14668"/>
  <c r="H9" i="14668"/>
  <c r="D9" i="14668"/>
  <c r="D12" i="14668"/>
  <c r="H10" i="14668"/>
  <c r="G8" i="14668"/>
  <c r="L12" i="14668"/>
  <c r="F11" i="14668"/>
  <c r="I6" i="14668"/>
  <c r="I9" i="14668"/>
  <c r="G5" i="14668"/>
  <c r="M8" i="14668"/>
  <c r="J6" i="14668"/>
  <c r="D8" i="14668"/>
  <c r="B6" i="14668"/>
  <c r="F9" i="14668"/>
  <c r="M7" i="14668"/>
  <c r="L7" i="14668"/>
  <c r="B10" i="14668"/>
  <c r="E11" i="14668"/>
  <c r="K5" i="14668"/>
  <c r="E5" i="14668"/>
  <c r="G12" i="14668"/>
  <c r="G9" i="14668"/>
  <c r="G11" i="14668"/>
  <c r="G7" i="14668"/>
  <c r="L8" i="14668"/>
  <c r="F10" i="14668"/>
  <c r="F5" i="14668"/>
  <c r="M11" i="14668"/>
  <c r="K7" i="14668"/>
  <c r="D7" i="14668"/>
  <c r="B9" i="14668"/>
  <c r="D11" i="14668"/>
  <c r="H7" i="14668"/>
  <c r="H79" i="14653"/>
  <c r="H66" i="14653"/>
  <c r="M79" i="14653"/>
  <c r="B66" i="14653"/>
  <c r="D23" i="14682"/>
  <c r="M15" i="14617"/>
  <c r="O15" i="14617" s="1"/>
  <c r="F13" i="14682"/>
  <c r="B88" i="14707" a="1"/>
  <c r="E22" i="14670"/>
  <c r="H22" i="14670"/>
  <c r="D22" i="14670"/>
  <c r="F22" i="14670"/>
  <c r="G22" i="14670"/>
  <c r="K22" i="14670"/>
  <c r="I22" i="14670"/>
  <c r="C22" i="14670"/>
  <c r="J22" i="14670"/>
  <c r="B22" i="14670"/>
  <c r="L22" i="14670"/>
  <c r="M22" i="14670"/>
  <c r="M22" i="14631"/>
  <c r="D22" i="14631"/>
  <c r="I22" i="14631"/>
  <c r="B22" i="14631"/>
  <c r="G22" i="14631"/>
  <c r="H22" i="14631"/>
  <c r="F22" i="14631"/>
  <c r="E22" i="14631"/>
  <c r="K22" i="14631"/>
  <c r="J22" i="14631"/>
  <c r="L22" i="14631"/>
  <c r="C22" i="14631"/>
  <c r="B22" i="8" a="1"/>
  <c r="D9" i="14643" a="1"/>
  <c r="I15" i="14617"/>
  <c r="F15" i="14617"/>
  <c r="N65" i="14653"/>
  <c r="F22" i="14682"/>
  <c r="F21" i="14682"/>
  <c r="D41" i="14643"/>
  <c r="D46" i="14643"/>
  <c r="D40" i="14643"/>
  <c r="D47" i="14643"/>
  <c r="D43" i="14643"/>
  <c r="D42" i="14643"/>
  <c r="D45" i="14643"/>
  <c r="D44" i="14643"/>
  <c r="N5" i="14637" l="1"/>
  <c r="N11" i="14637"/>
  <c r="N7" i="14637"/>
  <c r="N12" i="14637"/>
  <c r="N9" i="14637"/>
  <c r="N10" i="14637"/>
  <c r="B8" i="14700" a="1"/>
  <c r="N8" i="14637"/>
  <c r="N6" i="14637"/>
  <c r="N66" i="14653"/>
  <c r="B17" i="14637" a="1"/>
  <c r="E18" i="14637" s="1"/>
  <c r="C13" i="14682"/>
  <c r="C20" i="14625" a="1"/>
  <c r="C20" i="14677" a="1"/>
  <c r="C20" i="14676" a="1"/>
  <c r="D55" i="14707" a="1"/>
  <c r="H7" i="14652" a="1"/>
  <c r="F33" i="14652" a="1"/>
  <c r="F12" i="14706"/>
  <c r="D11" i="14657"/>
  <c r="D85" i="14703"/>
  <c r="N39" i="14692"/>
  <c r="N32" i="14692"/>
  <c r="N40" i="14692"/>
  <c r="C20" i="14633" a="1"/>
  <c r="L20" i="14633" s="1"/>
  <c r="N47" i="14692"/>
  <c r="N63" i="14692"/>
  <c r="D30" i="14692"/>
  <c r="G30" i="14692"/>
  <c r="M30" i="14692"/>
  <c r="C30" i="14692"/>
  <c r="H30" i="14692"/>
  <c r="J30" i="14692"/>
  <c r="E30" i="14692"/>
  <c r="L30" i="14692"/>
  <c r="B30" i="14692"/>
  <c r="F30" i="14692"/>
  <c r="K30" i="14692"/>
  <c r="I30" i="14692"/>
  <c r="N24" i="14692"/>
  <c r="C23" i="11" s="1"/>
  <c r="N56" i="14692"/>
  <c r="K38" i="14692"/>
  <c r="E38" i="14692"/>
  <c r="C38" i="14692"/>
  <c r="J38" i="14692"/>
  <c r="M38" i="14692"/>
  <c r="F38" i="14692"/>
  <c r="G38" i="14692"/>
  <c r="I38" i="14692"/>
  <c r="L38" i="14692"/>
  <c r="H38" i="14692"/>
  <c r="B38" i="14692"/>
  <c r="D38" i="14692"/>
  <c r="N48" i="14692"/>
  <c r="F46" i="14692"/>
  <c r="D46" i="14692"/>
  <c r="L46" i="14692"/>
  <c r="I46" i="14692"/>
  <c r="G46" i="14692"/>
  <c r="H46" i="14692"/>
  <c r="C46" i="14692"/>
  <c r="E46" i="14692"/>
  <c r="J46" i="14692"/>
  <c r="K46" i="14692"/>
  <c r="B46" i="14692"/>
  <c r="M46" i="14692"/>
  <c r="F62" i="14692"/>
  <c r="K62" i="14692"/>
  <c r="E62" i="14692"/>
  <c r="I62" i="14692"/>
  <c r="C62" i="14692"/>
  <c r="D62" i="14692"/>
  <c r="B62" i="14692"/>
  <c r="H62" i="14692"/>
  <c r="J62" i="14692"/>
  <c r="G62" i="14692"/>
  <c r="M62" i="14692"/>
  <c r="L62" i="14692"/>
  <c r="L54" i="14692"/>
  <c r="E54" i="14692"/>
  <c r="J54" i="14692"/>
  <c r="B54" i="14692"/>
  <c r="H54" i="14692"/>
  <c r="I54" i="14692"/>
  <c r="C54" i="14692"/>
  <c r="G54" i="14692"/>
  <c r="F54" i="14692"/>
  <c r="D54" i="14692"/>
  <c r="M54" i="14692"/>
  <c r="K54" i="14692"/>
  <c r="N31" i="14692"/>
  <c r="C20" i="14641" a="1"/>
  <c r="F20" i="14641" s="1"/>
  <c r="N55" i="14692"/>
  <c r="L38" i="14667" s="1"/>
  <c r="M23" i="14692"/>
  <c r="K23" i="14692"/>
  <c r="C23" i="14692"/>
  <c r="B23" i="14692"/>
  <c r="J23" i="14692"/>
  <c r="F23" i="14692"/>
  <c r="E23" i="14692"/>
  <c r="D23" i="14692"/>
  <c r="I23" i="14692"/>
  <c r="L23" i="14692"/>
  <c r="G23" i="14692"/>
  <c r="H23" i="14692"/>
  <c r="J19" i="14652" a="1"/>
  <c r="F23" i="14682"/>
  <c r="B103" i="14707" s="1" a="1"/>
  <c r="E16" i="14657"/>
  <c r="G16" i="14657"/>
  <c r="D16" i="14657"/>
  <c r="F16" i="14657"/>
  <c r="C16" i="14657"/>
  <c r="N12" i="14710"/>
  <c r="N118" i="14698"/>
  <c r="H193" i="14703"/>
  <c r="Q135" i="14698"/>
  <c r="M154" i="14698"/>
  <c r="M202" i="14698"/>
  <c r="D194" i="14698"/>
  <c r="K140" i="14698"/>
  <c r="P203" i="14698"/>
  <c r="J242" i="14698"/>
  <c r="G139" i="14698"/>
  <c r="R170" i="14698"/>
  <c r="O209" i="14698"/>
  <c r="L207" i="14698"/>
  <c r="C248" i="14698"/>
  <c r="R237" i="14698"/>
  <c r="N167" i="14698"/>
  <c r="R166" i="14698"/>
  <c r="R204" i="14698"/>
  <c r="O245" i="14698"/>
  <c r="C141" i="14698"/>
  <c r="G26" i="14638"/>
  <c r="O151" i="14703"/>
  <c r="F191" i="14698"/>
  <c r="J227" i="14698"/>
  <c r="Y201" i="14698"/>
  <c r="U222" i="14698"/>
  <c r="L227" i="14698"/>
  <c r="Q227" i="14698"/>
  <c r="N212" i="14698"/>
  <c r="M211" i="14698"/>
  <c r="M249" i="14698"/>
  <c r="J34" i="14698"/>
  <c r="T113" i="14698"/>
  <c r="C176" i="14698"/>
  <c r="N227" i="14698"/>
  <c r="M227" i="14698"/>
  <c r="G227" i="14698"/>
  <c r="O19" i="14634"/>
  <c r="C34" i="14683" a="1"/>
  <c r="C37" i="14683" s="1"/>
  <c r="G211" i="14698"/>
  <c r="M238" i="14698"/>
  <c r="I243" i="14698"/>
  <c r="E7" i="14633"/>
  <c r="G36" i="14698"/>
  <c r="L113" i="14698"/>
  <c r="T219" i="14698"/>
  <c r="I228" i="14703"/>
  <c r="K229" i="14703"/>
  <c r="H34" i="14703"/>
  <c r="F211" i="14698"/>
  <c r="O201" i="14698"/>
  <c r="V239" i="14698"/>
  <c r="N238" i="14698"/>
  <c r="P243" i="14698"/>
  <c r="W129" i="14698"/>
  <c r="C21" i="14645"/>
  <c r="C22" i="14645" s="1"/>
  <c r="R112" i="14698"/>
  <c r="L33" i="14698"/>
  <c r="H247" i="14698"/>
  <c r="H136" i="14698"/>
  <c r="F227" i="14698"/>
  <c r="H227" i="14698"/>
  <c r="O227" i="14698"/>
  <c r="P227" i="14698"/>
  <c r="I227" i="14698"/>
  <c r="O83" i="14703" a="1"/>
  <c r="O83" i="14703" s="1"/>
  <c r="I212" i="14698"/>
  <c r="H212" i="14698"/>
  <c r="X201" i="14698"/>
  <c r="S239" i="14698"/>
  <c r="T239" i="14698"/>
  <c r="U238" i="14698"/>
  <c r="F249" i="14698"/>
  <c r="L249" i="14698"/>
  <c r="Q243" i="14698"/>
  <c r="G138" i="14698"/>
  <c r="S129" i="14698"/>
  <c r="J7" i="14633"/>
  <c r="S116" i="14698"/>
  <c r="L36" i="14698"/>
  <c r="I39" i="14698"/>
  <c r="P171" i="14698"/>
  <c r="H172" i="14698"/>
  <c r="S169" i="14698"/>
  <c r="O174" i="14698"/>
  <c r="R151" i="14698"/>
  <c r="S153" i="14698"/>
  <c r="L155" i="14698"/>
  <c r="G7" i="14633"/>
  <c r="F7" i="14633"/>
  <c r="C7" i="14633"/>
  <c r="K21" i="14645"/>
  <c r="K22" i="14645" s="1"/>
  <c r="I7" i="14633"/>
  <c r="N7" i="14633"/>
  <c r="I21" i="14645"/>
  <c r="I22" i="14645" s="1"/>
  <c r="M38" i="14703"/>
  <c r="C33" i="14703"/>
  <c r="C36" i="14703"/>
  <c r="M133" i="14698"/>
  <c r="L133" i="14698"/>
  <c r="Q184" i="14698"/>
  <c r="W184" i="14698"/>
  <c r="R187" i="14698"/>
  <c r="P187" i="14698"/>
  <c r="L34" i="14698"/>
  <c r="I36" i="14698"/>
  <c r="J37" i="14698"/>
  <c r="E37" i="14698"/>
  <c r="B39" i="14698"/>
  <c r="F32" i="14698"/>
  <c r="L32" i="14698"/>
  <c r="K34" i="14698"/>
  <c r="J36" i="14698"/>
  <c r="L38" i="14698"/>
  <c r="D38" i="14698"/>
  <c r="F33" i="14698"/>
  <c r="L115" i="14698"/>
  <c r="T115" i="14698"/>
  <c r="K150" i="14698"/>
  <c r="U150" i="14698"/>
  <c r="J226" i="14698"/>
  <c r="R226" i="14698"/>
  <c r="W221" i="14698"/>
  <c r="S221" i="14698"/>
  <c r="R134" i="14698"/>
  <c r="T134" i="14698"/>
  <c r="R130" i="14698"/>
  <c r="W130" i="14698"/>
  <c r="O208" i="14703"/>
  <c r="N208" i="14703"/>
  <c r="M205" i="14698"/>
  <c r="S205" i="14698"/>
  <c r="P210" i="14698"/>
  <c r="F210" i="14698"/>
  <c r="J244" i="14698"/>
  <c r="N244" i="14698"/>
  <c r="Q240" i="14698"/>
  <c r="N240" i="14698"/>
  <c r="E195" i="14698"/>
  <c r="H195" i="14698"/>
  <c r="P192" i="14698"/>
  <c r="O192" i="14698"/>
  <c r="D121" i="14698"/>
  <c r="O121" i="14698"/>
  <c r="L122" i="14698"/>
  <c r="K122" i="14698"/>
  <c r="B7" i="14617"/>
  <c r="C5" i="14617" s="1" a="1"/>
  <c r="C7" i="14617" s="1"/>
  <c r="C35" i="4128"/>
  <c r="C212" i="14698"/>
  <c r="J212" i="14698"/>
  <c r="L212" i="14698"/>
  <c r="E211" i="14698"/>
  <c r="I211" i="14698"/>
  <c r="J211" i="14698"/>
  <c r="T201" i="14698"/>
  <c r="N201" i="14698"/>
  <c r="P201" i="14698"/>
  <c r="R239" i="14698"/>
  <c r="L239" i="14698"/>
  <c r="N239" i="14698"/>
  <c r="W238" i="14698"/>
  <c r="O238" i="14698"/>
  <c r="P238" i="14698"/>
  <c r="G249" i="14698"/>
  <c r="K249" i="14698"/>
  <c r="C249" i="14698"/>
  <c r="S243" i="14698"/>
  <c r="N138" i="14698"/>
  <c r="J191" i="14698"/>
  <c r="J187" i="14698"/>
  <c r="G21" i="14645"/>
  <c r="G22" i="14645" s="1"/>
  <c r="F21" i="14645"/>
  <c r="F22" i="14645" s="1"/>
  <c r="D21" i="14645"/>
  <c r="D22" i="14645" s="1"/>
  <c r="K116" i="14698"/>
  <c r="X112" i="14698"/>
  <c r="B34" i="14698"/>
  <c r="F39" i="14698"/>
  <c r="B35" i="14698"/>
  <c r="I37" i="14698"/>
  <c r="D32" i="14698"/>
  <c r="E39" i="14698"/>
  <c r="U115" i="14698"/>
  <c r="H171" i="14698"/>
  <c r="L172" i="14698"/>
  <c r="J169" i="14698"/>
  <c r="E174" i="14698"/>
  <c r="Q151" i="14698"/>
  <c r="P153" i="14698"/>
  <c r="O226" i="14698"/>
  <c r="V222" i="14698"/>
  <c r="L247" i="14698"/>
  <c r="S240" i="14698"/>
  <c r="P244" i="14698"/>
  <c r="X130" i="14698"/>
  <c r="J134" i="14698"/>
  <c r="P136" i="14698"/>
  <c r="N175" i="14698"/>
  <c r="Q147" i="14698"/>
  <c r="M39" i="14703"/>
  <c r="E38" i="14703"/>
  <c r="E24" i="14638" a="1"/>
  <c r="E24" i="14638" s="1"/>
  <c r="I85" i="14698"/>
  <c r="O28" i="14632"/>
  <c r="T78" i="14703" a="1"/>
  <c r="T79" i="14703" s="1"/>
  <c r="S203" i="14698"/>
  <c r="U202" i="14698"/>
  <c r="K208" i="14698"/>
  <c r="M248" i="14698"/>
  <c r="P135" i="14698"/>
  <c r="G137" i="14698"/>
  <c r="O139" i="14698"/>
  <c r="C194" i="14698"/>
  <c r="N193" i="14698"/>
  <c r="L188" i="14698"/>
  <c r="L186" i="14698"/>
  <c r="U114" i="14698"/>
  <c r="J120" i="14698"/>
  <c r="Q167" i="14698"/>
  <c r="P170" i="14698"/>
  <c r="X166" i="14698"/>
  <c r="Q154" i="14698"/>
  <c r="R149" i="14698"/>
  <c r="B159" i="14698"/>
  <c r="B160" i="14698" s="1"/>
  <c r="O224" i="14698"/>
  <c r="N223" i="14698"/>
  <c r="J231" i="14698"/>
  <c r="H117" i="14698"/>
  <c r="M118" i="14698"/>
  <c r="N205" i="14703"/>
  <c r="R28" i="14632"/>
  <c r="N36" i="14630"/>
  <c r="V203" i="14698"/>
  <c r="R207" i="14698"/>
  <c r="P207" i="14698"/>
  <c r="R202" i="14698"/>
  <c r="R208" i="14698"/>
  <c r="I208" i="14698"/>
  <c r="H248" i="14698"/>
  <c r="I242" i="14698"/>
  <c r="O242" i="14698"/>
  <c r="T237" i="14698"/>
  <c r="U237" i="14698"/>
  <c r="O135" i="14698"/>
  <c r="F137" i="14698"/>
  <c r="L137" i="14698"/>
  <c r="N139" i="14698"/>
  <c r="G194" i="14698"/>
  <c r="O193" i="14698"/>
  <c r="L193" i="14698"/>
  <c r="T188" i="14698"/>
  <c r="M188" i="14698"/>
  <c r="R186" i="14698"/>
  <c r="Q186" i="14698"/>
  <c r="P114" i="14698"/>
  <c r="K114" i="14698"/>
  <c r="N120" i="14698"/>
  <c r="M120" i="14698"/>
  <c r="U167" i="14698"/>
  <c r="S170" i="14698"/>
  <c r="P166" i="14698"/>
  <c r="H154" i="14698"/>
  <c r="S149" i="14698"/>
  <c r="U149" i="14698"/>
  <c r="L159" i="14698"/>
  <c r="G159" i="14698"/>
  <c r="R224" i="14698"/>
  <c r="J224" i="14698"/>
  <c r="V132" i="14698"/>
  <c r="T183" i="14698"/>
  <c r="N190" i="14698"/>
  <c r="Q119" i="14698"/>
  <c r="P173" i="14698"/>
  <c r="M168" i="14698"/>
  <c r="L156" i="14698"/>
  <c r="O225" i="14698"/>
  <c r="P204" i="14703"/>
  <c r="U204" i="14703"/>
  <c r="N24" i="14655"/>
  <c r="M24" i="14655"/>
  <c r="S223" i="14698"/>
  <c r="L223" i="14698"/>
  <c r="T223" i="14698"/>
  <c r="O223" i="14698"/>
  <c r="E231" i="14698"/>
  <c r="H231" i="14698"/>
  <c r="C231" i="14698"/>
  <c r="M231" i="14698"/>
  <c r="O131" i="14698"/>
  <c r="R131" i="14698"/>
  <c r="F141" i="14698"/>
  <c r="B141" i="14698"/>
  <c r="B142" i="14698" s="1"/>
  <c r="L141" i="14698"/>
  <c r="D141" i="14698"/>
  <c r="C140" i="14698"/>
  <c r="H140" i="14698"/>
  <c r="N140" i="14698"/>
  <c r="E140" i="14698"/>
  <c r="T206" i="14698"/>
  <c r="S206" i="14698"/>
  <c r="R206" i="14698"/>
  <c r="O206" i="14698"/>
  <c r="D213" i="14698"/>
  <c r="H213" i="14698"/>
  <c r="B213" i="14698"/>
  <c r="B214" i="14698" s="1"/>
  <c r="I213" i="14698"/>
  <c r="J209" i="14698"/>
  <c r="I209" i="14698"/>
  <c r="F209" i="14698"/>
  <c r="P209" i="14698"/>
  <c r="U204" i="14698"/>
  <c r="T204" i="14698"/>
  <c r="P204" i="14698"/>
  <c r="L204" i="14698"/>
  <c r="I245" i="14698"/>
  <c r="P245" i="14698"/>
  <c r="K245" i="14698"/>
  <c r="H245" i="14698"/>
  <c r="N246" i="14698"/>
  <c r="J246" i="14698"/>
  <c r="K246" i="14698"/>
  <c r="M246" i="14698"/>
  <c r="M241" i="14698"/>
  <c r="J241" i="14698"/>
  <c r="S241" i="14698"/>
  <c r="N241" i="14698"/>
  <c r="M185" i="14698"/>
  <c r="W185" i="14698"/>
  <c r="M148" i="14698"/>
  <c r="R148" i="14698"/>
  <c r="W111" i="14698"/>
  <c r="Y111" i="14698"/>
  <c r="E158" i="14698"/>
  <c r="G158" i="14698"/>
  <c r="E228" i="14698"/>
  <c r="N228" i="14698"/>
  <c r="Q165" i="14698"/>
  <c r="P165" i="14698"/>
  <c r="J189" i="14698"/>
  <c r="N189" i="14698"/>
  <c r="J229" i="14698"/>
  <c r="H229" i="14698"/>
  <c r="K118" i="14698"/>
  <c r="R118" i="14698"/>
  <c r="P118" i="14698"/>
  <c r="H118" i="14698"/>
  <c r="I118" i="14698"/>
  <c r="Q118" i="14698"/>
  <c r="M203" i="14698"/>
  <c r="U203" i="14698"/>
  <c r="O203" i="14698"/>
  <c r="O207" i="14698"/>
  <c r="Q207" i="14698"/>
  <c r="M207" i="14698"/>
  <c r="N202" i="14698"/>
  <c r="P202" i="14698"/>
  <c r="T202" i="14698"/>
  <c r="L208" i="14698"/>
  <c r="Q208" i="14698"/>
  <c r="M208" i="14698"/>
  <c r="G248" i="14698"/>
  <c r="K248" i="14698"/>
  <c r="D248" i="14698"/>
  <c r="L242" i="14698"/>
  <c r="S242" i="14698"/>
  <c r="P242" i="14698"/>
  <c r="X237" i="14698"/>
  <c r="S237" i="14698"/>
  <c r="W237" i="14698"/>
  <c r="L135" i="14698"/>
  <c r="K135" i="14698"/>
  <c r="N135" i="14698"/>
  <c r="M137" i="14698"/>
  <c r="N137" i="14698"/>
  <c r="H137" i="14698"/>
  <c r="F139" i="14698"/>
  <c r="H139" i="14698"/>
  <c r="L139" i="14698"/>
  <c r="H194" i="14698"/>
  <c r="F194" i="14698"/>
  <c r="L194" i="14698"/>
  <c r="K193" i="14698"/>
  <c r="D193" i="14698"/>
  <c r="M193" i="14698"/>
  <c r="O188" i="14698"/>
  <c r="Q188" i="14698"/>
  <c r="I188" i="14698"/>
  <c r="P186" i="14698"/>
  <c r="K186" i="14698"/>
  <c r="T186" i="14698"/>
  <c r="V114" i="14698"/>
  <c r="N114" i="14698"/>
  <c r="T114" i="14698"/>
  <c r="F120" i="14698"/>
  <c r="L120" i="14698"/>
  <c r="P120" i="14698"/>
  <c r="S167" i="14698"/>
  <c r="P167" i="14698"/>
  <c r="L167" i="14698"/>
  <c r="Q170" i="14698"/>
  <c r="N170" i="14698"/>
  <c r="K170" i="14698"/>
  <c r="U166" i="14698"/>
  <c r="S166" i="14698"/>
  <c r="T166" i="14698"/>
  <c r="R154" i="14698"/>
  <c r="L154" i="14698"/>
  <c r="O154" i="14698"/>
  <c r="N149" i="14698"/>
  <c r="L149" i="14698"/>
  <c r="V149" i="14698"/>
  <c r="F159" i="14698"/>
  <c r="C159" i="14698"/>
  <c r="K159" i="14698"/>
  <c r="M224" i="14698"/>
  <c r="I224" i="14698"/>
  <c r="L224" i="14698"/>
  <c r="J223" i="14698"/>
  <c r="D231" i="14698"/>
  <c r="N204" i="14698"/>
  <c r="H209" i="14698"/>
  <c r="J213" i="14698"/>
  <c r="M213" i="14698"/>
  <c r="L206" i="14698"/>
  <c r="I206" i="14698"/>
  <c r="U241" i="14698"/>
  <c r="Q241" i="14698"/>
  <c r="P246" i="14698"/>
  <c r="H246" i="14698"/>
  <c r="J245" i="14698"/>
  <c r="L140" i="14698"/>
  <c r="E141" i="14698"/>
  <c r="P131" i="14698"/>
  <c r="L132" i="14698"/>
  <c r="Y183" i="14698"/>
  <c r="M190" i="14698"/>
  <c r="F24" i="14655"/>
  <c r="N117" i="14698"/>
  <c r="L118" i="14698"/>
  <c r="G118" i="14698"/>
  <c r="O118" i="14698"/>
  <c r="N119" i="14698"/>
  <c r="J173" i="14698"/>
  <c r="T168" i="14698"/>
  <c r="W148" i="14698"/>
  <c r="K158" i="14698"/>
  <c r="M156" i="14698"/>
  <c r="Q225" i="14698"/>
  <c r="O228" i="14698"/>
  <c r="J133" i="14703"/>
  <c r="N133" i="14703"/>
  <c r="U113" i="14703"/>
  <c r="M122" i="14703"/>
  <c r="L242" i="14703"/>
  <c r="F25" i="14638" a="1"/>
  <c r="F25" i="14638" s="1"/>
  <c r="P82" i="14703" a="1"/>
  <c r="P83" i="14703" s="1"/>
  <c r="N38" i="14630"/>
  <c r="N39" i="14630"/>
  <c r="N28" i="14698"/>
  <c r="D13" i="14657" s="1"/>
  <c r="Y219" i="14703"/>
  <c r="R219" i="14703"/>
  <c r="P135" i="14703"/>
  <c r="Q135" i="14703"/>
  <c r="X111" i="14703"/>
  <c r="N111" i="14703"/>
  <c r="L168" i="14703"/>
  <c r="K168" i="14703"/>
  <c r="N240" i="14703"/>
  <c r="V240" i="14703"/>
  <c r="L141" i="14703"/>
  <c r="M141" i="14703"/>
  <c r="K175" i="14703"/>
  <c r="J175" i="14703"/>
  <c r="M175" i="14703"/>
  <c r="M173" i="14703"/>
  <c r="G173" i="14703"/>
  <c r="J173" i="14703"/>
  <c r="K173" i="14703"/>
  <c r="I173" i="14703"/>
  <c r="I171" i="14703"/>
  <c r="R171" i="14703"/>
  <c r="K171" i="14703"/>
  <c r="Q171" i="14703"/>
  <c r="W184" i="14703"/>
  <c r="N184" i="14703"/>
  <c r="U184" i="14703"/>
  <c r="O191" i="14703"/>
  <c r="K191" i="14703"/>
  <c r="S185" i="14703"/>
  <c r="L185" i="14703"/>
  <c r="L149" i="14703"/>
  <c r="T149" i="14703"/>
  <c r="Q149" i="14703"/>
  <c r="O149" i="14703"/>
  <c r="V149" i="14703"/>
  <c r="R149" i="14703"/>
  <c r="P149" i="14703"/>
  <c r="M149" i="14703"/>
  <c r="F155" i="14703"/>
  <c r="H155" i="14703"/>
  <c r="N155" i="14703"/>
  <c r="K155" i="14703"/>
  <c r="J155" i="14703"/>
  <c r="L155" i="14703"/>
  <c r="H227" i="14703"/>
  <c r="I227" i="14703"/>
  <c r="O227" i="14703"/>
  <c r="G227" i="14703"/>
  <c r="K227" i="14703"/>
  <c r="O225" i="14703"/>
  <c r="M225" i="14703"/>
  <c r="S225" i="14703"/>
  <c r="N225" i="14703"/>
  <c r="I225" i="14703"/>
  <c r="S204" i="14703"/>
  <c r="Q204" i="14703"/>
  <c r="N204" i="14703"/>
  <c r="L204" i="14703"/>
  <c r="V204" i="14703"/>
  <c r="L205" i="14703"/>
  <c r="S205" i="14703"/>
  <c r="O205" i="14703"/>
  <c r="P205" i="14703"/>
  <c r="K205" i="14703"/>
  <c r="R205" i="14703"/>
  <c r="F213" i="14703"/>
  <c r="D213" i="14703"/>
  <c r="H213" i="14703"/>
  <c r="B213" i="14703"/>
  <c r="B214" i="14703" s="1"/>
  <c r="J213" i="14703"/>
  <c r="L213" i="14703"/>
  <c r="K213" i="14703"/>
  <c r="K133" i="14703"/>
  <c r="M133" i="14703"/>
  <c r="O133" i="14703"/>
  <c r="S133" i="14703"/>
  <c r="P133" i="14703"/>
  <c r="M131" i="14703"/>
  <c r="R131" i="14703"/>
  <c r="L131" i="14703"/>
  <c r="V131" i="14703"/>
  <c r="U132" i="14703"/>
  <c r="P132" i="14703"/>
  <c r="L132" i="14703"/>
  <c r="V132" i="14703"/>
  <c r="R132" i="14703"/>
  <c r="P242" i="14703"/>
  <c r="T242" i="14703"/>
  <c r="J242" i="14703"/>
  <c r="M242" i="14703"/>
  <c r="K242" i="14703"/>
  <c r="P243" i="14703"/>
  <c r="N243" i="14703"/>
  <c r="O243" i="14703"/>
  <c r="S243" i="14703"/>
  <c r="M243" i="14703"/>
  <c r="O247" i="14703"/>
  <c r="K247" i="14703"/>
  <c r="F247" i="14703"/>
  <c r="I247" i="14703"/>
  <c r="M247" i="14703"/>
  <c r="E247" i="14703"/>
  <c r="F248" i="14703"/>
  <c r="K248" i="14703"/>
  <c r="D248" i="14703"/>
  <c r="N119" i="14703"/>
  <c r="L119" i="14703"/>
  <c r="O119" i="14703"/>
  <c r="H119" i="14703"/>
  <c r="K119" i="14703"/>
  <c r="C122" i="14703"/>
  <c r="D122" i="14703"/>
  <c r="K122" i="14703"/>
  <c r="J122" i="14703"/>
  <c r="S115" i="14703"/>
  <c r="N115" i="14703"/>
  <c r="K115" i="14703"/>
  <c r="L115" i="14703"/>
  <c r="J115" i="14703"/>
  <c r="W113" i="14703"/>
  <c r="P113" i="14703"/>
  <c r="V113" i="14703"/>
  <c r="R113" i="14703"/>
  <c r="Q113" i="14703"/>
  <c r="T113" i="14703"/>
  <c r="S113" i="14703"/>
  <c r="R172" i="14703"/>
  <c r="I172" i="14703"/>
  <c r="P245" i="14703"/>
  <c r="N245" i="14703"/>
  <c r="J249" i="14703"/>
  <c r="L249" i="14703"/>
  <c r="N246" i="14703"/>
  <c r="O246" i="14703"/>
  <c r="U112" i="14703"/>
  <c r="X112" i="14703"/>
  <c r="W112" i="14703"/>
  <c r="J24" i="14655"/>
  <c r="P24" i="14655"/>
  <c r="O24" i="14655"/>
  <c r="K24" i="14655"/>
  <c r="G24" i="14655"/>
  <c r="H24" i="14655"/>
  <c r="Y73" i="14703" a="1"/>
  <c r="Y84" i="14703" s="1"/>
  <c r="Q131" i="14698"/>
  <c r="L131" i="14698"/>
  <c r="N131" i="14698"/>
  <c r="O223" i="14703"/>
  <c r="K223" i="14703"/>
  <c r="S223" i="14703"/>
  <c r="M223" i="14703"/>
  <c r="F212" i="14703"/>
  <c r="L212" i="14703"/>
  <c r="F176" i="14703"/>
  <c r="D176" i="14703"/>
  <c r="G176" i="14703"/>
  <c r="Q185" i="14698"/>
  <c r="R185" i="14698"/>
  <c r="S185" i="14698"/>
  <c r="U185" i="14698"/>
  <c r="V185" i="14698"/>
  <c r="L185" i="14698"/>
  <c r="L117" i="14698"/>
  <c r="P117" i="14698"/>
  <c r="R117" i="14698"/>
  <c r="K117" i="14698"/>
  <c r="M117" i="14698"/>
  <c r="S117" i="14698"/>
  <c r="F119" i="14698"/>
  <c r="O119" i="14698"/>
  <c r="L119" i="14698"/>
  <c r="K119" i="14698"/>
  <c r="H119" i="14698"/>
  <c r="J119" i="14698"/>
  <c r="U168" i="14698"/>
  <c r="Q168" i="14698"/>
  <c r="K168" i="14698"/>
  <c r="L168" i="14698"/>
  <c r="N168" i="14698"/>
  <c r="R168" i="14698"/>
  <c r="T148" i="14698"/>
  <c r="P148" i="14698"/>
  <c r="N148" i="14698"/>
  <c r="Q148" i="14698"/>
  <c r="U148" i="14698"/>
  <c r="S148" i="14698"/>
  <c r="P156" i="14698"/>
  <c r="J156" i="14698"/>
  <c r="N156" i="14698"/>
  <c r="H156" i="14698"/>
  <c r="O156" i="14698"/>
  <c r="E156" i="14698"/>
  <c r="P225" i="14698"/>
  <c r="J225" i="14698"/>
  <c r="R225" i="14698"/>
  <c r="H225" i="14698"/>
  <c r="N225" i="14698"/>
  <c r="K225" i="14698"/>
  <c r="T132" i="14698"/>
  <c r="K132" i="14698"/>
  <c r="M132" i="14698"/>
  <c r="P132" i="14698"/>
  <c r="N132" i="14698"/>
  <c r="U132" i="14698"/>
  <c r="X183" i="14698"/>
  <c r="U183" i="14698"/>
  <c r="S183" i="14698"/>
  <c r="V183" i="14698"/>
  <c r="P183" i="14698"/>
  <c r="R183" i="14698"/>
  <c r="O173" i="14698"/>
  <c r="L173" i="14698"/>
  <c r="I173" i="14698"/>
  <c r="M173" i="14698"/>
  <c r="H173" i="14698"/>
  <c r="F173" i="14698"/>
  <c r="Q111" i="14698"/>
  <c r="X111" i="14698"/>
  <c r="T111" i="14698"/>
  <c r="P111" i="14698"/>
  <c r="S111" i="14698"/>
  <c r="V111" i="14698"/>
  <c r="I158" i="14698"/>
  <c r="C158" i="14698"/>
  <c r="L158" i="14698"/>
  <c r="J158" i="14698"/>
  <c r="F158" i="14698"/>
  <c r="M158" i="14698"/>
  <c r="H228" i="14698"/>
  <c r="F228" i="14698"/>
  <c r="M228" i="14698"/>
  <c r="L228" i="14698"/>
  <c r="G228" i="14698"/>
  <c r="I228" i="14698"/>
  <c r="T165" i="14698"/>
  <c r="O165" i="14698"/>
  <c r="W165" i="14698"/>
  <c r="S165" i="14698"/>
  <c r="R165" i="14698"/>
  <c r="Y165" i="14698"/>
  <c r="M189" i="14698"/>
  <c r="O189" i="14698"/>
  <c r="I189" i="14698"/>
  <c r="S189" i="14698"/>
  <c r="P189" i="14698"/>
  <c r="Q189" i="14698"/>
  <c r="G190" i="14698"/>
  <c r="K190" i="14698"/>
  <c r="L190" i="14698"/>
  <c r="O190" i="14698"/>
  <c r="Q190" i="14698"/>
  <c r="P190" i="14698"/>
  <c r="D229" i="14698"/>
  <c r="O229" i="14698"/>
  <c r="E229" i="14698"/>
  <c r="L229" i="14698"/>
  <c r="I229" i="14698"/>
  <c r="M229" i="14698"/>
  <c r="N203" i="14698"/>
  <c r="W203" i="14698"/>
  <c r="T203" i="14698"/>
  <c r="L203" i="14698"/>
  <c r="R203" i="14698"/>
  <c r="S207" i="14698"/>
  <c r="I207" i="14698"/>
  <c r="H207" i="14698"/>
  <c r="K207" i="14698"/>
  <c r="J207" i="14698"/>
  <c r="S202" i="14698"/>
  <c r="Q202" i="14698"/>
  <c r="O202" i="14698"/>
  <c r="W202" i="14698"/>
  <c r="X202" i="14698"/>
  <c r="H208" i="14698"/>
  <c r="G208" i="14698"/>
  <c r="P208" i="14698"/>
  <c r="J208" i="14698"/>
  <c r="O208" i="14698"/>
  <c r="L248" i="14698"/>
  <c r="F248" i="14698"/>
  <c r="N248" i="14698"/>
  <c r="J248" i="14698"/>
  <c r="E248" i="14698"/>
  <c r="M242" i="14698"/>
  <c r="T242" i="14698"/>
  <c r="K242" i="14698"/>
  <c r="Q242" i="14698"/>
  <c r="R242" i="14698"/>
  <c r="O237" i="14698"/>
  <c r="Q237" i="14698"/>
  <c r="Y237" i="14698"/>
  <c r="V237" i="14698"/>
  <c r="P237" i="14698"/>
  <c r="S135" i="14698"/>
  <c r="J135" i="14698"/>
  <c r="R135" i="14698"/>
  <c r="I135" i="14698"/>
  <c r="M135" i="14698"/>
  <c r="I137" i="14698"/>
  <c r="Q137" i="14698"/>
  <c r="O137" i="14698"/>
  <c r="P137" i="14698"/>
  <c r="K137" i="14698"/>
  <c r="M139" i="14698"/>
  <c r="D139" i="14698"/>
  <c r="J139" i="14698"/>
  <c r="I139" i="14698"/>
  <c r="E139" i="14698"/>
  <c r="I194" i="14698"/>
  <c r="K194" i="14698"/>
  <c r="M194" i="14698"/>
  <c r="N194" i="14698"/>
  <c r="J194" i="14698"/>
  <c r="H193" i="14698"/>
  <c r="F193" i="14698"/>
  <c r="I193" i="14698"/>
  <c r="E193" i="14698"/>
  <c r="G193" i="14698"/>
  <c r="S188" i="14698"/>
  <c r="J188" i="14698"/>
  <c r="N188" i="14698"/>
  <c r="R188" i="14698"/>
  <c r="K188" i="14698"/>
  <c r="V186" i="14698"/>
  <c r="O186" i="14698"/>
  <c r="M186" i="14698"/>
  <c r="N186" i="14698"/>
  <c r="U186" i="14698"/>
  <c r="J21" i="14645"/>
  <c r="J22" i="14645" s="1"/>
  <c r="B21" i="14645"/>
  <c r="B22" i="14645" s="1"/>
  <c r="E21" i="14645"/>
  <c r="E22" i="14645" s="1"/>
  <c r="K7" i="14633"/>
  <c r="M21" i="14645"/>
  <c r="L7" i="14633"/>
  <c r="D7" i="14633"/>
  <c r="F11" i="14706"/>
  <c r="F17" i="14667"/>
  <c r="H7" i="14633"/>
  <c r="M7" i="14633"/>
  <c r="L21" i="14645"/>
  <c r="L22" i="14645" s="1"/>
  <c r="O114" i="14698"/>
  <c r="Q114" i="14698"/>
  <c r="R114" i="14698"/>
  <c r="S114" i="14698"/>
  <c r="M114" i="14698"/>
  <c r="O120" i="14698"/>
  <c r="H120" i="14698"/>
  <c r="G120" i="14698"/>
  <c r="K120" i="14698"/>
  <c r="E120" i="14698"/>
  <c r="V167" i="14698"/>
  <c r="W167" i="14698"/>
  <c r="R167" i="14698"/>
  <c r="M167" i="14698"/>
  <c r="T167" i="14698"/>
  <c r="L170" i="14698"/>
  <c r="J170" i="14698"/>
  <c r="I170" i="14698"/>
  <c r="O170" i="14698"/>
  <c r="M170" i="14698"/>
  <c r="N166" i="14698"/>
  <c r="V166" i="14698"/>
  <c r="Q166" i="14698"/>
  <c r="M166" i="14698"/>
  <c r="O166" i="14698"/>
  <c r="P154" i="14698"/>
  <c r="N154" i="14698"/>
  <c r="I154" i="14698"/>
  <c r="G154" i="14698"/>
  <c r="J154" i="14698"/>
  <c r="W149" i="14698"/>
  <c r="T149" i="14698"/>
  <c r="O149" i="14698"/>
  <c r="P149" i="14698"/>
  <c r="M149" i="14698"/>
  <c r="D159" i="14698"/>
  <c r="E159" i="14698"/>
  <c r="H159" i="14698"/>
  <c r="M159" i="14698"/>
  <c r="I159" i="14698"/>
  <c r="Q224" i="14698"/>
  <c r="P224" i="14698"/>
  <c r="T224" i="14698"/>
  <c r="K224" i="14698"/>
  <c r="S224" i="14698"/>
  <c r="Q223" i="14698"/>
  <c r="R223" i="14698"/>
  <c r="U223" i="14698"/>
  <c r="K223" i="14698"/>
  <c r="M223" i="14698"/>
  <c r="K231" i="14698"/>
  <c r="G231" i="14698"/>
  <c r="L231" i="14698"/>
  <c r="I231" i="14698"/>
  <c r="B231" i="14698"/>
  <c r="B232" i="14698" s="1"/>
  <c r="Q204" i="14698"/>
  <c r="S204" i="14698"/>
  <c r="V204" i="14698"/>
  <c r="K204" i="14698"/>
  <c r="O204" i="14698"/>
  <c r="N209" i="14698"/>
  <c r="K209" i="14698"/>
  <c r="Q209" i="14698"/>
  <c r="L209" i="14698"/>
  <c r="G209" i="14698"/>
  <c r="L213" i="14698"/>
  <c r="C213" i="14698"/>
  <c r="K213" i="14698"/>
  <c r="G213" i="14698"/>
  <c r="E213" i="14698"/>
  <c r="Q206" i="14698"/>
  <c r="M206" i="14698"/>
  <c r="K206" i="14698"/>
  <c r="J206" i="14698"/>
  <c r="N206" i="14698"/>
  <c r="T241" i="14698"/>
  <c r="P241" i="14698"/>
  <c r="L241" i="14698"/>
  <c r="K241" i="14698"/>
  <c r="O241" i="14698"/>
  <c r="O246" i="14698"/>
  <c r="G246" i="14698"/>
  <c r="L246" i="14698"/>
  <c r="I246" i="14698"/>
  <c r="F246" i="14698"/>
  <c r="L245" i="14698"/>
  <c r="N245" i="14698"/>
  <c r="F245" i="14698"/>
  <c r="G245" i="14698"/>
  <c r="Q245" i="14698"/>
  <c r="I140" i="14698"/>
  <c r="M140" i="14698"/>
  <c r="J140" i="14698"/>
  <c r="D140" i="14698"/>
  <c r="G140" i="14698"/>
  <c r="H141" i="14698"/>
  <c r="G141" i="14698"/>
  <c r="K141" i="14698"/>
  <c r="I141" i="14698"/>
  <c r="M141" i="14698"/>
  <c r="V131" i="14698"/>
  <c r="T131" i="14698"/>
  <c r="U131" i="14698"/>
  <c r="M131" i="14698"/>
  <c r="S131" i="14698"/>
  <c r="O132" i="14698"/>
  <c r="R132" i="14698"/>
  <c r="Q132" i="14698"/>
  <c r="N183" i="14698"/>
  <c r="O183" i="14698"/>
  <c r="Q183" i="14698"/>
  <c r="L189" i="14698"/>
  <c r="H189" i="14698"/>
  <c r="K189" i="14698"/>
  <c r="O185" i="14698"/>
  <c r="N185" i="14698"/>
  <c r="T185" i="14698"/>
  <c r="I190" i="14698"/>
  <c r="J190" i="14698"/>
  <c r="H190" i="14698"/>
  <c r="I24" i="14655"/>
  <c r="E24" i="14655"/>
  <c r="L24" i="14655"/>
  <c r="Q117" i="14698"/>
  <c r="O117" i="14698"/>
  <c r="I117" i="14698"/>
  <c r="R111" i="14698"/>
  <c r="N111" i="14698"/>
  <c r="O111" i="14698"/>
  <c r="P119" i="14698"/>
  <c r="M119" i="14698"/>
  <c r="I119" i="14698"/>
  <c r="Q173" i="14698"/>
  <c r="G173" i="14698"/>
  <c r="K173" i="14698"/>
  <c r="U165" i="14698"/>
  <c r="X165" i="14698"/>
  <c r="V165" i="14698"/>
  <c r="P168" i="14698"/>
  <c r="O168" i="14698"/>
  <c r="V168" i="14698"/>
  <c r="O148" i="14698"/>
  <c r="X148" i="14698"/>
  <c r="V148" i="14698"/>
  <c r="H158" i="14698"/>
  <c r="N158" i="14698"/>
  <c r="D158" i="14698"/>
  <c r="G156" i="14698"/>
  <c r="K156" i="14698"/>
  <c r="F156" i="14698"/>
  <c r="F229" i="14698"/>
  <c r="G229" i="14698"/>
  <c r="N229" i="14698"/>
  <c r="I225" i="14698"/>
  <c r="M225" i="14698"/>
  <c r="S225" i="14698"/>
  <c r="P228" i="14698"/>
  <c r="K228" i="14698"/>
  <c r="J228" i="14698"/>
  <c r="H175" i="14703"/>
  <c r="L173" i="14703"/>
  <c r="R133" i="14703"/>
  <c r="T204" i="14703"/>
  <c r="M205" i="14703"/>
  <c r="D175" i="14703"/>
  <c r="L133" i="14703"/>
  <c r="Q205" i="14703"/>
  <c r="F122" i="14703"/>
  <c r="R115" i="14703"/>
  <c r="R243" i="14703"/>
  <c r="I155" i="14703"/>
  <c r="P227" i="14703"/>
  <c r="O131" i="14703"/>
  <c r="Q132" i="14703"/>
  <c r="M155" i="14703"/>
  <c r="W149" i="14703"/>
  <c r="N113" i="14703"/>
  <c r="H171" i="14703"/>
  <c r="Q227" i="14703"/>
  <c r="K204" i="14703"/>
  <c r="J248" i="14703"/>
  <c r="O132" i="14703"/>
  <c r="T131" i="14703"/>
  <c r="P155" i="14703"/>
  <c r="Q131" i="14703"/>
  <c r="O240" i="14703"/>
  <c r="D193" i="14703"/>
  <c r="F249" i="14703"/>
  <c r="C27" i="14683"/>
  <c r="H7" i="14708" s="1"/>
  <c r="U22" i="14655" s="1"/>
  <c r="E53" i="14643" a="1"/>
  <c r="E60" i="14643" s="1"/>
  <c r="K85" i="14698"/>
  <c r="H85" i="14698"/>
  <c r="O41" i="14628"/>
  <c r="O42" i="14628" s="1"/>
  <c r="D27" i="14632"/>
  <c r="D10" i="14640" s="1"/>
  <c r="B27" i="14632"/>
  <c r="U77" i="14703" a="1"/>
  <c r="U80" i="14703" s="1"/>
  <c r="C61" i="14643"/>
  <c r="D53" i="14643" s="1"/>
  <c r="N7" i="8"/>
  <c r="G85" i="14698"/>
  <c r="N33" i="14630"/>
  <c r="N32" i="14630"/>
  <c r="N37" i="14630"/>
  <c r="N35" i="14630"/>
  <c r="C32" i="14707"/>
  <c r="D24" i="14707" s="1" a="1"/>
  <c r="D28" i="14707" s="1"/>
  <c r="K27" i="14632"/>
  <c r="K10" i="14640" s="1"/>
  <c r="X201" i="14703"/>
  <c r="U201" i="14703"/>
  <c r="P136" i="14703"/>
  <c r="J136" i="14703"/>
  <c r="C41" i="14634" a="1"/>
  <c r="C41" i="14634" s="1"/>
  <c r="J174" i="14703"/>
  <c r="M174" i="14703"/>
  <c r="H174" i="14703"/>
  <c r="E177" i="14703"/>
  <c r="K177" i="14703"/>
  <c r="D177" i="14703"/>
  <c r="M167" i="14703"/>
  <c r="S167" i="14703"/>
  <c r="N187" i="14703"/>
  <c r="U187" i="14703"/>
  <c r="J187" i="14703"/>
  <c r="F192" i="14703"/>
  <c r="L192" i="14703"/>
  <c r="M192" i="14703"/>
  <c r="K150" i="14703"/>
  <c r="V150" i="14703"/>
  <c r="E157" i="14703"/>
  <c r="I157" i="14703"/>
  <c r="J157" i="14703"/>
  <c r="R152" i="14703"/>
  <c r="Q152" i="14703"/>
  <c r="J230" i="14703"/>
  <c r="F230" i="14703"/>
  <c r="L209" i="14703"/>
  <c r="G209" i="14703"/>
  <c r="P238" i="14703"/>
  <c r="V238" i="14703"/>
  <c r="K123" i="14703"/>
  <c r="E123" i="14703"/>
  <c r="V114" i="14703"/>
  <c r="T114" i="14703"/>
  <c r="C6" i="14625" a="1"/>
  <c r="G6" i="14625" s="1"/>
  <c r="L121" i="14703"/>
  <c r="E121" i="14703"/>
  <c r="F121" i="14703"/>
  <c r="G121" i="14703"/>
  <c r="M121" i="14703"/>
  <c r="D121" i="14703"/>
  <c r="I121" i="14703"/>
  <c r="O121" i="14703"/>
  <c r="H121" i="14703"/>
  <c r="N121" i="14703"/>
  <c r="R207" i="14703"/>
  <c r="K207" i="14703"/>
  <c r="O207" i="14703"/>
  <c r="H207" i="14703"/>
  <c r="N207" i="14703"/>
  <c r="P207" i="14703"/>
  <c r="J207" i="14703"/>
  <c r="S207" i="14703"/>
  <c r="I207" i="14703"/>
  <c r="N220" i="14703"/>
  <c r="U220" i="14703"/>
  <c r="Q220" i="14703"/>
  <c r="R220" i="14703"/>
  <c r="P220" i="14703"/>
  <c r="O220" i="14703"/>
  <c r="X220" i="14703"/>
  <c r="M220" i="14703"/>
  <c r="W220" i="14703"/>
  <c r="T220" i="14703"/>
  <c r="J38" i="14703"/>
  <c r="F33" i="14703"/>
  <c r="G38" i="14703"/>
  <c r="D34" i="14703"/>
  <c r="L37" i="14703"/>
  <c r="K39" i="14703"/>
  <c r="G35" i="14703"/>
  <c r="M32" i="14703"/>
  <c r="L36" i="14703"/>
  <c r="G32" i="14703"/>
  <c r="L38" i="14703"/>
  <c r="E36" i="14703"/>
  <c r="I33" i="14703"/>
  <c r="C38" i="14703"/>
  <c r="L34" i="14703"/>
  <c r="I34" i="14703"/>
  <c r="F37" i="14703"/>
  <c r="D37" i="14703"/>
  <c r="K34" i="14703"/>
  <c r="C32" i="14703"/>
  <c r="M37" i="14703"/>
  <c r="L32" i="14703"/>
  <c r="F32" i="14703"/>
  <c r="H33" i="14703"/>
  <c r="H36" i="14703"/>
  <c r="D35" i="14703"/>
  <c r="B35" i="14703"/>
  <c r="F34" i="14703"/>
  <c r="E35" i="14703"/>
  <c r="B39" i="14703"/>
  <c r="B38" i="14703"/>
  <c r="L39" i="14703"/>
  <c r="G36" i="14703"/>
  <c r="K36" i="14703"/>
  <c r="E39" i="14703"/>
  <c r="M33" i="14703"/>
  <c r="I39" i="14703"/>
  <c r="L33" i="14703"/>
  <c r="K35" i="14703"/>
  <c r="G33" i="14703"/>
  <c r="G39" i="14703"/>
  <c r="M36" i="14703"/>
  <c r="D38" i="14703"/>
  <c r="I35" i="14703"/>
  <c r="M34" i="14703"/>
  <c r="J33" i="14703"/>
  <c r="F36" i="14703"/>
  <c r="C37" i="14703"/>
  <c r="K32" i="14703"/>
  <c r="E32" i="14703"/>
  <c r="B37" i="14703"/>
  <c r="B34" i="14703"/>
  <c r="I38" i="14703"/>
  <c r="J35" i="14703"/>
  <c r="F39" i="14703"/>
  <c r="C35" i="14703"/>
  <c r="J34" i="14703"/>
  <c r="J37" i="14703"/>
  <c r="F38" i="14703"/>
  <c r="L35" i="14703"/>
  <c r="K37" i="14703"/>
  <c r="E33" i="14703"/>
  <c r="D32" i="14703"/>
  <c r="I36" i="14703"/>
  <c r="G37" i="14703"/>
  <c r="E34" i="14703"/>
  <c r="C34" i="14703"/>
  <c r="K33" i="14703"/>
  <c r="H37" i="14703"/>
  <c r="H35" i="14703"/>
  <c r="I32" i="14703"/>
  <c r="D39" i="14703"/>
  <c r="D36" i="14703"/>
  <c r="J158" i="14703"/>
  <c r="M158" i="14703"/>
  <c r="C158" i="14703"/>
  <c r="E158" i="14703"/>
  <c r="F158" i="14703"/>
  <c r="N158" i="14703"/>
  <c r="K158" i="14703"/>
  <c r="G158" i="14703"/>
  <c r="I158" i="14703"/>
  <c r="D158" i="14703"/>
  <c r="L158" i="14703"/>
  <c r="X183" i="14703"/>
  <c r="Q183" i="14703"/>
  <c r="R183" i="14703"/>
  <c r="S183" i="14703"/>
  <c r="T183" i="14703"/>
  <c r="O183" i="14703"/>
  <c r="P183" i="14703"/>
  <c r="V183" i="14703"/>
  <c r="U183" i="14703"/>
  <c r="W183" i="14703"/>
  <c r="H231" i="14703"/>
  <c r="B231" i="14703"/>
  <c r="B232" i="14703" s="1"/>
  <c r="K231" i="14703"/>
  <c r="F231" i="14703"/>
  <c r="I231" i="14703"/>
  <c r="L231" i="14703"/>
  <c r="G231" i="14703"/>
  <c r="E231" i="14703"/>
  <c r="C231" i="14703"/>
  <c r="J231" i="14703"/>
  <c r="O117" i="14703"/>
  <c r="R117" i="14703"/>
  <c r="I117" i="14703"/>
  <c r="N117" i="14703"/>
  <c r="K117" i="14703"/>
  <c r="Q117" i="14703"/>
  <c r="H117" i="14703"/>
  <c r="M117" i="14703"/>
  <c r="J117" i="14703"/>
  <c r="L117" i="14703"/>
  <c r="S117" i="14703"/>
  <c r="Q203" i="14703"/>
  <c r="T203" i="14703"/>
  <c r="N203" i="14703"/>
  <c r="S203" i="14703"/>
  <c r="V203" i="14703"/>
  <c r="M203" i="14703"/>
  <c r="P203" i="14703"/>
  <c r="L203" i="14703"/>
  <c r="O203" i="14703"/>
  <c r="U203" i="14703"/>
  <c r="W203" i="14703"/>
  <c r="P154" i="14703"/>
  <c r="Q154" i="14703"/>
  <c r="R154" i="14703"/>
  <c r="M154" i="14703"/>
  <c r="L154" i="14703"/>
  <c r="I154" i="14703"/>
  <c r="K154" i="14703"/>
  <c r="H154" i="14703"/>
  <c r="N154" i="14703"/>
  <c r="G154" i="14703"/>
  <c r="F229" i="14703"/>
  <c r="J229" i="14703"/>
  <c r="O229" i="14703"/>
  <c r="N229" i="14703"/>
  <c r="M229" i="14703"/>
  <c r="L229" i="14703"/>
  <c r="I229" i="14703"/>
  <c r="G229" i="14703"/>
  <c r="D229" i="14703"/>
  <c r="K243" i="14698"/>
  <c r="N243" i="14698"/>
  <c r="J243" i="14698"/>
  <c r="J138" i="14698"/>
  <c r="I138" i="14698"/>
  <c r="L138" i="14698"/>
  <c r="O138" i="14698"/>
  <c r="P138" i="14698"/>
  <c r="K138" i="14698"/>
  <c r="R133" i="14698"/>
  <c r="P133" i="14698"/>
  <c r="U133" i="14698"/>
  <c r="J133" i="14698"/>
  <c r="O133" i="14698"/>
  <c r="N133" i="14698"/>
  <c r="P184" i="14698"/>
  <c r="N184" i="14698"/>
  <c r="R184" i="14698"/>
  <c r="S184" i="14698"/>
  <c r="U184" i="14698"/>
  <c r="X184" i="14698"/>
  <c r="M191" i="14698"/>
  <c r="P191" i="14698"/>
  <c r="L191" i="14698"/>
  <c r="K191" i="14698"/>
  <c r="I191" i="14698"/>
  <c r="G191" i="14698"/>
  <c r="S187" i="14698"/>
  <c r="K187" i="14698"/>
  <c r="L187" i="14698"/>
  <c r="T187" i="14698"/>
  <c r="M187" i="14698"/>
  <c r="N187" i="14698"/>
  <c r="N85" i="14703"/>
  <c r="W112" i="14698"/>
  <c r="V112" i="14698"/>
  <c r="Q112" i="14698"/>
  <c r="O112" i="14698"/>
  <c r="T112" i="14698"/>
  <c r="S112" i="14698"/>
  <c r="D33" i="14698"/>
  <c r="H34" i="14698"/>
  <c r="C32" i="14698"/>
  <c r="F35" i="14698"/>
  <c r="E34" i="14698"/>
  <c r="H33" i="14698"/>
  <c r="E33" i="14698"/>
  <c r="M32" i="14698"/>
  <c r="G32" i="14698"/>
  <c r="I38" i="14698"/>
  <c r="C38" i="14698"/>
  <c r="H32" i="14698"/>
  <c r="M37" i="14698"/>
  <c r="H39" i="14698"/>
  <c r="D39" i="14698"/>
  <c r="G37" i="14698"/>
  <c r="K33" i="14698"/>
  <c r="K38" i="14698"/>
  <c r="M39" i="14698"/>
  <c r="F37" i="14698"/>
  <c r="D37" i="14698"/>
  <c r="E35" i="14698"/>
  <c r="B38" i="14698"/>
  <c r="M35" i="14698"/>
  <c r="B36" i="14698"/>
  <c r="L37" i="14698"/>
  <c r="J39" i="14698"/>
  <c r="M36" i="14698"/>
  <c r="G35" i="14698"/>
  <c r="G39" i="14698"/>
  <c r="K35" i="14698"/>
  <c r="J33" i="14698"/>
  <c r="L39" i="14698"/>
  <c r="D35" i="14698"/>
  <c r="F34" i="14698"/>
  <c r="D34" i="14698"/>
  <c r="H36" i="14698"/>
  <c r="K37" i="14698"/>
  <c r="I32" i="14698"/>
  <c r="J35" i="14698"/>
  <c r="C39" i="14698"/>
  <c r="B32" i="14698"/>
  <c r="I35" i="14698"/>
  <c r="G38" i="14698"/>
  <c r="M33" i="14698"/>
  <c r="G33" i="14698"/>
  <c r="I34" i="14698"/>
  <c r="E32" i="14698"/>
  <c r="O115" i="14698"/>
  <c r="P115" i="14698"/>
  <c r="K115" i="14698"/>
  <c r="M115" i="14698"/>
  <c r="S115" i="14698"/>
  <c r="Q115" i="14698"/>
  <c r="N172" i="14698"/>
  <c r="R172" i="14698"/>
  <c r="G172" i="14698"/>
  <c r="J172" i="14698"/>
  <c r="K172" i="14698"/>
  <c r="I172" i="14698"/>
  <c r="U169" i="14698"/>
  <c r="K169" i="14698"/>
  <c r="O169" i="14698"/>
  <c r="N169" i="14698"/>
  <c r="M169" i="14698"/>
  <c r="Q169" i="14698"/>
  <c r="J174" i="14698"/>
  <c r="I174" i="14698"/>
  <c r="M174" i="14698"/>
  <c r="H174" i="14698"/>
  <c r="N174" i="14698"/>
  <c r="F174" i="14698"/>
  <c r="T151" i="14698"/>
  <c r="K151" i="14698"/>
  <c r="J151" i="14698"/>
  <c r="P151" i="14698"/>
  <c r="M151" i="14698"/>
  <c r="L151" i="14698"/>
  <c r="T150" i="14698"/>
  <c r="V150" i="14698"/>
  <c r="L150" i="14698"/>
  <c r="R150" i="14698"/>
  <c r="S150" i="14698"/>
  <c r="O150" i="14698"/>
  <c r="K153" i="14698"/>
  <c r="R153" i="14698"/>
  <c r="N153" i="14698"/>
  <c r="J153" i="14698"/>
  <c r="Q153" i="14698"/>
  <c r="I153" i="14698"/>
  <c r="H226" i="14698"/>
  <c r="M226" i="14698"/>
  <c r="I226" i="14698"/>
  <c r="G226" i="14698"/>
  <c r="P226" i="14698"/>
  <c r="K226" i="14698"/>
  <c r="L222" i="14698"/>
  <c r="N222" i="14698"/>
  <c r="O222" i="14698"/>
  <c r="S222" i="14698"/>
  <c r="K222" i="14698"/>
  <c r="R222" i="14698"/>
  <c r="L221" i="14698"/>
  <c r="U221" i="14698"/>
  <c r="V221" i="14698"/>
  <c r="M221" i="14698"/>
  <c r="Q221" i="14698"/>
  <c r="T221" i="14698"/>
  <c r="D85" i="14698"/>
  <c r="B9" i="14631" a="1"/>
  <c r="D9" i="14631" s="1"/>
  <c r="N136" i="14698"/>
  <c r="O136" i="14698"/>
  <c r="M136" i="14698"/>
  <c r="I136" i="14698"/>
  <c r="Q136" i="14698"/>
  <c r="L136" i="14698"/>
  <c r="Q134" i="14698"/>
  <c r="K134" i="14698"/>
  <c r="S134" i="14698"/>
  <c r="I134" i="14698"/>
  <c r="P134" i="14698"/>
  <c r="O134" i="14698"/>
  <c r="V130" i="14698"/>
  <c r="T130" i="14698"/>
  <c r="O130" i="14698"/>
  <c r="U130" i="14698"/>
  <c r="N130" i="14698"/>
  <c r="S130" i="14698"/>
  <c r="L85" i="14698"/>
  <c r="Q208" i="14703"/>
  <c r="L208" i="14703"/>
  <c r="R208" i="14703"/>
  <c r="I208" i="14703"/>
  <c r="G208" i="14703"/>
  <c r="P208" i="14703"/>
  <c r="H208" i="14703"/>
  <c r="J208" i="14703"/>
  <c r="K208" i="14703"/>
  <c r="T205" i="14698"/>
  <c r="R205" i="14698"/>
  <c r="P205" i="14698"/>
  <c r="U205" i="14698"/>
  <c r="K205" i="14698"/>
  <c r="J205" i="14698"/>
  <c r="J210" i="14698"/>
  <c r="M210" i="14698"/>
  <c r="O210" i="14698"/>
  <c r="E210" i="14698"/>
  <c r="G210" i="14698"/>
  <c r="L210" i="14698"/>
  <c r="H244" i="14698"/>
  <c r="I244" i="14698"/>
  <c r="M244" i="14698"/>
  <c r="R244" i="14698"/>
  <c r="L244" i="14698"/>
  <c r="K244" i="14698"/>
  <c r="K240" i="14698"/>
  <c r="R240" i="14698"/>
  <c r="T240" i="14698"/>
  <c r="L240" i="14698"/>
  <c r="V240" i="14698"/>
  <c r="O240" i="14698"/>
  <c r="M247" i="14698"/>
  <c r="N247" i="14698"/>
  <c r="I247" i="14698"/>
  <c r="G247" i="14698"/>
  <c r="D247" i="14698"/>
  <c r="K247" i="14698"/>
  <c r="I171" i="14698"/>
  <c r="Q171" i="14698"/>
  <c r="K171" i="14698"/>
  <c r="L171" i="14698"/>
  <c r="O171" i="14698"/>
  <c r="N171" i="14698"/>
  <c r="O138" i="14703"/>
  <c r="M138" i="14703"/>
  <c r="P138" i="14703"/>
  <c r="K138" i="14703"/>
  <c r="F138" i="14703"/>
  <c r="N138" i="14703"/>
  <c r="I138" i="14703"/>
  <c r="E138" i="14703"/>
  <c r="G138" i="14703"/>
  <c r="J138" i="14703"/>
  <c r="H138" i="14703"/>
  <c r="L116" i="14698"/>
  <c r="R116" i="14698"/>
  <c r="O116" i="14698"/>
  <c r="P116" i="14698"/>
  <c r="I116" i="14698"/>
  <c r="M116" i="14698"/>
  <c r="G27" i="14632"/>
  <c r="G10" i="14640" s="1"/>
  <c r="D195" i="14698"/>
  <c r="F195" i="14698"/>
  <c r="L195" i="14698"/>
  <c r="G195" i="14698"/>
  <c r="M195" i="14698"/>
  <c r="K195" i="14698"/>
  <c r="E85" i="14698"/>
  <c r="Q81" i="14703" a="1"/>
  <c r="Q83" i="14703" s="1"/>
  <c r="I123" i="14698"/>
  <c r="E123" i="14698"/>
  <c r="B123" i="14698"/>
  <c r="B124" i="14698" s="1"/>
  <c r="K123" i="14698"/>
  <c r="C123" i="14698"/>
  <c r="G123" i="14698"/>
  <c r="L123" i="14698"/>
  <c r="H123" i="14698"/>
  <c r="M123" i="14698"/>
  <c r="F175" i="14698"/>
  <c r="H175" i="14698"/>
  <c r="I175" i="14698"/>
  <c r="M175" i="14698"/>
  <c r="D175" i="14698"/>
  <c r="J175" i="14698"/>
  <c r="O175" i="14698"/>
  <c r="E175" i="14698"/>
  <c r="G175" i="14698"/>
  <c r="Q152" i="14698"/>
  <c r="K152" i="14698"/>
  <c r="N152" i="14698"/>
  <c r="J152" i="14698"/>
  <c r="P152" i="14698"/>
  <c r="O152" i="14698"/>
  <c r="S152" i="14698"/>
  <c r="M152" i="14698"/>
  <c r="L152" i="14698"/>
  <c r="I155" i="14698"/>
  <c r="P155" i="14698"/>
  <c r="K155" i="14698"/>
  <c r="Q155" i="14698"/>
  <c r="H155" i="14698"/>
  <c r="G155" i="14698"/>
  <c r="N155" i="14698"/>
  <c r="F155" i="14698"/>
  <c r="M155" i="14698"/>
  <c r="V220" i="14698"/>
  <c r="Q220" i="14698"/>
  <c r="X220" i="14698"/>
  <c r="R220" i="14698"/>
  <c r="P220" i="14698"/>
  <c r="T220" i="14698"/>
  <c r="O220" i="14698"/>
  <c r="N220" i="14698"/>
  <c r="W220" i="14698"/>
  <c r="U129" i="14698"/>
  <c r="Q129" i="14698"/>
  <c r="T129" i="14698"/>
  <c r="Y129" i="14698"/>
  <c r="P129" i="14698"/>
  <c r="R129" i="14698"/>
  <c r="F85" i="14698"/>
  <c r="M192" i="14698"/>
  <c r="E192" i="14698"/>
  <c r="N192" i="14698"/>
  <c r="J192" i="14698"/>
  <c r="K192" i="14698"/>
  <c r="H192" i="14698"/>
  <c r="Q165" i="14703"/>
  <c r="N165" i="14703"/>
  <c r="S165" i="14703"/>
  <c r="O165" i="14703"/>
  <c r="R165" i="14703"/>
  <c r="X165" i="14703"/>
  <c r="Y165" i="14703"/>
  <c r="T165" i="14703"/>
  <c r="P165" i="14703"/>
  <c r="U165" i="14703"/>
  <c r="N34" i="14630"/>
  <c r="C85" i="14698"/>
  <c r="H121" i="14698"/>
  <c r="F121" i="14698"/>
  <c r="L121" i="14698"/>
  <c r="I121" i="14698"/>
  <c r="J121" i="14698"/>
  <c r="K121" i="14698"/>
  <c r="M85" i="14698"/>
  <c r="P147" i="14698"/>
  <c r="U147" i="14698"/>
  <c r="O147" i="14698"/>
  <c r="T147" i="14698"/>
  <c r="X147" i="14698"/>
  <c r="N147" i="14698"/>
  <c r="R147" i="14698"/>
  <c r="S147" i="14698"/>
  <c r="Y147" i="14698"/>
  <c r="W219" i="14698"/>
  <c r="O219" i="14698"/>
  <c r="N219" i="14698"/>
  <c r="U219" i="14698"/>
  <c r="Y219" i="14698"/>
  <c r="P219" i="14698"/>
  <c r="R219" i="14698"/>
  <c r="X219" i="14698"/>
  <c r="S219" i="14698"/>
  <c r="I122" i="14698"/>
  <c r="D122" i="14698"/>
  <c r="M122" i="14698"/>
  <c r="C122" i="14698"/>
  <c r="F122" i="14698"/>
  <c r="N122" i="14698"/>
  <c r="D230" i="14698"/>
  <c r="E230" i="14698"/>
  <c r="N230" i="14698"/>
  <c r="M230" i="14698"/>
  <c r="L230" i="14698"/>
  <c r="F230" i="14698"/>
  <c r="C230" i="14698"/>
  <c r="G230" i="14698"/>
  <c r="H230" i="14698"/>
  <c r="B7" i="14631" a="1"/>
  <c r="H7" i="14631" s="1"/>
  <c r="N5" i="14631"/>
  <c r="D5" i="14617" s="1" a="1"/>
  <c r="D6" i="14617" s="1"/>
  <c r="B22" i="14655"/>
  <c r="I22" i="14655" s="1"/>
  <c r="F14" i="14708"/>
  <c r="F20" i="14708" s="1"/>
  <c r="I177" i="14698"/>
  <c r="C177" i="14698"/>
  <c r="G177" i="14698"/>
  <c r="M177" i="14698"/>
  <c r="D177" i="14698"/>
  <c r="E177" i="14698"/>
  <c r="K177" i="14698"/>
  <c r="J177" i="14698"/>
  <c r="F177" i="14698"/>
  <c r="F176" i="14698"/>
  <c r="J176" i="14698"/>
  <c r="M176" i="14698"/>
  <c r="G176" i="14698"/>
  <c r="N176" i="14698"/>
  <c r="L176" i="14698"/>
  <c r="E176" i="14698"/>
  <c r="H176" i="14698"/>
  <c r="D176" i="14698"/>
  <c r="N157" i="14698"/>
  <c r="G157" i="14698"/>
  <c r="K157" i="14698"/>
  <c r="L157" i="14698"/>
  <c r="I157" i="14698"/>
  <c r="O157" i="14698"/>
  <c r="E157" i="14698"/>
  <c r="F157" i="14698"/>
  <c r="M157" i="14698"/>
  <c r="V76" i="14703" a="1"/>
  <c r="V84" i="14703" s="1"/>
  <c r="W113" i="14698"/>
  <c r="P113" i="14698"/>
  <c r="N113" i="14698"/>
  <c r="M113" i="14698"/>
  <c r="Q113" i="14698"/>
  <c r="R113" i="14698"/>
  <c r="G212" i="14698"/>
  <c r="D212" i="14698"/>
  <c r="K212" i="14698"/>
  <c r="E212" i="14698"/>
  <c r="M212" i="14698"/>
  <c r="D211" i="14698"/>
  <c r="K211" i="14698"/>
  <c r="N211" i="14698"/>
  <c r="O211" i="14698"/>
  <c r="H211" i="14698"/>
  <c r="U201" i="14698"/>
  <c r="R201" i="14698"/>
  <c r="Q201" i="14698"/>
  <c r="V201" i="14698"/>
  <c r="W201" i="14698"/>
  <c r="O239" i="14698"/>
  <c r="Q239" i="14698"/>
  <c r="U239" i="14698"/>
  <c r="P239" i="14698"/>
  <c r="W239" i="14698"/>
  <c r="S238" i="14698"/>
  <c r="T238" i="14698"/>
  <c r="V238" i="14698"/>
  <c r="X238" i="14698"/>
  <c r="Q238" i="14698"/>
  <c r="E249" i="14698"/>
  <c r="J249" i="14698"/>
  <c r="I249" i="14698"/>
  <c r="B249" i="14698"/>
  <c r="H249" i="14698"/>
  <c r="R243" i="14698"/>
  <c r="H243" i="14698"/>
  <c r="O243" i="14698"/>
  <c r="M243" i="14698"/>
  <c r="E138" i="14698"/>
  <c r="F138" i="14698"/>
  <c r="H138" i="14698"/>
  <c r="O129" i="14698"/>
  <c r="V129" i="14698"/>
  <c r="X129" i="14698"/>
  <c r="S133" i="14698"/>
  <c r="Q133" i="14698"/>
  <c r="K133" i="14698"/>
  <c r="M184" i="14698"/>
  <c r="T184" i="14698"/>
  <c r="V184" i="14698"/>
  <c r="Q191" i="14698"/>
  <c r="O191" i="14698"/>
  <c r="H191" i="14698"/>
  <c r="Q187" i="14698"/>
  <c r="O187" i="14698"/>
  <c r="U187" i="14698"/>
  <c r="T116" i="14698"/>
  <c r="J116" i="14698"/>
  <c r="N116" i="14698"/>
  <c r="W75" i="14703" a="1"/>
  <c r="W79" i="14703" s="1"/>
  <c r="B85" i="14698"/>
  <c r="N112" i="14698"/>
  <c r="M112" i="14698"/>
  <c r="U112" i="14698"/>
  <c r="X74" i="14703" a="1"/>
  <c r="X78" i="14703" s="1"/>
  <c r="J85" i="14698"/>
  <c r="C35" i="14698"/>
  <c r="M34" i="14698"/>
  <c r="C33" i="14698"/>
  <c r="K36" i="14698"/>
  <c r="C34" i="14698"/>
  <c r="J38" i="14698"/>
  <c r="L35" i="14698"/>
  <c r="C37" i="14698"/>
  <c r="E36" i="14698"/>
  <c r="H35" i="14698"/>
  <c r="I33" i="14698"/>
  <c r="K32" i="14698"/>
  <c r="E38" i="14698"/>
  <c r="C36" i="14698"/>
  <c r="K39" i="14698"/>
  <c r="B37" i="14698"/>
  <c r="G34" i="14698"/>
  <c r="H38" i="14698"/>
  <c r="F36" i="14698"/>
  <c r="J32" i="14698"/>
  <c r="B33" i="14698"/>
  <c r="H37" i="14698"/>
  <c r="F38" i="14698"/>
  <c r="M38" i="14698"/>
  <c r="N115" i="14698"/>
  <c r="J115" i="14698"/>
  <c r="R115" i="14698"/>
  <c r="R171" i="14698"/>
  <c r="M171" i="14698"/>
  <c r="J171" i="14698"/>
  <c r="Q172" i="14698"/>
  <c r="O172" i="14698"/>
  <c r="P172" i="14698"/>
  <c r="R169" i="14698"/>
  <c r="T169" i="14698"/>
  <c r="L169" i="14698"/>
  <c r="K174" i="14698"/>
  <c r="P174" i="14698"/>
  <c r="L174" i="14698"/>
  <c r="O151" i="14698"/>
  <c r="S151" i="14698"/>
  <c r="U151" i="14698"/>
  <c r="N150" i="14698"/>
  <c r="Q150" i="14698"/>
  <c r="P150" i="14698"/>
  <c r="H153" i="14698"/>
  <c r="M153" i="14698"/>
  <c r="O153" i="14698"/>
  <c r="L226" i="14698"/>
  <c r="N226" i="14698"/>
  <c r="Q226" i="14698"/>
  <c r="P222" i="14698"/>
  <c r="M222" i="14698"/>
  <c r="Q222" i="14698"/>
  <c r="P221" i="14698"/>
  <c r="R221" i="14698"/>
  <c r="O221" i="14698"/>
  <c r="N210" i="14698"/>
  <c r="I210" i="14698"/>
  <c r="K210" i="14698"/>
  <c r="N205" i="14698"/>
  <c r="Q205" i="14698"/>
  <c r="O205" i="14698"/>
  <c r="J247" i="14698"/>
  <c r="E247" i="14698"/>
  <c r="F247" i="14698"/>
  <c r="U240" i="14698"/>
  <c r="P240" i="14698"/>
  <c r="M240" i="14698"/>
  <c r="G244" i="14698"/>
  <c r="Q244" i="14698"/>
  <c r="O244" i="14698"/>
  <c r="Q130" i="14698"/>
  <c r="P130" i="14698"/>
  <c r="M130" i="14698"/>
  <c r="L134" i="14698"/>
  <c r="M134" i="14698"/>
  <c r="N134" i="14698"/>
  <c r="G136" i="14698"/>
  <c r="R136" i="14698"/>
  <c r="J136" i="14698"/>
  <c r="I195" i="14698"/>
  <c r="J195" i="14698"/>
  <c r="C195" i="14698"/>
  <c r="F192" i="14698"/>
  <c r="I192" i="14698"/>
  <c r="L192" i="14698"/>
  <c r="E122" i="14698"/>
  <c r="G122" i="14698"/>
  <c r="J122" i="14698"/>
  <c r="R80" i="14703" a="1"/>
  <c r="R82" i="14703" s="1"/>
  <c r="G121" i="14698"/>
  <c r="E121" i="14698"/>
  <c r="N121" i="14698"/>
  <c r="S79" i="14703" a="1"/>
  <c r="U113" i="14698"/>
  <c r="S113" i="14698"/>
  <c r="V113" i="14698"/>
  <c r="J123" i="14698"/>
  <c r="D123" i="14698"/>
  <c r="I176" i="14698"/>
  <c r="H177" i="14698"/>
  <c r="B177" i="14698"/>
  <c r="B178" i="14698" s="1"/>
  <c r="L175" i="14698"/>
  <c r="I152" i="14698"/>
  <c r="T152" i="14698"/>
  <c r="V147" i="14698"/>
  <c r="H157" i="14698"/>
  <c r="D157" i="14698"/>
  <c r="J155" i="14698"/>
  <c r="J230" i="14698"/>
  <c r="I230" i="14698"/>
  <c r="V219" i="14698"/>
  <c r="S220" i="14698"/>
  <c r="U220" i="14698"/>
  <c r="P129" i="14703"/>
  <c r="K134" i="14703"/>
  <c r="M210" i="14703"/>
  <c r="I174" i="14703"/>
  <c r="J177" i="14703"/>
  <c r="N157" i="14703"/>
  <c r="K230" i="14703"/>
  <c r="H226" i="14703"/>
  <c r="L138" i="14703"/>
  <c r="H229" i="14703"/>
  <c r="Y183" i="14703"/>
  <c r="M35" i="14703"/>
  <c r="E37" i="14703"/>
  <c r="J39" i="14703"/>
  <c r="M231" i="14703"/>
  <c r="J154" i="14703"/>
  <c r="V165" i="14703"/>
  <c r="K38" i="14703"/>
  <c r="B36" i="14703"/>
  <c r="G34" i="14703"/>
  <c r="P117" i="14703"/>
  <c r="N183" i="14703"/>
  <c r="D231" i="14703"/>
  <c r="U222" i="14703"/>
  <c r="O222" i="14703"/>
  <c r="M195" i="14703"/>
  <c r="L195" i="14703"/>
  <c r="F85" i="14703"/>
  <c r="Q170" i="14703"/>
  <c r="P170" i="14703"/>
  <c r="S170" i="14703"/>
  <c r="M170" i="14703"/>
  <c r="O184" i="14703"/>
  <c r="R184" i="14703"/>
  <c r="M191" i="14703"/>
  <c r="N191" i="14703"/>
  <c r="I194" i="14703"/>
  <c r="F194" i="14703"/>
  <c r="M227" i="14703"/>
  <c r="F227" i="14703"/>
  <c r="N227" i="14703"/>
  <c r="Q225" i="14703"/>
  <c r="J225" i="14703"/>
  <c r="H225" i="14703"/>
  <c r="K225" i="14703"/>
  <c r="P225" i="14703"/>
  <c r="R204" i="14703"/>
  <c r="M204" i="14703"/>
  <c r="T205" i="14703"/>
  <c r="U205" i="14703"/>
  <c r="G213" i="14703"/>
  <c r="M213" i="14703"/>
  <c r="T133" i="14703"/>
  <c r="Q133" i="14703"/>
  <c r="U131" i="14703"/>
  <c r="W131" i="14703"/>
  <c r="K132" i="14703"/>
  <c r="M132" i="14703"/>
  <c r="S132" i="14703"/>
  <c r="N132" i="14703"/>
  <c r="T132" i="14703"/>
  <c r="O242" i="14703"/>
  <c r="Q242" i="14703"/>
  <c r="R242" i="14703"/>
  <c r="L243" i="14703"/>
  <c r="K243" i="14703"/>
  <c r="I243" i="14703"/>
  <c r="H247" i="14703"/>
  <c r="G247" i="14703"/>
  <c r="J247" i="14703"/>
  <c r="N247" i="14703"/>
  <c r="L248" i="14703"/>
  <c r="I248" i="14703"/>
  <c r="H248" i="14703"/>
  <c r="G248" i="14703"/>
  <c r="N248" i="14703"/>
  <c r="J119" i="14703"/>
  <c r="P119" i="14703"/>
  <c r="G119" i="14703"/>
  <c r="Q119" i="14703"/>
  <c r="H122" i="14703"/>
  <c r="G122" i="14703"/>
  <c r="N122" i="14703"/>
  <c r="Q115" i="14703"/>
  <c r="U115" i="14703"/>
  <c r="M115" i="14703"/>
  <c r="T115" i="14703"/>
  <c r="P115" i="14703"/>
  <c r="M113" i="14703"/>
  <c r="O113" i="14703"/>
  <c r="K172" i="14703"/>
  <c r="P172" i="14703"/>
  <c r="K153" i="14703"/>
  <c r="S153" i="14703"/>
  <c r="J189" i="14703"/>
  <c r="K189" i="14703"/>
  <c r="H156" i="14703"/>
  <c r="J156" i="14703"/>
  <c r="T166" i="14703"/>
  <c r="S166" i="14703"/>
  <c r="N241" i="14703"/>
  <c r="K241" i="14703"/>
  <c r="T222" i="14703"/>
  <c r="L222" i="14703"/>
  <c r="E120" i="14703"/>
  <c r="P120" i="14703"/>
  <c r="L239" i="14703"/>
  <c r="U239" i="14703"/>
  <c r="X202" i="14703"/>
  <c r="S202" i="14703"/>
  <c r="O170" i="14703"/>
  <c r="K170" i="14703"/>
  <c r="K141" i="14703"/>
  <c r="H141" i="14703"/>
  <c r="L171" i="14703"/>
  <c r="J171" i="14703"/>
  <c r="N171" i="14703"/>
  <c r="F191" i="14703"/>
  <c r="Q191" i="14703"/>
  <c r="T185" i="14703"/>
  <c r="M185" i="14703"/>
  <c r="V185" i="14703"/>
  <c r="O185" i="14703"/>
  <c r="J194" i="14703"/>
  <c r="G194" i="14703"/>
  <c r="M194" i="14703"/>
  <c r="U149" i="14703"/>
  <c r="S149" i="14703"/>
  <c r="O155" i="14703"/>
  <c r="G155" i="14703"/>
  <c r="L227" i="14703"/>
  <c r="J227" i="14703"/>
  <c r="L225" i="14703"/>
  <c r="R225" i="14703"/>
  <c r="E213" i="14703"/>
  <c r="I213" i="14703"/>
  <c r="S131" i="14703"/>
  <c r="N131" i="14703"/>
  <c r="I242" i="14703"/>
  <c r="N242" i="14703"/>
  <c r="J243" i="14703"/>
  <c r="H243" i="14703"/>
  <c r="D247" i="14703"/>
  <c r="L247" i="14703"/>
  <c r="M248" i="14703"/>
  <c r="E248" i="14703"/>
  <c r="C248" i="14703"/>
  <c r="I119" i="14703"/>
  <c r="F119" i="14703"/>
  <c r="E122" i="14703"/>
  <c r="I122" i="14703"/>
  <c r="M172" i="14703"/>
  <c r="N172" i="14703"/>
  <c r="J153" i="14703"/>
  <c r="H153" i="14703"/>
  <c r="P153" i="14703"/>
  <c r="F245" i="14703"/>
  <c r="G245" i="14703"/>
  <c r="Q245" i="14703"/>
  <c r="K245" i="14703"/>
  <c r="M249" i="14703"/>
  <c r="H249" i="14703"/>
  <c r="E246" i="14703"/>
  <c r="M246" i="14703"/>
  <c r="G246" i="14703"/>
  <c r="F246" i="14703"/>
  <c r="N189" i="14703"/>
  <c r="H189" i="14703"/>
  <c r="P189" i="14703"/>
  <c r="S112" i="14703"/>
  <c r="M112" i="14703"/>
  <c r="O112" i="14703"/>
  <c r="G156" i="14703"/>
  <c r="K156" i="14703"/>
  <c r="L156" i="14703"/>
  <c r="R223" i="14703"/>
  <c r="P223" i="14703"/>
  <c r="T223" i="14703"/>
  <c r="L223" i="14703"/>
  <c r="I212" i="14703"/>
  <c r="E212" i="14703"/>
  <c r="K212" i="14703"/>
  <c r="N212" i="14703"/>
  <c r="M193" i="14703"/>
  <c r="E193" i="14703"/>
  <c r="G193" i="14703"/>
  <c r="L176" i="14703"/>
  <c r="I176" i="14703"/>
  <c r="C176" i="14703"/>
  <c r="E176" i="14703"/>
  <c r="H176" i="14703"/>
  <c r="N176" i="14703"/>
  <c r="J176" i="14703"/>
  <c r="O166" i="14703"/>
  <c r="P166" i="14703"/>
  <c r="M166" i="14703"/>
  <c r="V166" i="14703"/>
  <c r="H42" i="14628"/>
  <c r="K42" i="14628"/>
  <c r="N42" i="14628"/>
  <c r="C11" i="14628" s="1" a="1"/>
  <c r="E42" i="14628"/>
  <c r="T219" i="14703"/>
  <c r="V219" i="14703"/>
  <c r="U219" i="14703"/>
  <c r="S241" i="14703"/>
  <c r="R241" i="14703"/>
  <c r="Q241" i="14703"/>
  <c r="P241" i="14703"/>
  <c r="S135" i="14703"/>
  <c r="J135" i="14703"/>
  <c r="O206" i="14703"/>
  <c r="J206" i="14703"/>
  <c r="L151" i="14703"/>
  <c r="U151" i="14703"/>
  <c r="P111" i="14703"/>
  <c r="Y111" i="14703"/>
  <c r="M168" i="14703"/>
  <c r="U168" i="14703"/>
  <c r="S168" i="14703"/>
  <c r="R240" i="14703"/>
  <c r="S240" i="14703"/>
  <c r="M240" i="14703"/>
  <c r="N222" i="14703"/>
  <c r="R222" i="14703"/>
  <c r="I195" i="14703"/>
  <c r="F195" i="14703"/>
  <c r="G195" i="14703"/>
  <c r="H195" i="14703"/>
  <c r="H120" i="14703"/>
  <c r="O120" i="14703"/>
  <c r="G120" i="14703"/>
  <c r="R239" i="14703"/>
  <c r="N239" i="14703"/>
  <c r="V202" i="14703"/>
  <c r="Q202" i="14703"/>
  <c r="T202" i="14703"/>
  <c r="F141" i="14703"/>
  <c r="D141" i="14703"/>
  <c r="Q172" i="14703"/>
  <c r="L172" i="14703"/>
  <c r="J172" i="14703"/>
  <c r="G172" i="14703"/>
  <c r="O172" i="14703"/>
  <c r="H172" i="14703"/>
  <c r="O153" i="14703"/>
  <c r="R153" i="14703"/>
  <c r="M153" i="14703"/>
  <c r="N153" i="14703"/>
  <c r="L153" i="14703"/>
  <c r="I153" i="14703"/>
  <c r="H245" i="14703"/>
  <c r="O245" i="14703"/>
  <c r="L245" i="14703"/>
  <c r="J245" i="14703"/>
  <c r="I245" i="14703"/>
  <c r="M245" i="14703"/>
  <c r="C249" i="14703"/>
  <c r="G249" i="14703"/>
  <c r="I249" i="14703"/>
  <c r="E249" i="14703"/>
  <c r="B249" i="14703"/>
  <c r="B250" i="14703" s="1"/>
  <c r="K249" i="14703"/>
  <c r="D249" i="14703"/>
  <c r="P246" i="14703"/>
  <c r="K246" i="14703"/>
  <c r="L246" i="14703"/>
  <c r="I246" i="14703"/>
  <c r="J246" i="14703"/>
  <c r="H246" i="14703"/>
  <c r="I189" i="14703"/>
  <c r="M189" i="14703"/>
  <c r="L189" i="14703"/>
  <c r="O189" i="14703"/>
  <c r="R189" i="14703"/>
  <c r="Q189" i="14703"/>
  <c r="T112" i="14703"/>
  <c r="R112" i="14703"/>
  <c r="V112" i="14703"/>
  <c r="P112" i="14703"/>
  <c r="N112" i="14703"/>
  <c r="Q112" i="14703"/>
  <c r="O156" i="14703"/>
  <c r="I156" i="14703"/>
  <c r="E156" i="14703"/>
  <c r="N156" i="14703"/>
  <c r="P156" i="14703"/>
  <c r="F156" i="14703"/>
  <c r="J223" i="14703"/>
  <c r="Q223" i="14703"/>
  <c r="N223" i="14703"/>
  <c r="U223" i="14703"/>
  <c r="M212" i="14703"/>
  <c r="C212" i="14703"/>
  <c r="C214" i="14703" s="1"/>
  <c r="J212" i="14703"/>
  <c r="D212" i="14703"/>
  <c r="G212" i="14703"/>
  <c r="F193" i="14703"/>
  <c r="K193" i="14703"/>
  <c r="O193" i="14703"/>
  <c r="N193" i="14703"/>
  <c r="L193" i="14703"/>
  <c r="I193" i="14703"/>
  <c r="M176" i="14703"/>
  <c r="K176" i="14703"/>
  <c r="N166" i="14703"/>
  <c r="X166" i="14703"/>
  <c r="R166" i="14703"/>
  <c r="Q166" i="14703"/>
  <c r="W166" i="14703"/>
  <c r="U166" i="14703"/>
  <c r="C27" i="14632"/>
  <c r="C10" i="14640" s="1"/>
  <c r="E40" i="14643" a="1"/>
  <c r="E41" i="14643" s="1"/>
  <c r="L27" i="14632"/>
  <c r="L10" i="14640" s="1"/>
  <c r="R118" i="14703"/>
  <c r="D123" i="14703"/>
  <c r="J224" i="14703"/>
  <c r="V167" i="14703"/>
  <c r="K140" i="14703"/>
  <c r="E211" i="14703"/>
  <c r="C123" i="14703"/>
  <c r="M118" i="14703"/>
  <c r="G136" i="14703"/>
  <c r="L136" i="14703"/>
  <c r="N116" i="14703"/>
  <c r="M221" i="14703"/>
  <c r="H38" i="14703"/>
  <c r="B32" i="14703"/>
  <c r="C39" i="14703"/>
  <c r="J36" i="14703"/>
  <c r="J32" i="14703"/>
  <c r="J121" i="14703"/>
  <c r="L207" i="14703"/>
  <c r="S220" i="14703"/>
  <c r="H39" i="14703"/>
  <c r="F35" i="14703"/>
  <c r="H32" i="14703"/>
  <c r="I37" i="14703"/>
  <c r="B33" i="14703"/>
  <c r="Q207" i="14703"/>
  <c r="M207" i="14703"/>
  <c r="E85" i="14703"/>
  <c r="B21" i="14638" a="1"/>
  <c r="B26" i="14638" s="1"/>
  <c r="I27" i="14632"/>
  <c r="I10" i="14640" s="1"/>
  <c r="M12" i="14669"/>
  <c r="I175" i="14703"/>
  <c r="E175" i="14703"/>
  <c r="Q173" i="14703"/>
  <c r="H173" i="14703"/>
  <c r="P173" i="14703"/>
  <c r="G175" i="14703"/>
  <c r="L175" i="14703"/>
  <c r="O173" i="14703"/>
  <c r="F173" i="14703"/>
  <c r="S184" i="14703"/>
  <c r="Q184" i="14703"/>
  <c r="M171" i="14703"/>
  <c r="S171" i="14703"/>
  <c r="P171" i="14703"/>
  <c r="O171" i="14703"/>
  <c r="M184" i="14703"/>
  <c r="X184" i="14703"/>
  <c r="P184" i="14703"/>
  <c r="N173" i="14703"/>
  <c r="F175" i="14703"/>
  <c r="O175" i="14703"/>
  <c r="I141" i="14703"/>
  <c r="B141" i="14703"/>
  <c r="B142" i="14703" s="1"/>
  <c r="G141" i="14703"/>
  <c r="L191" i="14703"/>
  <c r="I191" i="14703"/>
  <c r="G191" i="14703"/>
  <c r="V184" i="14703"/>
  <c r="M222" i="14703"/>
  <c r="V222" i="14703"/>
  <c r="K222" i="14703"/>
  <c r="I170" i="14703"/>
  <c r="T170" i="14703"/>
  <c r="E141" i="14703"/>
  <c r="C141" i="14703"/>
  <c r="J191" i="14703"/>
  <c r="D194" i="14703"/>
  <c r="C194" i="14703"/>
  <c r="N194" i="14703"/>
  <c r="P185" i="14703"/>
  <c r="W185" i="14703"/>
  <c r="J170" i="14703"/>
  <c r="L170" i="14703"/>
  <c r="P191" i="14703"/>
  <c r="L194" i="14703"/>
  <c r="R185" i="14703"/>
  <c r="Q185" i="14703"/>
  <c r="E194" i="14703"/>
  <c r="U185" i="14703"/>
  <c r="Q111" i="14703"/>
  <c r="T240" i="14703"/>
  <c r="N202" i="14703"/>
  <c r="D195" i="14703"/>
  <c r="N120" i="14703"/>
  <c r="J120" i="14703"/>
  <c r="O239" i="14703"/>
  <c r="V239" i="14703"/>
  <c r="M239" i="14703"/>
  <c r="M241" i="14703"/>
  <c r="P168" i="14703"/>
  <c r="V168" i="14703"/>
  <c r="I135" i="14703"/>
  <c r="Q206" i="14703"/>
  <c r="N219" i="14703"/>
  <c r="Q151" i="14703"/>
  <c r="S151" i="14703"/>
  <c r="W111" i="14703"/>
  <c r="R111" i="14703"/>
  <c r="L240" i="14703"/>
  <c r="P240" i="14703"/>
  <c r="K240" i="14703"/>
  <c r="Q240" i="14703"/>
  <c r="Q222" i="14703"/>
  <c r="P222" i="14703"/>
  <c r="S222" i="14703"/>
  <c r="E195" i="14703"/>
  <c r="K195" i="14703"/>
  <c r="C195" i="14703"/>
  <c r="M120" i="14703"/>
  <c r="K120" i="14703"/>
  <c r="L120" i="14703"/>
  <c r="R202" i="14703"/>
  <c r="O202" i="14703"/>
  <c r="U202" i="14703"/>
  <c r="N170" i="14703"/>
  <c r="J141" i="14703"/>
  <c r="H194" i="14703"/>
  <c r="R168" i="14703"/>
  <c r="W239" i="14703"/>
  <c r="Q239" i="14703"/>
  <c r="M202" i="14703"/>
  <c r="F120" i="14703"/>
  <c r="O219" i="14703"/>
  <c r="M135" i="14703"/>
  <c r="P206" i="14703"/>
  <c r="L241" i="14703"/>
  <c r="W202" i="14703"/>
  <c r="R135" i="14703"/>
  <c r="H135" i="14703"/>
  <c r="P239" i="14703"/>
  <c r="E27" i="14632"/>
  <c r="E10" i="14640" s="1"/>
  <c r="J85" i="14703"/>
  <c r="C85" i="14703"/>
  <c r="D23" i="14638" a="1"/>
  <c r="D25" i="14638" s="1"/>
  <c r="K226" i="14703"/>
  <c r="S221" i="14703"/>
  <c r="F159" i="14703"/>
  <c r="Y201" i="14703"/>
  <c r="P188" i="14703"/>
  <c r="Q28" i="14632"/>
  <c r="F12" i="14669"/>
  <c r="W219" i="14703"/>
  <c r="S219" i="14703"/>
  <c r="T241" i="14703"/>
  <c r="U241" i="14703"/>
  <c r="K135" i="14703"/>
  <c r="O135" i="14703"/>
  <c r="M206" i="14703"/>
  <c r="K206" i="14703"/>
  <c r="S206" i="14703"/>
  <c r="P219" i="14703"/>
  <c r="Q219" i="14703"/>
  <c r="X219" i="14703"/>
  <c r="T151" i="14703"/>
  <c r="J151" i="14703"/>
  <c r="R151" i="14703"/>
  <c r="M151" i="14703"/>
  <c r="N151" i="14703"/>
  <c r="S111" i="14703"/>
  <c r="T111" i="14703"/>
  <c r="O111" i="14703"/>
  <c r="U111" i="14703"/>
  <c r="V111" i="14703"/>
  <c r="U240" i="14703"/>
  <c r="Q168" i="14703"/>
  <c r="J195" i="14703"/>
  <c r="K151" i="14703"/>
  <c r="S239" i="14703"/>
  <c r="N168" i="14703"/>
  <c r="L135" i="14703"/>
  <c r="T206" i="14703"/>
  <c r="I206" i="14703"/>
  <c r="O241" i="14703"/>
  <c r="J241" i="14703"/>
  <c r="L206" i="14703"/>
  <c r="O168" i="14703"/>
  <c r="R206" i="14703"/>
  <c r="N135" i="14703"/>
  <c r="T168" i="14703"/>
  <c r="P28" i="14632"/>
  <c r="M27" i="14632"/>
  <c r="B34" i="14683" a="1"/>
  <c r="B37" i="14683" s="1"/>
  <c r="J27" i="14632"/>
  <c r="J10" i="14640" s="1"/>
  <c r="H27" i="14632"/>
  <c r="H10" i="14640" s="1"/>
  <c r="L85" i="14703"/>
  <c r="O39" i="14634"/>
  <c r="N15" i="14632"/>
  <c r="H85" i="14703"/>
  <c r="C18" i="14648" a="1"/>
  <c r="M18" i="14648" s="1"/>
  <c r="C22" i="14638" a="1"/>
  <c r="C22" i="14638" s="1"/>
  <c r="N28" i="14632"/>
  <c r="F27" i="14632"/>
  <c r="F10" i="14640" s="1"/>
  <c r="K190" i="14703"/>
  <c r="L190" i="14703"/>
  <c r="P190" i="14703"/>
  <c r="G190" i="14703"/>
  <c r="M190" i="14703"/>
  <c r="O190" i="14703"/>
  <c r="Q190" i="14703"/>
  <c r="I190" i="14703"/>
  <c r="R190" i="14703"/>
  <c r="N190" i="14703"/>
  <c r="D159" i="14703"/>
  <c r="J159" i="14703"/>
  <c r="K159" i="14703"/>
  <c r="B159" i="14703"/>
  <c r="B160" i="14703" s="1"/>
  <c r="G159" i="14703"/>
  <c r="L159" i="14703"/>
  <c r="E159" i="14703"/>
  <c r="M159" i="14703"/>
  <c r="I159" i="14703"/>
  <c r="M188" i="14703"/>
  <c r="S188" i="14703"/>
  <c r="N188" i="14703"/>
  <c r="O188" i="14703"/>
  <c r="I188" i="14703"/>
  <c r="R188" i="14703"/>
  <c r="K188" i="14703"/>
  <c r="T188" i="14703"/>
  <c r="X148" i="14703"/>
  <c r="W148" i="14703"/>
  <c r="O148" i="14703"/>
  <c r="R148" i="14703"/>
  <c r="U148" i="14703"/>
  <c r="M148" i="14703"/>
  <c r="T148" i="14703"/>
  <c r="P148" i="14703"/>
  <c r="K85" i="14703"/>
  <c r="M130" i="14703"/>
  <c r="W130" i="14703"/>
  <c r="P130" i="14703"/>
  <c r="N130" i="14703"/>
  <c r="T130" i="14703"/>
  <c r="U130" i="14703"/>
  <c r="R130" i="14703"/>
  <c r="O130" i="14703"/>
  <c r="X130" i="14703"/>
  <c r="V130" i="14703"/>
  <c r="Q237" i="14703"/>
  <c r="R237" i="14703"/>
  <c r="O237" i="14703"/>
  <c r="P237" i="14703"/>
  <c r="W237" i="14703"/>
  <c r="V237" i="14703"/>
  <c r="S237" i="14703"/>
  <c r="T237" i="14703"/>
  <c r="Y237" i="14703"/>
  <c r="O226" i="14703"/>
  <c r="M226" i="14703"/>
  <c r="N226" i="14703"/>
  <c r="I226" i="14703"/>
  <c r="L226" i="14703"/>
  <c r="Q226" i="14703"/>
  <c r="J226" i="14703"/>
  <c r="G226" i="14703"/>
  <c r="R116" i="14703"/>
  <c r="L116" i="14703"/>
  <c r="P116" i="14703"/>
  <c r="K116" i="14703"/>
  <c r="O116" i="14703"/>
  <c r="T116" i="14703"/>
  <c r="I116" i="14703"/>
  <c r="J116" i="14703"/>
  <c r="Q116" i="14703"/>
  <c r="Q221" i="14703"/>
  <c r="P221" i="14703"/>
  <c r="O221" i="14703"/>
  <c r="W221" i="14703"/>
  <c r="U221" i="14703"/>
  <c r="T221" i="14703"/>
  <c r="V221" i="14703"/>
  <c r="L221" i="14703"/>
  <c r="R221" i="14703"/>
  <c r="R147" i="14703"/>
  <c r="Y147" i="14703"/>
  <c r="X147" i="14703"/>
  <c r="Q147" i="14703"/>
  <c r="V147" i="14703"/>
  <c r="N147" i="14703"/>
  <c r="O147" i="14703"/>
  <c r="W147" i="14703"/>
  <c r="S147" i="14703"/>
  <c r="P147" i="14703"/>
  <c r="M85" i="14703"/>
  <c r="G137" i="14703"/>
  <c r="J137" i="14703"/>
  <c r="H137" i="14703"/>
  <c r="M137" i="14703"/>
  <c r="P137" i="14703"/>
  <c r="N137" i="14703"/>
  <c r="O137" i="14703"/>
  <c r="K137" i="14703"/>
  <c r="R201" i="14703"/>
  <c r="S201" i="14703"/>
  <c r="P201" i="14703"/>
  <c r="Q201" i="14703"/>
  <c r="N201" i="14703"/>
  <c r="O201" i="14703"/>
  <c r="T201" i="14703"/>
  <c r="W201" i="14703"/>
  <c r="B9" i="8" a="1"/>
  <c r="N28" i="14703"/>
  <c r="C13" i="14657" s="1"/>
  <c r="M136" i="14703"/>
  <c r="K136" i="14703"/>
  <c r="R136" i="14703"/>
  <c r="O136" i="14703"/>
  <c r="H136" i="14703"/>
  <c r="I136" i="14703"/>
  <c r="Q136" i="14703"/>
  <c r="G174" i="14703"/>
  <c r="F174" i="14703"/>
  <c r="P174" i="14703"/>
  <c r="F177" i="14703"/>
  <c r="G177" i="14703"/>
  <c r="B177" i="14703"/>
  <c r="B178" i="14703" s="1"/>
  <c r="I177" i="14703"/>
  <c r="L177" i="14703"/>
  <c r="T167" i="14703"/>
  <c r="W167" i="14703"/>
  <c r="Q167" i="14703"/>
  <c r="L167" i="14703"/>
  <c r="P167" i="14703"/>
  <c r="R167" i="14703"/>
  <c r="T169" i="14703"/>
  <c r="L169" i="14703"/>
  <c r="O169" i="14703"/>
  <c r="K169" i="14703"/>
  <c r="J169" i="14703"/>
  <c r="R169" i="14703"/>
  <c r="U169" i="14703"/>
  <c r="Q169" i="14703"/>
  <c r="M187" i="14703"/>
  <c r="O187" i="14703"/>
  <c r="R187" i="14703"/>
  <c r="L187" i="14703"/>
  <c r="S187" i="14703"/>
  <c r="K187" i="14703"/>
  <c r="T187" i="14703"/>
  <c r="P187" i="14703"/>
  <c r="N192" i="14703"/>
  <c r="E192" i="14703"/>
  <c r="I192" i="14703"/>
  <c r="K192" i="14703"/>
  <c r="P192" i="14703"/>
  <c r="G192" i="14703"/>
  <c r="K186" i="14703"/>
  <c r="R186" i="14703"/>
  <c r="O186" i="14703"/>
  <c r="S186" i="14703"/>
  <c r="T186" i="14703"/>
  <c r="M186" i="14703"/>
  <c r="P186" i="14703"/>
  <c r="I85" i="14703"/>
  <c r="Q150" i="14703"/>
  <c r="S150" i="14703"/>
  <c r="O150" i="14703"/>
  <c r="T150" i="14703"/>
  <c r="L150" i="14703"/>
  <c r="R150" i="14703"/>
  <c r="U150" i="14703"/>
  <c r="D157" i="14703"/>
  <c r="F157" i="14703"/>
  <c r="O157" i="14703"/>
  <c r="L157" i="14703"/>
  <c r="K157" i="14703"/>
  <c r="M157" i="14703"/>
  <c r="P152" i="14703"/>
  <c r="L152" i="14703"/>
  <c r="K152" i="14703"/>
  <c r="N152" i="14703"/>
  <c r="O152" i="14703"/>
  <c r="I152" i="14703"/>
  <c r="T152" i="14703"/>
  <c r="S152" i="14703"/>
  <c r="M152" i="14703"/>
  <c r="T224" i="14703"/>
  <c r="I224" i="14703"/>
  <c r="Q224" i="14703"/>
  <c r="L224" i="14703"/>
  <c r="P224" i="14703"/>
  <c r="I230" i="14703"/>
  <c r="M230" i="14703"/>
  <c r="C230" i="14703"/>
  <c r="G230" i="14703"/>
  <c r="E230" i="14703"/>
  <c r="H230" i="14703"/>
  <c r="H228" i="14703"/>
  <c r="M228" i="14703"/>
  <c r="F228" i="14703"/>
  <c r="J228" i="14703"/>
  <c r="L228" i="14703"/>
  <c r="O228" i="14703"/>
  <c r="N228" i="14703"/>
  <c r="K210" i="14703"/>
  <c r="J210" i="14703"/>
  <c r="L210" i="14703"/>
  <c r="F210" i="14703"/>
  <c r="O210" i="14703"/>
  <c r="N210" i="14703"/>
  <c r="M209" i="14703"/>
  <c r="K209" i="14703"/>
  <c r="Q209" i="14703"/>
  <c r="P209" i="14703"/>
  <c r="H209" i="14703"/>
  <c r="N209" i="14703"/>
  <c r="O209" i="14703"/>
  <c r="H211" i="14703"/>
  <c r="G211" i="14703"/>
  <c r="I211" i="14703"/>
  <c r="L211" i="14703"/>
  <c r="D211" i="14703"/>
  <c r="M211" i="14703"/>
  <c r="J211" i="14703"/>
  <c r="N211" i="14703"/>
  <c r="V129" i="14703"/>
  <c r="T129" i="14703"/>
  <c r="X129" i="14703"/>
  <c r="R129" i="14703"/>
  <c r="Q129" i="14703"/>
  <c r="O129" i="14703"/>
  <c r="W129" i="14703"/>
  <c r="R134" i="14703"/>
  <c r="Q134" i="14703"/>
  <c r="N134" i="14703"/>
  <c r="O134" i="14703"/>
  <c r="S134" i="14703"/>
  <c r="P134" i="14703"/>
  <c r="L140" i="14703"/>
  <c r="M140" i="14703"/>
  <c r="G140" i="14703"/>
  <c r="N140" i="14703"/>
  <c r="E140" i="14703"/>
  <c r="F140" i="14703"/>
  <c r="G139" i="14703"/>
  <c r="D139" i="14703"/>
  <c r="I139" i="14703"/>
  <c r="H139" i="14703"/>
  <c r="E139" i="14703"/>
  <c r="K139" i="14703"/>
  <c r="J139" i="14703"/>
  <c r="L139" i="14703"/>
  <c r="F139" i="14703"/>
  <c r="M139" i="14703"/>
  <c r="W238" i="14703"/>
  <c r="X238" i="14703"/>
  <c r="Q238" i="14703"/>
  <c r="U238" i="14703"/>
  <c r="T238" i="14703"/>
  <c r="N238" i="14703"/>
  <c r="S238" i="14703"/>
  <c r="I244" i="14703"/>
  <c r="R244" i="14703"/>
  <c r="N244" i="14703"/>
  <c r="Q244" i="14703"/>
  <c r="J244" i="14703"/>
  <c r="H244" i="14703"/>
  <c r="G244" i="14703"/>
  <c r="G85" i="14703"/>
  <c r="K118" i="14703"/>
  <c r="G118" i="14703"/>
  <c r="N118" i="14703"/>
  <c r="I118" i="14703"/>
  <c r="P118" i="14703"/>
  <c r="L118" i="14703"/>
  <c r="H118" i="14703"/>
  <c r="M123" i="14703"/>
  <c r="L123" i="14703"/>
  <c r="B123" i="14703"/>
  <c r="B124" i="14703" s="1"/>
  <c r="I123" i="14703"/>
  <c r="G123" i="14703"/>
  <c r="F123" i="14703"/>
  <c r="J123" i="14703"/>
  <c r="P114" i="14703"/>
  <c r="Q114" i="14703"/>
  <c r="L114" i="14703"/>
  <c r="O114" i="14703"/>
  <c r="R114" i="14703"/>
  <c r="S114" i="14703"/>
  <c r="U114" i="14703"/>
  <c r="K114" i="14703"/>
  <c r="O174" i="14703"/>
  <c r="K174" i="14703"/>
  <c r="L174" i="14703"/>
  <c r="C177" i="14703"/>
  <c r="M177" i="14703"/>
  <c r="U129" i="14703"/>
  <c r="L134" i="14703"/>
  <c r="H210" i="14703"/>
  <c r="N174" i="14703"/>
  <c r="H177" i="14703"/>
  <c r="Y129" i="14703"/>
  <c r="M134" i="14703"/>
  <c r="G210" i="14703"/>
  <c r="D230" i="14703"/>
  <c r="E228" i="14703"/>
  <c r="P244" i="14703"/>
  <c r="H157" i="14703"/>
  <c r="E174" i="14703"/>
  <c r="T134" i="14703"/>
  <c r="E210" i="14703"/>
  <c r="N224" i="14703"/>
  <c r="M238" i="14703"/>
  <c r="P150" i="14703"/>
  <c r="O167" i="14703"/>
  <c r="C140" i="14703"/>
  <c r="J209" i="14703"/>
  <c r="F211" i="14703"/>
  <c r="G157" i="14703"/>
  <c r="N114" i="14703"/>
  <c r="M114" i="14703"/>
  <c r="H123" i="14703"/>
  <c r="O118" i="14703"/>
  <c r="J118" i="14703"/>
  <c r="U167" i="14703"/>
  <c r="O244" i="14703"/>
  <c r="M244" i="14703"/>
  <c r="G228" i="14703"/>
  <c r="L230" i="14703"/>
  <c r="N230" i="14703"/>
  <c r="O192" i="14703"/>
  <c r="H192" i="14703"/>
  <c r="Q187" i="14703"/>
  <c r="K224" i="14703"/>
  <c r="S224" i="14703"/>
  <c r="O238" i="14703"/>
  <c r="N150" i="14703"/>
  <c r="M150" i="14703"/>
  <c r="I210" i="14703"/>
  <c r="J134" i="14703"/>
  <c r="S129" i="14703"/>
  <c r="Q186" i="14703"/>
  <c r="U186" i="14703"/>
  <c r="O211" i="14703"/>
  <c r="I140" i="14703"/>
  <c r="N167" i="14703"/>
  <c r="R238" i="14703"/>
  <c r="I209" i="14703"/>
  <c r="P226" i="14703"/>
  <c r="N136" i="14703"/>
  <c r="L186" i="14703"/>
  <c r="K228" i="14703"/>
  <c r="M224" i="14703"/>
  <c r="N186" i="14703"/>
  <c r="L244" i="14703"/>
  <c r="O224" i="14703"/>
  <c r="S169" i="14703"/>
  <c r="M169" i="14703"/>
  <c r="H140" i="14703"/>
  <c r="F209" i="14703"/>
  <c r="J192" i="14703"/>
  <c r="N169" i="14703"/>
  <c r="O139" i="14703"/>
  <c r="Q148" i="14703"/>
  <c r="Q130" i="14703"/>
  <c r="F137" i="14703"/>
  <c r="Q188" i="14703"/>
  <c r="L188" i="14703"/>
  <c r="S148" i="14703"/>
  <c r="N148" i="14703"/>
  <c r="N237" i="14703"/>
  <c r="U237" i="14703"/>
  <c r="V201" i="14703"/>
  <c r="J140" i="14703"/>
  <c r="T147" i="14703"/>
  <c r="I137" i="14703"/>
  <c r="J190" i="14703"/>
  <c r="C159" i="14703"/>
  <c r="S116" i="14703"/>
  <c r="L137" i="14703"/>
  <c r="J152" i="14703"/>
  <c r="F8" i="14669"/>
  <c r="I9" i="14669"/>
  <c r="L11" i="14669"/>
  <c r="E8" i="14669"/>
  <c r="C7" i="14669"/>
  <c r="L12" i="14669"/>
  <c r="D7" i="14669"/>
  <c r="G10" i="14669"/>
  <c r="F11" i="14669"/>
  <c r="F10" i="14669"/>
  <c r="H11" i="14669"/>
  <c r="M5" i="14669"/>
  <c r="C10" i="14669"/>
  <c r="D5" i="14669"/>
  <c r="E5" i="14669"/>
  <c r="L5" i="14669"/>
  <c r="M7" i="14669"/>
  <c r="E11" i="14669"/>
  <c r="M9" i="14669"/>
  <c r="K6" i="14669"/>
  <c r="I11" i="14669"/>
  <c r="M6" i="14669"/>
  <c r="K11" i="14669"/>
  <c r="B9" i="14669"/>
  <c r="B10" i="14669"/>
  <c r="H9" i="14669"/>
  <c r="M11" i="14669"/>
  <c r="L7" i="14669"/>
  <c r="B7" i="14669"/>
  <c r="C11" i="14669"/>
  <c r="G8" i="14669"/>
  <c r="J11" i="14669"/>
  <c r="I6" i="14669"/>
  <c r="G11" i="14669"/>
  <c r="K12" i="14669"/>
  <c r="L6" i="14669"/>
  <c r="L8" i="14669"/>
  <c r="I10" i="14669"/>
  <c r="B8" i="14669"/>
  <c r="J9" i="14669"/>
  <c r="G5" i="14669"/>
  <c r="I12" i="14669"/>
  <c r="C8" i="14669"/>
  <c r="H5" i="14669"/>
  <c r="F5" i="14669"/>
  <c r="G12" i="14669"/>
  <c r="F6" i="14669"/>
  <c r="I5" i="14669"/>
  <c r="H6" i="14669"/>
  <c r="J5" i="14669"/>
  <c r="H10" i="14669"/>
  <c r="K5" i="14669"/>
  <c r="E12" i="14669"/>
  <c r="C12" i="14669"/>
  <c r="G7" i="14669"/>
  <c r="B12" i="14669"/>
  <c r="B11" i="14669"/>
  <c r="D11" i="14669"/>
  <c r="I7" i="14669"/>
  <c r="D6" i="14669"/>
  <c r="L9" i="14669"/>
  <c r="K7" i="14669"/>
  <c r="J12" i="14669"/>
  <c r="J6" i="14669"/>
  <c r="K10" i="14669"/>
  <c r="E10" i="14669"/>
  <c r="G9" i="14669"/>
  <c r="M10" i="14669"/>
  <c r="H7" i="14669"/>
  <c r="B6" i="14669"/>
  <c r="M8" i="14669"/>
  <c r="G6" i="14669"/>
  <c r="K9" i="14669"/>
  <c r="D12" i="14669"/>
  <c r="D9" i="14669"/>
  <c r="E6" i="14669"/>
  <c r="H8" i="14669"/>
  <c r="F7" i="14669"/>
  <c r="L10" i="14669"/>
  <c r="H12" i="14669"/>
  <c r="E9" i="14669"/>
  <c r="K8" i="14669"/>
  <c r="B5" i="14669"/>
  <c r="E7" i="14669"/>
  <c r="J7" i="14669"/>
  <c r="C9" i="14669"/>
  <c r="F9" i="14669"/>
  <c r="D10" i="14669"/>
  <c r="J8" i="14669"/>
  <c r="C5" i="14669"/>
  <c r="I8" i="14669"/>
  <c r="D8" i="14669"/>
  <c r="C6" i="14669"/>
  <c r="B8" i="14704" a="1"/>
  <c r="D12" i="14704" s="1"/>
  <c r="B56" i="14695" a="1"/>
  <c r="N57" i="14695"/>
  <c r="C24" i="11"/>
  <c r="N29" i="14694"/>
  <c r="B28" i="14694" a="1"/>
  <c r="C31" i="14648" a="1"/>
  <c r="J27" i="14706"/>
  <c r="J38" i="14667"/>
  <c r="C61" i="14648" a="1"/>
  <c r="B44" i="14694" a="1"/>
  <c r="N45" i="14694"/>
  <c r="L27" i="14706"/>
  <c r="B36" i="14694" a="1"/>
  <c r="N37" i="14694"/>
  <c r="C46" i="14648" a="1"/>
  <c r="B49" i="14695" a="1"/>
  <c r="N50" i="14695"/>
  <c r="B35" i="14695" a="1"/>
  <c r="N36" i="14695"/>
  <c r="F27" i="14706"/>
  <c r="B52" i="14694" a="1"/>
  <c r="N53" i="14694"/>
  <c r="C76" i="14648" a="1"/>
  <c r="C16" i="14648" a="1"/>
  <c r="N22" i="14694"/>
  <c r="B21" i="14694" a="1"/>
  <c r="B21" i="14695" a="1"/>
  <c r="N22" i="14695"/>
  <c r="N29" i="14695"/>
  <c r="B28" i="14695" a="1"/>
  <c r="G20" i="14625"/>
  <c r="I20" i="14625"/>
  <c r="J20" i="14625"/>
  <c r="N20" i="14625"/>
  <c r="H20" i="14625"/>
  <c r="M20" i="14625"/>
  <c r="E20" i="14625"/>
  <c r="L20" i="14625"/>
  <c r="C20" i="14625"/>
  <c r="D20" i="14625"/>
  <c r="F20" i="14625"/>
  <c r="K20" i="14625"/>
  <c r="N20" i="14641"/>
  <c r="K20" i="14641"/>
  <c r="I20" i="14641"/>
  <c r="E20" i="14676"/>
  <c r="N20" i="14676"/>
  <c r="G20" i="14676"/>
  <c r="K20" i="14676"/>
  <c r="C20" i="14676"/>
  <c r="H20" i="14676"/>
  <c r="M20" i="14676"/>
  <c r="J20" i="14676"/>
  <c r="I20" i="14676"/>
  <c r="L20" i="14676"/>
  <c r="D20" i="14676"/>
  <c r="F20" i="14676"/>
  <c r="N61" i="14694"/>
  <c r="B60" i="14694" a="1"/>
  <c r="M20" i="14677"/>
  <c r="C20" i="14677"/>
  <c r="H20" i="14677"/>
  <c r="F20" i="14677"/>
  <c r="G20" i="14677"/>
  <c r="L20" i="14677"/>
  <c r="I20" i="14677"/>
  <c r="D20" i="14677"/>
  <c r="N20" i="14677"/>
  <c r="E20" i="14677"/>
  <c r="J20" i="14677"/>
  <c r="K20" i="14677"/>
  <c r="B42" i="14695" a="1"/>
  <c r="N43" i="14695"/>
  <c r="J20" i="14633"/>
  <c r="G20" i="14633"/>
  <c r="I20" i="14633"/>
  <c r="N27" i="14706"/>
  <c r="N38" i="14667"/>
  <c r="K76" i="14665"/>
  <c r="N40" i="14630"/>
  <c r="N9" i="14668"/>
  <c r="N10" i="14668"/>
  <c r="N6" i="14668"/>
  <c r="H9" i="14643"/>
  <c r="F9" i="14643"/>
  <c r="D9" i="14643"/>
  <c r="G9" i="14643"/>
  <c r="E9" i="14643"/>
  <c r="N22" i="14631"/>
  <c r="D22" i="14617" s="1"/>
  <c r="N22" i="14670"/>
  <c r="J22" i="14617" s="1"/>
  <c r="B8" i="14701" a="1"/>
  <c r="N5" i="14668"/>
  <c r="N22" i="14671"/>
  <c r="M22" i="14617" s="1"/>
  <c r="G9" i="14696" s="1"/>
  <c r="N78" i="14653"/>
  <c r="B79" i="14653"/>
  <c r="N79" i="14653" s="1"/>
  <c r="C22" i="8"/>
  <c r="H22" i="8"/>
  <c r="I22" i="8"/>
  <c r="J22" i="8"/>
  <c r="G22" i="8"/>
  <c r="D22" i="8"/>
  <c r="E22" i="8"/>
  <c r="F22" i="8"/>
  <c r="K22" i="8"/>
  <c r="M22" i="8"/>
  <c r="L22" i="8"/>
  <c r="B22" i="8"/>
  <c r="B88" i="14707"/>
  <c r="B91" i="14707"/>
  <c r="B93" i="14707"/>
  <c r="E92" i="14707"/>
  <c r="D94" i="14707"/>
  <c r="F91" i="14707"/>
  <c r="C95" i="14707"/>
  <c r="F93" i="14707"/>
  <c r="E89" i="14707"/>
  <c r="D95" i="14707"/>
  <c r="E95" i="14707"/>
  <c r="D93" i="14707"/>
  <c r="D91" i="14707"/>
  <c r="C91" i="14707"/>
  <c r="F88" i="14707"/>
  <c r="D88" i="14707"/>
  <c r="E91" i="14707"/>
  <c r="B92" i="14707"/>
  <c r="B90" i="14707"/>
  <c r="F94" i="14707"/>
  <c r="E90" i="14707"/>
  <c r="D90" i="14707"/>
  <c r="B94" i="14707"/>
  <c r="F92" i="14707"/>
  <c r="F95" i="14707"/>
  <c r="F90" i="14707"/>
  <c r="F89" i="14707"/>
  <c r="E94" i="14707"/>
  <c r="E93" i="14707"/>
  <c r="C90" i="14707"/>
  <c r="D89" i="14707"/>
  <c r="B95" i="14707"/>
  <c r="E88" i="14707"/>
  <c r="D92" i="14707"/>
  <c r="B89" i="14707"/>
  <c r="C88" i="14707"/>
  <c r="C92" i="14707"/>
  <c r="C89" i="14707"/>
  <c r="C94" i="14707"/>
  <c r="C93" i="14707"/>
  <c r="N12" i="14668"/>
  <c r="N11" i="14668"/>
  <c r="N8" i="14668"/>
  <c r="N7" i="14668"/>
  <c r="N22" i="14640"/>
  <c r="G22" i="14617" s="1"/>
  <c r="C23" i="4128"/>
  <c r="N195" i="14703"/>
  <c r="B196" i="14698"/>
  <c r="D48" i="14643"/>
  <c r="F9" i="14700" l="1"/>
  <c r="F12" i="14700"/>
  <c r="E10" i="14700"/>
  <c r="E8" i="14700"/>
  <c r="F15" i="14700"/>
  <c r="G10" i="14700"/>
  <c r="E15" i="14700"/>
  <c r="M13" i="14700"/>
  <c r="L13" i="14700"/>
  <c r="I14" i="14700"/>
  <c r="D8" i="14700"/>
  <c r="H10" i="14700"/>
  <c r="J15" i="14700"/>
  <c r="K10" i="14700"/>
  <c r="B14" i="14700"/>
  <c r="B13" i="14700"/>
  <c r="G8" i="14700"/>
  <c r="L15" i="14700"/>
  <c r="K11" i="14700"/>
  <c r="B12" i="14700"/>
  <c r="G15" i="14700"/>
  <c r="G9" i="14700"/>
  <c r="I10" i="14700"/>
  <c r="D10" i="14700"/>
  <c r="K13" i="14700"/>
  <c r="C12" i="14700"/>
  <c r="L9" i="14700"/>
  <c r="B15" i="14700"/>
  <c r="I9" i="14700"/>
  <c r="I12" i="14700"/>
  <c r="D11" i="14700"/>
  <c r="M8" i="14700"/>
  <c r="L14" i="14700"/>
  <c r="M11" i="14700"/>
  <c r="K9" i="14700"/>
  <c r="I11" i="14700"/>
  <c r="J12" i="14700"/>
  <c r="D12" i="14700"/>
  <c r="G14" i="14700"/>
  <c r="F10" i="14700"/>
  <c r="B8" i="14700"/>
  <c r="I13" i="14700"/>
  <c r="E9" i="14700"/>
  <c r="I8" i="14700"/>
  <c r="G12" i="14700"/>
  <c r="B11" i="14700"/>
  <c r="K12" i="14700"/>
  <c r="L12" i="14700"/>
  <c r="G13" i="14700"/>
  <c r="J8" i="14700"/>
  <c r="B9" i="14700"/>
  <c r="B10" i="14700"/>
  <c r="J10" i="14700"/>
  <c r="M12" i="14700"/>
  <c r="F11" i="14700"/>
  <c r="D15" i="14700"/>
  <c r="L8" i="14700"/>
  <c r="K8" i="14700"/>
  <c r="H15" i="14700"/>
  <c r="C14" i="14700"/>
  <c r="H13" i="14700"/>
  <c r="H11" i="14700"/>
  <c r="D9" i="14700"/>
  <c r="E14" i="14700"/>
  <c r="F13" i="14700"/>
  <c r="L11" i="14700"/>
  <c r="F14" i="14700"/>
  <c r="D13" i="14700"/>
  <c r="J11" i="14700"/>
  <c r="H14" i="14700"/>
  <c r="E11" i="14700"/>
  <c r="H9" i="14700"/>
  <c r="C15" i="14700"/>
  <c r="H12" i="14700"/>
  <c r="E12" i="14700"/>
  <c r="L10" i="14700"/>
  <c r="F8" i="14700"/>
  <c r="J9" i="14700"/>
  <c r="C13" i="14700"/>
  <c r="K15" i="14700"/>
  <c r="J14" i="14700"/>
  <c r="I15" i="14700"/>
  <c r="M15" i="14700"/>
  <c r="C10" i="14700"/>
  <c r="K14" i="14700"/>
  <c r="D14" i="14700"/>
  <c r="C9" i="14700"/>
  <c r="M9" i="14700"/>
  <c r="C8" i="14700"/>
  <c r="J13" i="14700"/>
  <c r="C11" i="14700"/>
  <c r="G11" i="14700"/>
  <c r="H8" i="14700"/>
  <c r="E13" i="14700"/>
  <c r="M14" i="14700"/>
  <c r="M10" i="14700"/>
  <c r="E6" i="14683" a="1"/>
  <c r="J19" i="14637"/>
  <c r="E19" i="14637"/>
  <c r="K24" i="14637"/>
  <c r="M22" i="14637"/>
  <c r="I22" i="14637"/>
  <c r="D22" i="14637"/>
  <c r="G19" i="14637"/>
  <c r="G24" i="14637"/>
  <c r="E24" i="14637"/>
  <c r="H19" i="14637"/>
  <c r="C22" i="14637"/>
  <c r="J21" i="14637"/>
  <c r="L23" i="14637"/>
  <c r="K18" i="14637"/>
  <c r="M18" i="14637"/>
  <c r="E20" i="14637"/>
  <c r="I23" i="14637"/>
  <c r="C21" i="14637"/>
  <c r="L17" i="14637"/>
  <c r="B20" i="14637"/>
  <c r="E22" i="14637"/>
  <c r="F21" i="14637"/>
  <c r="J22" i="14637"/>
  <c r="G22" i="14637"/>
  <c r="E11" i="14707" a="1"/>
  <c r="B17" i="14637"/>
  <c r="G18" i="14637"/>
  <c r="L19" i="14637"/>
  <c r="D21" i="14637"/>
  <c r="L21" i="14637"/>
  <c r="H24" i="14637"/>
  <c r="L24" i="14637"/>
  <c r="F19" i="14637"/>
  <c r="F20" i="14637"/>
  <c r="I19" i="14637"/>
  <c r="C20" i="14637"/>
  <c r="D19" i="14637"/>
  <c r="E17" i="14637"/>
  <c r="F17" i="14637"/>
  <c r="C18" i="14637"/>
  <c r="C24" i="14637"/>
  <c r="M21" i="14637"/>
  <c r="F24" i="14637"/>
  <c r="M24" i="14637"/>
  <c r="E23" i="14637"/>
  <c r="F18" i="14637"/>
  <c r="J17" i="14637"/>
  <c r="L20" i="14637"/>
  <c r="H17" i="14637"/>
  <c r="M17" i="14637"/>
  <c r="B22" i="14637"/>
  <c r="H18" i="14637"/>
  <c r="M23" i="14637"/>
  <c r="J23" i="14637"/>
  <c r="H20" i="14637"/>
  <c r="C19" i="14637"/>
  <c r="B21" i="14637"/>
  <c r="E21" i="14637"/>
  <c r="J20" i="14637"/>
  <c r="K17" i="14637"/>
  <c r="I21" i="14637"/>
  <c r="J24" i="14637"/>
  <c r="F22" i="14637"/>
  <c r="G23" i="14637"/>
  <c r="D17" i="14637"/>
  <c r="L18" i="14637"/>
  <c r="I24" i="14637"/>
  <c r="G21" i="14637"/>
  <c r="D23" i="14637"/>
  <c r="M19" i="14637"/>
  <c r="B18" i="14637"/>
  <c r="K21" i="14637"/>
  <c r="C17" i="14637"/>
  <c r="G17" i="14637"/>
  <c r="C23" i="14637"/>
  <c r="B24" i="14637"/>
  <c r="K22" i="14637"/>
  <c r="L22" i="14637"/>
  <c r="I18" i="14637"/>
  <c r="I20" i="14637"/>
  <c r="K23" i="14637"/>
  <c r="B19" i="14637"/>
  <c r="H23" i="14637"/>
  <c r="F23" i="14637"/>
  <c r="K20" i="14637"/>
  <c r="H21" i="14637"/>
  <c r="K19" i="14637"/>
  <c r="D18" i="14637"/>
  <c r="D20" i="14637"/>
  <c r="D24" i="14637"/>
  <c r="M20" i="14637"/>
  <c r="G20" i="14637"/>
  <c r="H22" i="14637"/>
  <c r="J18" i="14637"/>
  <c r="I17" i="14637"/>
  <c r="B23" i="14637"/>
  <c r="F38" i="14667"/>
  <c r="H27" i="14706"/>
  <c r="D250" i="14698"/>
  <c r="S136" i="14703" a="1"/>
  <c r="D196" i="14698"/>
  <c r="H38" i="14667"/>
  <c r="F34" i="14652"/>
  <c r="F38" i="14652"/>
  <c r="F33" i="14652"/>
  <c r="F35" i="14652"/>
  <c r="F37" i="14652"/>
  <c r="F36" i="14652"/>
  <c r="F39" i="14652"/>
  <c r="F40" i="14652"/>
  <c r="H14" i="14652"/>
  <c r="H10" i="14652"/>
  <c r="H9" i="14652"/>
  <c r="H12" i="14652"/>
  <c r="H11" i="14652"/>
  <c r="H8" i="14652"/>
  <c r="H13" i="14652"/>
  <c r="H7" i="14652"/>
  <c r="D62" i="14707"/>
  <c r="D61" i="14707"/>
  <c r="D59" i="14707"/>
  <c r="D56" i="14707"/>
  <c r="D58" i="14707"/>
  <c r="D60" i="14707"/>
  <c r="D57" i="14707"/>
  <c r="D55" i="14707"/>
  <c r="C142" i="14703"/>
  <c r="D232" i="14703"/>
  <c r="C160" i="14703"/>
  <c r="O140" i="14703" a="1"/>
  <c r="O141" i="14703" s="1"/>
  <c r="E20" i="14633"/>
  <c r="M20" i="14633"/>
  <c r="C20" i="14633"/>
  <c r="E20" i="14641"/>
  <c r="D20" i="14641"/>
  <c r="G20" i="14641"/>
  <c r="M20" i="14641"/>
  <c r="H20" i="14641"/>
  <c r="L20" i="14641"/>
  <c r="E232" i="14703"/>
  <c r="D214" i="14703"/>
  <c r="Q228" i="14703" a="1"/>
  <c r="Q228" i="14703" s="1"/>
  <c r="O122" i="14703" a="1"/>
  <c r="O123" i="14703" s="1"/>
  <c r="C250" i="14698"/>
  <c r="J20" i="14652"/>
  <c r="J19" i="14652"/>
  <c r="J24" i="14652"/>
  <c r="J23" i="14652"/>
  <c r="J22" i="14652"/>
  <c r="J25" i="14652"/>
  <c r="J26" i="14652"/>
  <c r="J21" i="14652"/>
  <c r="C77" i="14648" a="1"/>
  <c r="N54" i="14692"/>
  <c r="B53" i="14692" a="1"/>
  <c r="N38" i="14692"/>
  <c r="C47" i="14648" a="1"/>
  <c r="B37" i="14692" a="1"/>
  <c r="D23" i="11"/>
  <c r="C18" i="11"/>
  <c r="D18" i="11" s="1"/>
  <c r="G18" i="14626" s="1"/>
  <c r="G17" i="14626" s="1"/>
  <c r="B29" i="14692" a="1"/>
  <c r="N30" i="14692"/>
  <c r="C32" i="14648" a="1"/>
  <c r="H20" i="14633"/>
  <c r="F20" i="14633"/>
  <c r="K20" i="14633"/>
  <c r="D20" i="14633"/>
  <c r="N20" i="14633"/>
  <c r="J20" i="14641"/>
  <c r="C20" i="14641"/>
  <c r="N23" i="14692"/>
  <c r="B22" i="14692" a="1"/>
  <c r="C17" i="14648" a="1"/>
  <c r="N62" i="14692"/>
  <c r="B61" i="14692" a="1"/>
  <c r="C62" i="14648" a="1"/>
  <c r="B45" i="14692" a="1"/>
  <c r="N46" i="14692"/>
  <c r="F214" i="14698"/>
  <c r="O84" i="14703"/>
  <c r="O85" i="14703" s="1"/>
  <c r="C142" i="14698"/>
  <c r="E142" i="14703"/>
  <c r="E53" i="14643"/>
  <c r="N177" i="14703"/>
  <c r="N178" i="14703" s="1"/>
  <c r="T81" i="14703"/>
  <c r="O248" i="14703" a="1"/>
  <c r="O249" i="14703" s="1"/>
  <c r="D60" i="14643"/>
  <c r="C38" i="14683"/>
  <c r="P193" i="14703" a="1"/>
  <c r="P193" i="14703" s="1"/>
  <c r="I7" i="14631"/>
  <c r="T78" i="14703"/>
  <c r="T84" i="14703"/>
  <c r="R209" i="14703" a="1"/>
  <c r="R210" i="14703" s="1"/>
  <c r="O176" i="14703" a="1"/>
  <c r="O176" i="14703" s="1"/>
  <c r="C40" i="14683"/>
  <c r="C34" i="14683"/>
  <c r="C39" i="14683"/>
  <c r="C36" i="14683"/>
  <c r="C41" i="14683"/>
  <c r="C35" i="14683"/>
  <c r="W93" i="14703" a="1"/>
  <c r="W93" i="14703" s="1"/>
  <c r="Y75" i="14703"/>
  <c r="N159" i="14703"/>
  <c r="N160" i="14703" s="1"/>
  <c r="J9" i="14631"/>
  <c r="N141" i="14703"/>
  <c r="N142" i="14703" s="1"/>
  <c r="G102" i="14698" a="1"/>
  <c r="G102" i="14698" s="1"/>
  <c r="E26" i="14638"/>
  <c r="Q81" i="14703"/>
  <c r="C24" i="14638"/>
  <c r="P84" i="14703"/>
  <c r="V81" i="14703"/>
  <c r="C5" i="14617"/>
  <c r="F6" i="14625"/>
  <c r="E25" i="14638"/>
  <c r="Y76" i="14703"/>
  <c r="W80" i="14703"/>
  <c r="M41" i="14634"/>
  <c r="E9" i="14631"/>
  <c r="V83" i="14703"/>
  <c r="U83" i="14703"/>
  <c r="C6" i="14617"/>
  <c r="E6" i="14625"/>
  <c r="U224" i="14703" a="1"/>
  <c r="U229" i="14703" s="1"/>
  <c r="C214" i="14698"/>
  <c r="O230" i="14703" a="1"/>
  <c r="O230" i="14703" s="1"/>
  <c r="K7" i="14631"/>
  <c r="P247" i="14703" a="1"/>
  <c r="P247" i="14703" s="1"/>
  <c r="F26" i="14638"/>
  <c r="T80" i="14703"/>
  <c r="T82" i="14703"/>
  <c r="T83" i="14703"/>
  <c r="N213" i="14703"/>
  <c r="N214" i="14703" s="1"/>
  <c r="M9" i="14704"/>
  <c r="L99" i="14698" a="1"/>
  <c r="L99" i="14698" s="1"/>
  <c r="V223" i="14703" a="1"/>
  <c r="V230" i="14703" s="1"/>
  <c r="R227" i="14703" a="1"/>
  <c r="R227" i="14703" s="1"/>
  <c r="H196" i="14698"/>
  <c r="P139" i="14703" a="1"/>
  <c r="P139" i="14703" s="1"/>
  <c r="S208" i="14703" a="1"/>
  <c r="S211" i="14703" s="1"/>
  <c r="E7" i="14631"/>
  <c r="D55" i="14643"/>
  <c r="N123" i="14703"/>
  <c r="N124" i="14703" s="1"/>
  <c r="O194" i="14703" a="1"/>
  <c r="O194" i="14703" s="1"/>
  <c r="V91" i="14698" a="1"/>
  <c r="V91" i="14698" s="1"/>
  <c r="C103" i="14698" a="1"/>
  <c r="C103" i="14698" s="1"/>
  <c r="R137" i="14703" a="1"/>
  <c r="R141" i="14703" s="1"/>
  <c r="P211" i="14703" a="1"/>
  <c r="P211" i="14703" s="1"/>
  <c r="C232" i="14698"/>
  <c r="E214" i="14698"/>
  <c r="Q91" i="14698" a="1"/>
  <c r="Q91" i="14698" s="1"/>
  <c r="N96" i="14698" a="1"/>
  <c r="N96" i="14698" s="1"/>
  <c r="N91" i="14698" a="1"/>
  <c r="N91" i="14698" s="1"/>
  <c r="F101" i="14698" a="1"/>
  <c r="F101" i="14698" s="1"/>
  <c r="O100" i="14698" a="1"/>
  <c r="O100" i="14698" s="1"/>
  <c r="S93" i="14698" a="1"/>
  <c r="S93" i="14698" s="1"/>
  <c r="U95" i="14698" a="1"/>
  <c r="U95" i="14698" s="1"/>
  <c r="M94" i="14703" a="1"/>
  <c r="M94" i="14703" s="1"/>
  <c r="L103" i="14703" a="1"/>
  <c r="L103" i="14703" s="1"/>
  <c r="O7" i="14633"/>
  <c r="T207" i="14703" a="1"/>
  <c r="T208" i="14703" s="1"/>
  <c r="C160" i="14698"/>
  <c r="S118" i="14703" a="1"/>
  <c r="S121" i="14703" s="1"/>
  <c r="Q91" i="14703" a="1"/>
  <c r="Q91" i="14703" s="1"/>
  <c r="L214" i="14698"/>
  <c r="X167" i="14703" a="1"/>
  <c r="X176" i="14703" s="1"/>
  <c r="L142" i="14698"/>
  <c r="Y80" i="14703"/>
  <c r="P82" i="14703"/>
  <c r="W81" i="14703"/>
  <c r="E58" i="14643"/>
  <c r="H41" i="14634"/>
  <c r="K41" i="14634"/>
  <c r="D24" i="14638"/>
  <c r="K9" i="14631"/>
  <c r="V82" i="14703"/>
  <c r="U77" i="14703"/>
  <c r="F142" i="14698"/>
  <c r="K6" i="14625"/>
  <c r="H100" i="14703" a="1"/>
  <c r="H100" i="14703" s="1"/>
  <c r="O158" i="14703" a="1"/>
  <c r="O159" i="14703" s="1"/>
  <c r="C178" i="14698"/>
  <c r="Y81" i="14703"/>
  <c r="Y73" i="14703"/>
  <c r="Y82" i="14703"/>
  <c r="Q82" i="14703"/>
  <c r="W75" i="14703"/>
  <c r="W77" i="14703"/>
  <c r="W82" i="14703"/>
  <c r="E54" i="14643"/>
  <c r="E59" i="14643"/>
  <c r="I41" i="14634"/>
  <c r="D41" i="14634"/>
  <c r="F41" i="14634"/>
  <c r="G28" i="14632"/>
  <c r="C196" i="14698"/>
  <c r="D214" i="14698"/>
  <c r="D5" i="14617"/>
  <c r="F9" i="14631"/>
  <c r="C9" i="14631"/>
  <c r="G9" i="14631"/>
  <c r="B25" i="14638"/>
  <c r="V76" i="14703"/>
  <c r="V77" i="14703"/>
  <c r="U79" i="14703"/>
  <c r="U82" i="14703"/>
  <c r="M6" i="14625"/>
  <c r="L6" i="14625"/>
  <c r="J6" i="14625"/>
  <c r="R97" i="14703" a="1"/>
  <c r="R97" i="14703" s="1"/>
  <c r="P157" i="14703" a="1"/>
  <c r="I214" i="14698"/>
  <c r="M232" i="14698"/>
  <c r="E142" i="14698"/>
  <c r="B103" i="14703" a="1"/>
  <c r="B103" i="14703" s="1"/>
  <c r="B104" i="14703" s="1"/>
  <c r="E124" i="14698"/>
  <c r="Y238" i="14703" a="1"/>
  <c r="Y249" i="14703" s="1"/>
  <c r="Q246" i="14703" a="1"/>
  <c r="Y112" i="14703" a="1"/>
  <c r="Y120" i="14703" s="1"/>
  <c r="D178" i="14698"/>
  <c r="H250" i="14698"/>
  <c r="Y166" i="14703" a="1"/>
  <c r="Y170" i="14703" s="1"/>
  <c r="S94" i="14698" a="1"/>
  <c r="S94" i="14698" s="1"/>
  <c r="W186" i="14703" a="1"/>
  <c r="W193" i="14703" s="1"/>
  <c r="M40" i="14703"/>
  <c r="G100" i="14703" a="1"/>
  <c r="G100" i="14703" s="1"/>
  <c r="D178" i="14703"/>
  <c r="H160" i="14698"/>
  <c r="G250" i="14698"/>
  <c r="F250" i="14698"/>
  <c r="G160" i="14698"/>
  <c r="Q192" i="14703" a="1"/>
  <c r="P229" i="14703" a="1"/>
  <c r="P229" i="14703" s="1"/>
  <c r="S190" i="14703" a="1"/>
  <c r="S190" i="14703" s="1"/>
  <c r="F124" i="14698"/>
  <c r="C124" i="14703"/>
  <c r="F9" i="8"/>
  <c r="B9" i="8"/>
  <c r="S82" i="14703"/>
  <c r="S79" i="14703"/>
  <c r="S80" i="14703"/>
  <c r="R80" i="14703"/>
  <c r="R81" i="14703"/>
  <c r="G98" i="14698" a="1"/>
  <c r="G98" i="14698" s="1"/>
  <c r="H97" i="14698" a="1"/>
  <c r="H97" i="14698" s="1"/>
  <c r="V93" i="14698" a="1"/>
  <c r="V93" i="14698" s="1"/>
  <c r="R97" i="14698" a="1"/>
  <c r="R97" i="14698" s="1"/>
  <c r="X76" i="14703"/>
  <c r="X81" i="14703"/>
  <c r="X77" i="14703"/>
  <c r="X74" i="14703"/>
  <c r="N249" i="14703"/>
  <c r="N250" i="14703" s="1"/>
  <c r="B250" i="14698"/>
  <c r="V115" i="14703" a="1"/>
  <c r="V121" i="14703" s="1"/>
  <c r="L232" i="14698"/>
  <c r="X149" i="14703" a="1"/>
  <c r="X151" i="14703" s="1"/>
  <c r="W93" i="14698" a="1"/>
  <c r="W93" i="14698" s="1"/>
  <c r="M40" i="14698"/>
  <c r="U91" i="14698" a="1"/>
  <c r="U91" i="14698" s="1"/>
  <c r="P96" i="14698" a="1"/>
  <c r="P96" i="14698" s="1"/>
  <c r="H103" i="14698" a="1"/>
  <c r="H103" i="14698" s="1"/>
  <c r="O96" i="14698" a="1"/>
  <c r="O96" i="14698" s="1"/>
  <c r="F103" i="14698" a="1"/>
  <c r="F103" i="14698" s="1"/>
  <c r="F40" i="14698"/>
  <c r="K103" i="14698" a="1"/>
  <c r="K103" i="14698" s="1"/>
  <c r="V92" i="14698" a="1"/>
  <c r="V92" i="14698" s="1"/>
  <c r="P94" i="14698" a="1"/>
  <c r="P94" i="14698" s="1"/>
  <c r="I101" i="14698" a="1"/>
  <c r="I101" i="14698" s="1"/>
  <c r="K97" i="14698" a="1"/>
  <c r="K97" i="14698" s="1"/>
  <c r="O91" i="14698" a="1"/>
  <c r="O91" i="14698" s="1"/>
  <c r="M94" i="14698" a="1"/>
  <c r="M94" i="14698" s="1"/>
  <c r="D40" i="14698"/>
  <c r="J250" i="14698"/>
  <c r="L102" i="14703" a="1"/>
  <c r="L102" i="14703" s="1"/>
  <c r="M101" i="14703" a="1"/>
  <c r="M101" i="14703" s="1"/>
  <c r="P99" i="14703" a="1"/>
  <c r="P99" i="14703" s="1"/>
  <c r="W92" i="14703" a="1"/>
  <c r="W92" i="14703" s="1"/>
  <c r="I97" i="14703" a="1"/>
  <c r="I97" i="14703" s="1"/>
  <c r="O91" i="14703" a="1"/>
  <c r="O91" i="14703" s="1"/>
  <c r="R94" i="14703" a="1"/>
  <c r="R94" i="14703" s="1"/>
  <c r="O95" i="14703" a="1"/>
  <c r="O95" i="14703" s="1"/>
  <c r="G40" i="14703"/>
  <c r="N96" i="14703" a="1"/>
  <c r="N96" i="14703" s="1"/>
  <c r="D57" i="14643"/>
  <c r="D58" i="14643"/>
  <c r="D59" i="14643"/>
  <c r="D56" i="14643"/>
  <c r="B28" i="14632"/>
  <c r="B10" i="14640"/>
  <c r="D19" i="14683" a="1"/>
  <c r="H8" i="14708"/>
  <c r="U24" i="14655" s="1"/>
  <c r="K214" i="14698"/>
  <c r="M160" i="14698"/>
  <c r="J178" i="14698"/>
  <c r="I142" i="14698"/>
  <c r="U206" i="14703" a="1"/>
  <c r="U206" i="14703" s="1"/>
  <c r="E232" i="14698"/>
  <c r="I196" i="14698"/>
  <c r="Y184" i="14703" a="1"/>
  <c r="Y188" i="14703" s="1"/>
  <c r="W168" i="14703" a="1"/>
  <c r="W172" i="14703" s="1"/>
  <c r="T117" i="14703" a="1"/>
  <c r="T121" i="14703" s="1"/>
  <c r="G7" i="14631"/>
  <c r="L7" i="14631"/>
  <c r="M7" i="14631"/>
  <c r="S83" i="14703"/>
  <c r="N231" i="14703"/>
  <c r="N232" i="14703" s="1"/>
  <c r="N99" i="14698" a="1"/>
  <c r="N99" i="14698" s="1"/>
  <c r="N93" i="14698" a="1"/>
  <c r="N93" i="14698" s="1"/>
  <c r="K98" i="14698" a="1"/>
  <c r="K98" i="14698" s="1"/>
  <c r="U93" i="14698" a="1"/>
  <c r="U93" i="14698" s="1"/>
  <c r="U94" i="14698" a="1"/>
  <c r="U94" i="14698" s="1"/>
  <c r="X80" i="14703"/>
  <c r="D54" i="14643"/>
  <c r="E14" i="14643"/>
  <c r="C124" i="14698"/>
  <c r="G142" i="14698"/>
  <c r="E101" i="14698" a="1"/>
  <c r="E101" i="14698" s="1"/>
  <c r="P100" i="14698" a="1"/>
  <c r="P100" i="14698" s="1"/>
  <c r="H40" i="14698"/>
  <c r="I40" i="14698"/>
  <c r="N32" i="14698"/>
  <c r="E103" i="14698" a="1"/>
  <c r="E103" i="14698" s="1"/>
  <c r="O212" i="14703" a="1"/>
  <c r="O213" i="14703" s="1"/>
  <c r="D103" i="14703" a="1"/>
  <c r="D103" i="14703" s="1"/>
  <c r="M97" i="14703" a="1"/>
  <c r="M97" i="14703" s="1"/>
  <c r="P98" i="14703" a="1"/>
  <c r="P98" i="14703" s="1"/>
  <c r="Q94" i="14703" a="1"/>
  <c r="Q94" i="14703" s="1"/>
  <c r="N92" i="14703" a="1"/>
  <c r="N92" i="14703" s="1"/>
  <c r="E103" i="14703" a="1"/>
  <c r="E103" i="14703" s="1"/>
  <c r="P121" i="14703" a="1"/>
  <c r="S244" i="14703" a="1"/>
  <c r="S245" i="14703" s="1"/>
  <c r="O98" i="14698" a="1"/>
  <c r="O98" i="14698" s="1"/>
  <c r="D232" i="14698"/>
  <c r="E196" i="14698"/>
  <c r="D142" i="14698"/>
  <c r="D101" i="14703" a="1"/>
  <c r="D101" i="14703" s="1"/>
  <c r="E178" i="14698"/>
  <c r="J103" i="14703" a="1"/>
  <c r="J103" i="14703" s="1"/>
  <c r="K95" i="14698" a="1"/>
  <c r="K95" i="14698" s="1"/>
  <c r="W91" i="14698" a="1"/>
  <c r="W91" i="14698" s="1"/>
  <c r="X239" i="14703" a="1"/>
  <c r="X243" i="14703" s="1"/>
  <c r="G178" i="14703"/>
  <c r="C178" i="14703"/>
  <c r="F196" i="14698"/>
  <c r="L124" i="14698"/>
  <c r="V205" i="14703" a="1"/>
  <c r="V208" i="14703" s="1"/>
  <c r="G232" i="14698"/>
  <c r="J98" i="14698" a="1"/>
  <c r="J98" i="14698" s="1"/>
  <c r="S91" i="14698" a="1"/>
  <c r="S91" i="14698" s="1"/>
  <c r="P91" i="14698" a="1"/>
  <c r="P91" i="14698" s="1"/>
  <c r="M102" i="14698" a="1"/>
  <c r="M102" i="14698" s="1"/>
  <c r="Q95" i="14698" a="1"/>
  <c r="Q95" i="14698" s="1"/>
  <c r="L40" i="14703"/>
  <c r="C196" i="14703"/>
  <c r="I178" i="14703"/>
  <c r="T153" i="14703" a="1"/>
  <c r="T155" i="14703" s="1"/>
  <c r="N37" i="14698"/>
  <c r="R119" i="14703" a="1"/>
  <c r="B87" i="14698"/>
  <c r="V151" i="14703" a="1"/>
  <c r="V157" i="14703" s="1"/>
  <c r="I124" i="14698"/>
  <c r="I250" i="14698"/>
  <c r="Q210" i="14703" a="1"/>
  <c r="Q211" i="14703" s="1"/>
  <c r="U152" i="14703" a="1"/>
  <c r="U154" i="14703" s="1"/>
  <c r="K160" i="14698"/>
  <c r="T171" i="14703" a="1"/>
  <c r="T174" i="14703" s="1"/>
  <c r="N38" i="14698"/>
  <c r="L93" i="14698" a="1"/>
  <c r="L93" i="14698" s="1"/>
  <c r="N35" i="14698"/>
  <c r="Q94" i="14698" a="1"/>
  <c r="Q94" i="14698" s="1"/>
  <c r="O101" i="14698" a="1"/>
  <c r="O101" i="14698" s="1"/>
  <c r="H101" i="14698" a="1"/>
  <c r="H101" i="14698" s="1"/>
  <c r="V133" i="14703" a="1"/>
  <c r="V140" i="14703" s="1"/>
  <c r="D160" i="14703"/>
  <c r="M93" i="14703" a="1"/>
  <c r="M93" i="14703" s="1"/>
  <c r="D40" i="14703"/>
  <c r="T94" i="14703" a="1"/>
  <c r="T94" i="14703" s="1"/>
  <c r="V94" i="14703" a="1"/>
  <c r="V94" i="14703" s="1"/>
  <c r="N38" i="14703"/>
  <c r="L96" i="14703" a="1"/>
  <c r="L96" i="14703" s="1"/>
  <c r="G102" i="14703" a="1"/>
  <c r="G102" i="14703" s="1"/>
  <c r="K99" i="14703" a="1"/>
  <c r="K99" i="14703" s="1"/>
  <c r="H178" i="14703"/>
  <c r="R155" i="14703" a="1"/>
  <c r="R156" i="14703" s="1"/>
  <c r="G178" i="14698"/>
  <c r="Q24" i="14655"/>
  <c r="T24" i="14655" s="1"/>
  <c r="U188" i="14703" a="1"/>
  <c r="U194" i="14703" s="1"/>
  <c r="M142" i="14698"/>
  <c r="T135" i="14703" a="1"/>
  <c r="T135" i="14703" s="1"/>
  <c r="R245" i="14703" a="1"/>
  <c r="R246" i="14703" s="1"/>
  <c r="M214" i="14698"/>
  <c r="K232" i="14698"/>
  <c r="I178" i="14698"/>
  <c r="N21" i="14645"/>
  <c r="V187" i="14703" a="1"/>
  <c r="V189" i="14703" s="1"/>
  <c r="W240" i="14703" a="1"/>
  <c r="W240" i="14703" s="1"/>
  <c r="H214" i="14698"/>
  <c r="X203" i="14703" a="1"/>
  <c r="X211" i="14703" s="1"/>
  <c r="R173" i="14703" a="1"/>
  <c r="R177" i="14703" s="1"/>
  <c r="K142" i="14698"/>
  <c r="H232" i="14698"/>
  <c r="E160" i="14698"/>
  <c r="W114" i="14703" a="1"/>
  <c r="W118" i="14703" s="1"/>
  <c r="X185" i="14703" a="1"/>
  <c r="X193" i="14703" s="1"/>
  <c r="X131" i="14703" a="1"/>
  <c r="X138" i="14703" s="1"/>
  <c r="E46" i="14643"/>
  <c r="Y83" i="14703"/>
  <c r="Y77" i="14703"/>
  <c r="Y74" i="14703"/>
  <c r="Y79" i="14703"/>
  <c r="Y78" i="14703"/>
  <c r="Q84" i="14703"/>
  <c r="C25" i="14638"/>
  <c r="J40" i="14698"/>
  <c r="M100" i="14698" a="1"/>
  <c r="M100" i="14698" s="1"/>
  <c r="T93" i="14698" a="1"/>
  <c r="T93" i="14698" s="1"/>
  <c r="O92" i="14698" a="1"/>
  <c r="O92" i="14698" s="1"/>
  <c r="D103" i="14698" a="1"/>
  <c r="D103" i="14698" s="1"/>
  <c r="I100" i="14698" a="1"/>
  <c r="I100" i="14698" s="1"/>
  <c r="L97" i="14698" a="1"/>
  <c r="L97" i="14698" s="1"/>
  <c r="K40" i="14698"/>
  <c r="T94" i="14698" a="1"/>
  <c r="T94" i="14698" s="1"/>
  <c r="L102" i="14698" a="1"/>
  <c r="L102" i="14698" s="1"/>
  <c r="T95" i="14698" a="1"/>
  <c r="T95" i="14698" s="1"/>
  <c r="W92" i="14698" a="1"/>
  <c r="W92" i="14698" s="1"/>
  <c r="W83" i="14703"/>
  <c r="W78" i="14703"/>
  <c r="W76" i="14703"/>
  <c r="W84" i="14703"/>
  <c r="E56" i="14643"/>
  <c r="E57" i="14643"/>
  <c r="E55" i="14643"/>
  <c r="L41" i="14634"/>
  <c r="G41" i="14634"/>
  <c r="E41" i="14634"/>
  <c r="N41" i="14634"/>
  <c r="J41" i="14634"/>
  <c r="D28" i="14632"/>
  <c r="D23" i="14638"/>
  <c r="M9" i="14631"/>
  <c r="I9" i="14631"/>
  <c r="B9" i="14631"/>
  <c r="H9" i="14631"/>
  <c r="L9" i="14631"/>
  <c r="B22" i="14638"/>
  <c r="B21" i="14638"/>
  <c r="C40" i="14698"/>
  <c r="H98" i="14698" a="1"/>
  <c r="H98" i="14698" s="1"/>
  <c r="D102" i="14698" a="1"/>
  <c r="D102" i="14698" s="1"/>
  <c r="S97" i="14698" a="1"/>
  <c r="S97" i="14698" s="1"/>
  <c r="Q99" i="14698" a="1"/>
  <c r="Q99" i="14698" s="1"/>
  <c r="G40" i="14698"/>
  <c r="L98" i="14698" a="1"/>
  <c r="L98" i="14698" s="1"/>
  <c r="O95" i="14698" a="1"/>
  <c r="O95" i="14698" s="1"/>
  <c r="K100" i="14698" a="1"/>
  <c r="K100" i="14698" s="1"/>
  <c r="N97" i="14698" a="1"/>
  <c r="N97" i="14698" s="1"/>
  <c r="R94" i="14698" a="1"/>
  <c r="R94" i="14698" s="1"/>
  <c r="O97" i="14698" a="1"/>
  <c r="O97" i="14698" s="1"/>
  <c r="B40" i="14698"/>
  <c r="M92" i="14698" a="1"/>
  <c r="M92" i="14698" s="1"/>
  <c r="K94" i="14698" a="1"/>
  <c r="K94" i="14698" s="1"/>
  <c r="O93" i="14698" a="1"/>
  <c r="O93" i="14698" s="1"/>
  <c r="G101" i="14698" a="1"/>
  <c r="G101" i="14698" s="1"/>
  <c r="M95" i="14698" a="1"/>
  <c r="M95" i="14698" s="1"/>
  <c r="V78" i="14703"/>
  <c r="V79" i="14703"/>
  <c r="V80" i="14703"/>
  <c r="U84" i="14703"/>
  <c r="U81" i="14703"/>
  <c r="U78" i="14703"/>
  <c r="I6" i="14625"/>
  <c r="D6" i="14625"/>
  <c r="N6" i="14625"/>
  <c r="C6" i="14625"/>
  <c r="H6" i="14625"/>
  <c r="E40" i="14643"/>
  <c r="E43" i="14643"/>
  <c r="E101" i="14703" a="1"/>
  <c r="E101" i="14703" s="1"/>
  <c r="F101" i="14703" a="1"/>
  <c r="F101" i="14703" s="1"/>
  <c r="S91" i="14703" a="1"/>
  <c r="S91" i="14703" s="1"/>
  <c r="V92" i="14703" a="1"/>
  <c r="V92" i="14703" s="1"/>
  <c r="F102" i="14703" a="1"/>
  <c r="F102" i="14703" s="1"/>
  <c r="I98" i="14703" a="1"/>
  <c r="I98" i="14703" s="1"/>
  <c r="U95" i="14703" a="1"/>
  <c r="U95" i="14703" s="1"/>
  <c r="Q93" i="14703" a="1"/>
  <c r="Q93" i="14703" s="1"/>
  <c r="V93" i="14703" a="1"/>
  <c r="V93" i="14703" s="1"/>
  <c r="E40" i="14703"/>
  <c r="N94" i="14703" a="1"/>
  <c r="N94" i="14703" s="1"/>
  <c r="B36" i="14683"/>
  <c r="J98" i="14703" a="1"/>
  <c r="J98" i="14703" s="1"/>
  <c r="N5" i="14669"/>
  <c r="F214" i="14703"/>
  <c r="F232" i="14703"/>
  <c r="C232" i="14703"/>
  <c r="M214" i="14703"/>
  <c r="J102" i="14703" a="1"/>
  <c r="J102" i="14703" s="1"/>
  <c r="N35" i="14703"/>
  <c r="J95" i="14703" a="1"/>
  <c r="J95" i="14703" s="1"/>
  <c r="D124" i="14703"/>
  <c r="E178" i="14703"/>
  <c r="E250" i="14703"/>
  <c r="I101" i="14703" a="1"/>
  <c r="I101" i="14703" s="1"/>
  <c r="S95" i="14703" a="1"/>
  <c r="S95" i="14703" s="1"/>
  <c r="P100" i="14703" a="1"/>
  <c r="P100" i="14703" s="1"/>
  <c r="J232" i="14698"/>
  <c r="D160" i="14698"/>
  <c r="I160" i="14698"/>
  <c r="Q120" i="14703" a="1"/>
  <c r="Q121" i="14703" s="1"/>
  <c r="G124" i="14698"/>
  <c r="L196" i="14698"/>
  <c r="R191" i="14703" a="1"/>
  <c r="R191" i="14703" s="1"/>
  <c r="J196" i="14698"/>
  <c r="M250" i="14698"/>
  <c r="E250" i="14698"/>
  <c r="Y220" i="14703" a="1"/>
  <c r="Y227" i="14703" s="1"/>
  <c r="L178" i="14698"/>
  <c r="I96" i="14698" a="1"/>
  <c r="I96" i="14698" s="1"/>
  <c r="S96" i="14698" a="1"/>
  <c r="S96" i="14698" s="1"/>
  <c r="M124" i="14698"/>
  <c r="T189" i="14703" a="1"/>
  <c r="T189" i="14703" s="1"/>
  <c r="W132" i="14703" a="1"/>
  <c r="W139" i="14703" s="1"/>
  <c r="H142" i="14698"/>
  <c r="Q138" i="14703" a="1"/>
  <c r="Q139" i="14703" s="1"/>
  <c r="Y202" i="14703" a="1"/>
  <c r="Y208" i="14703" s="1"/>
  <c r="Q156" i="14703" a="1"/>
  <c r="Q159" i="14703" s="1"/>
  <c r="F178" i="14698"/>
  <c r="P175" i="14703" a="1"/>
  <c r="P175" i="14703" s="1"/>
  <c r="S226" i="14703" a="1"/>
  <c r="F232" i="14698"/>
  <c r="D124" i="14698"/>
  <c r="X113" i="14703" a="1"/>
  <c r="X117" i="14703" s="1"/>
  <c r="H124" i="14698"/>
  <c r="M196" i="14698"/>
  <c r="F160" i="14698"/>
  <c r="S154" i="14703" a="1"/>
  <c r="S158" i="14703" s="1"/>
  <c r="Q174" i="14703" a="1"/>
  <c r="Q177" i="14703" s="1"/>
  <c r="U116" i="14703" a="1"/>
  <c r="U118" i="14703" s="1"/>
  <c r="K250" i="14698"/>
  <c r="L250" i="14698"/>
  <c r="J214" i="14698"/>
  <c r="W222" i="14703" a="1"/>
  <c r="W223" i="14703" s="1"/>
  <c r="K160" i="14703"/>
  <c r="U242" i="14703" a="1"/>
  <c r="U245" i="14703" s="1"/>
  <c r="T243" i="14703" a="1"/>
  <c r="T243" i="14703" s="1"/>
  <c r="T225" i="14703" a="1"/>
  <c r="T227" i="14703" s="1"/>
  <c r="K124" i="14698"/>
  <c r="N37" i="14703"/>
  <c r="Y130" i="14703" a="1"/>
  <c r="Y141" i="14703" s="1"/>
  <c r="N34" i="14698"/>
  <c r="J124" i="14698"/>
  <c r="H178" i="14698"/>
  <c r="K178" i="14698"/>
  <c r="U170" i="14703" a="1"/>
  <c r="U173" i="14703" s="1"/>
  <c r="G214" i="14698"/>
  <c r="W204" i="14703" a="1"/>
  <c r="W210" i="14703" s="1"/>
  <c r="X221" i="14703" a="1"/>
  <c r="X221" i="14703" s="1"/>
  <c r="I232" i="14698"/>
  <c r="W150" i="14703" a="1"/>
  <c r="W151" i="14703" s="1"/>
  <c r="L160" i="14698"/>
  <c r="Y148" i="14703" a="1"/>
  <c r="Y159" i="14703" s="1"/>
  <c r="J160" i="14698"/>
  <c r="V169" i="14703" a="1"/>
  <c r="V173" i="14703" s="1"/>
  <c r="M178" i="14698"/>
  <c r="S172" i="14703" a="1"/>
  <c r="S176" i="14703" s="1"/>
  <c r="Y91" i="14698" a="1"/>
  <c r="Y91" i="14698" s="1"/>
  <c r="N39" i="14698"/>
  <c r="I103" i="14698" a="1"/>
  <c r="I103" i="14698" s="1"/>
  <c r="J101" i="14698" a="1"/>
  <c r="J101" i="14698" s="1"/>
  <c r="J99" i="14698" a="1"/>
  <c r="J99" i="14698" s="1"/>
  <c r="L101" i="14698" a="1"/>
  <c r="L101" i="14698" s="1"/>
  <c r="N36" i="14698"/>
  <c r="O99" i="14698" a="1"/>
  <c r="O99" i="14698" s="1"/>
  <c r="H102" i="14698" a="1"/>
  <c r="H102" i="14698" s="1"/>
  <c r="F102" i="14698" a="1"/>
  <c r="F102" i="14698" s="1"/>
  <c r="I97" i="14698" a="1"/>
  <c r="I97" i="14698" s="1"/>
  <c r="K96" i="14698" a="1"/>
  <c r="K96" i="14698" s="1"/>
  <c r="K196" i="14698"/>
  <c r="G196" i="14698"/>
  <c r="J142" i="14698"/>
  <c r="U134" i="14703" a="1"/>
  <c r="U136" i="14703" s="1"/>
  <c r="V241" i="14703" a="1"/>
  <c r="V245" i="14703" s="1"/>
  <c r="I160" i="14703"/>
  <c r="K103" i="14703" a="1"/>
  <c r="K103" i="14703" s="1"/>
  <c r="N34" i="14703"/>
  <c r="G101" i="14703" a="1"/>
  <c r="G101" i="14703" s="1"/>
  <c r="N39" i="14703"/>
  <c r="H40" i="14703"/>
  <c r="X91" i="14703" a="1"/>
  <c r="X91" i="14703" s="1"/>
  <c r="G99" i="14703" a="1"/>
  <c r="G99" i="14703" s="1"/>
  <c r="H102" i="14703" a="1"/>
  <c r="H102" i="14703" s="1"/>
  <c r="N102" i="14703" a="1"/>
  <c r="N102" i="14703" s="1"/>
  <c r="H99" i="14703" a="1"/>
  <c r="H99" i="14703" s="1"/>
  <c r="L97" i="14703" a="1"/>
  <c r="L97" i="14703" s="1"/>
  <c r="I100" i="14703" a="1"/>
  <c r="I100" i="14703" s="1"/>
  <c r="H101" i="14703" a="1"/>
  <c r="H101" i="14703" s="1"/>
  <c r="U91" i="14703" a="1"/>
  <c r="U91" i="14703" s="1"/>
  <c r="L22" i="14655"/>
  <c r="M22" i="14655"/>
  <c r="J22" i="14655"/>
  <c r="K22" i="14655"/>
  <c r="H22" i="14655"/>
  <c r="O22" i="14655"/>
  <c r="G22" i="14655"/>
  <c r="E22" i="14655"/>
  <c r="F22" i="14655"/>
  <c r="N22" i="14655"/>
  <c r="F7" i="14631"/>
  <c r="C7" i="14631"/>
  <c r="B7" i="14631"/>
  <c r="J7" i="14631"/>
  <c r="D7" i="14631"/>
  <c r="S84" i="14703"/>
  <c r="S81" i="14703"/>
  <c r="R83" i="14703"/>
  <c r="R84" i="14703"/>
  <c r="N33" i="14698"/>
  <c r="R95" i="14698" a="1"/>
  <c r="R95" i="14698" s="1"/>
  <c r="K102" i="14698" a="1"/>
  <c r="K102" i="14698" s="1"/>
  <c r="P97" i="14698" a="1"/>
  <c r="P97" i="14698" s="1"/>
  <c r="Q96" i="14698" a="1"/>
  <c r="Q96" i="14698" s="1"/>
  <c r="U92" i="14698" a="1"/>
  <c r="U92" i="14698" s="1"/>
  <c r="J103" i="14698" a="1"/>
  <c r="J103" i="14698" s="1"/>
  <c r="E102" i="14698" a="1"/>
  <c r="E102" i="14698" s="1"/>
  <c r="H99" i="14698" a="1"/>
  <c r="H99" i="14698" s="1"/>
  <c r="J97" i="14698" a="1"/>
  <c r="J97" i="14698" s="1"/>
  <c r="G100" i="14698" a="1"/>
  <c r="G100" i="14698" s="1"/>
  <c r="L95" i="14698" a="1"/>
  <c r="L95" i="14698" s="1"/>
  <c r="I98" i="14698" a="1"/>
  <c r="I98" i="14698" s="1"/>
  <c r="M96" i="14698" a="1"/>
  <c r="M96" i="14698" s="1"/>
  <c r="P93" i="14698" a="1"/>
  <c r="P93" i="14698" s="1"/>
  <c r="Q92" i="14698" a="1"/>
  <c r="Q92" i="14698" s="1"/>
  <c r="O94" i="14698" a="1"/>
  <c r="O94" i="14698" s="1"/>
  <c r="R91" i="14698" a="1"/>
  <c r="R91" i="14698" s="1"/>
  <c r="N95" i="14698" a="1"/>
  <c r="N95" i="14698" s="1"/>
  <c r="Q97" i="14698" a="1"/>
  <c r="Q97" i="14698" s="1"/>
  <c r="R96" i="14698" a="1"/>
  <c r="R96" i="14698" s="1"/>
  <c r="M101" i="14698" a="1"/>
  <c r="M101" i="14698" s="1"/>
  <c r="P98" i="14698" a="1"/>
  <c r="P98" i="14698" s="1"/>
  <c r="S95" i="14698" a="1"/>
  <c r="S95" i="14698" s="1"/>
  <c r="N100" i="14698" a="1"/>
  <c r="N100" i="14698" s="1"/>
  <c r="X91" i="14698" a="1"/>
  <c r="X91" i="14698" s="1"/>
  <c r="Q98" i="14698" a="1"/>
  <c r="Q98" i="14698" s="1"/>
  <c r="N101" i="14698" a="1"/>
  <c r="N101" i="14698" s="1"/>
  <c r="L40" i="14698"/>
  <c r="L103" i="14698" a="1"/>
  <c r="L103" i="14698" s="1"/>
  <c r="P99" i="14698" a="1"/>
  <c r="P99" i="14698" s="1"/>
  <c r="X75" i="14703"/>
  <c r="X84" i="14703"/>
  <c r="X83" i="14703"/>
  <c r="X79" i="14703"/>
  <c r="X82" i="14703"/>
  <c r="P22" i="14655"/>
  <c r="F100" i="14698" a="1"/>
  <c r="F100" i="14698" s="1"/>
  <c r="N92" i="14698" a="1"/>
  <c r="N92" i="14698" s="1"/>
  <c r="G99" i="14698" a="1"/>
  <c r="G99" i="14698" s="1"/>
  <c r="M93" i="14698" a="1"/>
  <c r="M93" i="14698" s="1"/>
  <c r="L94" i="14698" a="1"/>
  <c r="L94" i="14698" s="1"/>
  <c r="J96" i="14698" a="1"/>
  <c r="J96" i="14698" s="1"/>
  <c r="R98" i="14698" a="1"/>
  <c r="R98" i="14698" s="1"/>
  <c r="V94" i="14698" a="1"/>
  <c r="V94" i="14698" s="1"/>
  <c r="T96" i="14698" a="1"/>
  <c r="T96" i="14698" s="1"/>
  <c r="N102" i="14698" a="1"/>
  <c r="N102" i="14698" s="1"/>
  <c r="M103" i="14698" a="1"/>
  <c r="M103" i="14698" s="1"/>
  <c r="X92" i="14698" a="1"/>
  <c r="X92" i="14698" s="1"/>
  <c r="K99" i="14698" a="1"/>
  <c r="K99" i="14698" s="1"/>
  <c r="Q93" i="14698" a="1"/>
  <c r="Q93" i="14698" s="1"/>
  <c r="M97" i="14698" a="1"/>
  <c r="M97" i="14698" s="1"/>
  <c r="G103" i="14698" a="1"/>
  <c r="G103" i="14698" s="1"/>
  <c r="J100" i="14698" a="1"/>
  <c r="J100" i="14698" s="1"/>
  <c r="R92" i="14698" a="1"/>
  <c r="R92" i="14698" s="1"/>
  <c r="M98" i="14698" a="1"/>
  <c r="M98" i="14698" s="1"/>
  <c r="R93" i="14698" a="1"/>
  <c r="R93" i="14698" s="1"/>
  <c r="I102" i="14698" a="1"/>
  <c r="I102" i="14698" s="1"/>
  <c r="P95" i="14698" a="1"/>
  <c r="P95" i="14698" s="1"/>
  <c r="T91" i="14698" a="1"/>
  <c r="T91" i="14698" s="1"/>
  <c r="S92" i="14698" a="1"/>
  <c r="S92" i="14698" s="1"/>
  <c r="M99" i="14698" a="1"/>
  <c r="M99" i="14698" s="1"/>
  <c r="N98" i="14698" a="1"/>
  <c r="N98" i="14698" s="1"/>
  <c r="T92" i="14698" a="1"/>
  <c r="T92" i="14698" s="1"/>
  <c r="J102" i="14698" a="1"/>
  <c r="J102" i="14698" s="1"/>
  <c r="K101" i="14698" a="1"/>
  <c r="K101" i="14698" s="1"/>
  <c r="L100" i="14698" a="1"/>
  <c r="L100" i="14698" s="1"/>
  <c r="F99" i="14698" a="1"/>
  <c r="F99" i="14698" s="1"/>
  <c r="D101" i="14698" a="1"/>
  <c r="D101" i="14698" s="1"/>
  <c r="J95" i="14698" a="1"/>
  <c r="J95" i="14698" s="1"/>
  <c r="E100" i="14698" a="1"/>
  <c r="E100" i="14698" s="1"/>
  <c r="B103" i="14698" a="1"/>
  <c r="B103" i="14698" s="1"/>
  <c r="N103" i="14703" s="1"/>
  <c r="C102" i="14698" a="1"/>
  <c r="C102" i="14698" s="1"/>
  <c r="E40" i="14698"/>
  <c r="I99" i="14698" a="1"/>
  <c r="I99" i="14698" s="1"/>
  <c r="P92" i="14698" a="1"/>
  <c r="P92" i="14698" s="1"/>
  <c r="H100" i="14698" a="1"/>
  <c r="H100" i="14698" s="1"/>
  <c r="N94" i="14698" a="1"/>
  <c r="N94" i="14698" s="1"/>
  <c r="L96" i="14698" a="1"/>
  <c r="L96" i="14698" s="1"/>
  <c r="K28" i="14632"/>
  <c r="K18" i="14648"/>
  <c r="E18" i="14648"/>
  <c r="L18" i="14648"/>
  <c r="M9" i="8"/>
  <c r="O100" i="14703" a="1"/>
  <c r="O100" i="14703" s="1"/>
  <c r="Q98" i="14703" a="1"/>
  <c r="Q98" i="14703" s="1"/>
  <c r="J96" i="14703" a="1"/>
  <c r="J96" i="14703" s="1"/>
  <c r="K96" i="14703" a="1"/>
  <c r="K96" i="14703" s="1"/>
  <c r="G103" i="14703" a="1"/>
  <c r="G103" i="14703" s="1"/>
  <c r="P94" i="14703" a="1"/>
  <c r="P94" i="14703" s="1"/>
  <c r="T96" i="14703" a="1"/>
  <c r="T96" i="14703" s="1"/>
  <c r="R98" i="14703" a="1"/>
  <c r="R98" i="14703" s="1"/>
  <c r="R96" i="14703" a="1"/>
  <c r="R96" i="14703" s="1"/>
  <c r="Q97" i="14703" a="1"/>
  <c r="Q97" i="14703" s="1"/>
  <c r="I99" i="14703" a="1"/>
  <c r="I99" i="14703" s="1"/>
  <c r="L99" i="14703" a="1"/>
  <c r="L99" i="14703" s="1"/>
  <c r="P95" i="14703" a="1"/>
  <c r="P95" i="14703" s="1"/>
  <c r="P91" i="14703" a="1"/>
  <c r="P91" i="14703" s="1"/>
  <c r="L95" i="14703" a="1"/>
  <c r="L95" i="14703" s="1"/>
  <c r="N93" i="14703" a="1"/>
  <c r="N93" i="14703" s="1"/>
  <c r="E102" i="14703" a="1"/>
  <c r="E102" i="14703" s="1"/>
  <c r="Q99" i="14703" a="1"/>
  <c r="Q99" i="14703" s="1"/>
  <c r="S97" i="14703" a="1"/>
  <c r="S97" i="14703" s="1"/>
  <c r="X92" i="14703" a="1"/>
  <c r="X92" i="14703" s="1"/>
  <c r="O101" i="14703" a="1"/>
  <c r="O101" i="14703" s="1"/>
  <c r="R92" i="14703" a="1"/>
  <c r="R92" i="14703" s="1"/>
  <c r="L98" i="14703" a="1"/>
  <c r="L98" i="14703" s="1"/>
  <c r="J100" i="14703" a="1"/>
  <c r="J100" i="14703" s="1"/>
  <c r="F100" i="14703" a="1"/>
  <c r="F100" i="14703" s="1"/>
  <c r="N101" i="14703" a="1"/>
  <c r="N101" i="14703" s="1"/>
  <c r="S96" i="14703" a="1"/>
  <c r="S96" i="14703" s="1"/>
  <c r="T95" i="14703" a="1"/>
  <c r="T95" i="14703" s="1"/>
  <c r="M102" i="14703" a="1"/>
  <c r="M102" i="14703" s="1"/>
  <c r="K40" i="14703"/>
  <c r="W91" i="14703" a="1"/>
  <c r="W91" i="14703" s="1"/>
  <c r="O99" i="14703" a="1"/>
  <c r="O99" i="14703" s="1"/>
  <c r="U93" i="14703" a="1"/>
  <c r="U93" i="14703" s="1"/>
  <c r="P92" i="14703" a="1"/>
  <c r="P92" i="14703" s="1"/>
  <c r="O93" i="14703" a="1"/>
  <c r="O93" i="14703" s="1"/>
  <c r="M95" i="14703" a="1"/>
  <c r="M95" i="14703" s="1"/>
  <c r="U94" i="14703" a="1"/>
  <c r="U94" i="14703" s="1"/>
  <c r="J97" i="14703" a="1"/>
  <c r="J97" i="14703" s="1"/>
  <c r="N100" i="14703" a="1"/>
  <c r="N100" i="14703" s="1"/>
  <c r="J101" i="14703" a="1"/>
  <c r="J101" i="14703" s="1"/>
  <c r="O92" i="14703" a="1"/>
  <c r="O92" i="14703" s="1"/>
  <c r="Y91" i="14703" a="1"/>
  <c r="Y91" i="14703" s="1"/>
  <c r="M103" i="14703" a="1"/>
  <c r="M103" i="14703" s="1"/>
  <c r="K97" i="14703" a="1"/>
  <c r="K97" i="14703" s="1"/>
  <c r="N33" i="14703"/>
  <c r="M98" i="14703" a="1"/>
  <c r="M98" i="14703" s="1"/>
  <c r="H98" i="14703" a="1"/>
  <c r="H98" i="14703" s="1"/>
  <c r="N99" i="14703" a="1"/>
  <c r="N99" i="14703" s="1"/>
  <c r="L93" i="14703" a="1"/>
  <c r="L93" i="14703" s="1"/>
  <c r="E124" i="14703"/>
  <c r="I232" i="14703"/>
  <c r="J160" i="14703"/>
  <c r="I196" i="14703"/>
  <c r="L232" i="14703"/>
  <c r="E28" i="14632"/>
  <c r="M28" i="14632"/>
  <c r="C28" i="14632"/>
  <c r="E8" i="14704"/>
  <c r="G11" i="14704"/>
  <c r="K9" i="8"/>
  <c r="J99" i="14703" a="1"/>
  <c r="J99" i="14703" s="1"/>
  <c r="K94" i="14703" a="1"/>
  <c r="K94" i="14703" s="1"/>
  <c r="O97" i="14703" a="1"/>
  <c r="O97" i="14703" s="1"/>
  <c r="N98" i="14703" a="1"/>
  <c r="N98" i="14703" s="1"/>
  <c r="P93" i="14703" a="1"/>
  <c r="P93" i="14703" s="1"/>
  <c r="K98" i="14703" a="1"/>
  <c r="K98" i="14703" s="1"/>
  <c r="I40" i="14703"/>
  <c r="P96" i="14703" a="1"/>
  <c r="P96" i="14703" s="1"/>
  <c r="J196" i="14703"/>
  <c r="L124" i="14703"/>
  <c r="J178" i="14703"/>
  <c r="S94" i="14703" a="1"/>
  <c r="S94" i="14703" s="1"/>
  <c r="F250" i="14703"/>
  <c r="H214" i="14703"/>
  <c r="L160" i="14703"/>
  <c r="L214" i="14703"/>
  <c r="J232" i="14703"/>
  <c r="E160" i="14703"/>
  <c r="K250" i="14703"/>
  <c r="M124" i="14703"/>
  <c r="G250" i="14703"/>
  <c r="C26" i="14638"/>
  <c r="C23" i="14638"/>
  <c r="F28" i="14632"/>
  <c r="D26" i="14638"/>
  <c r="B24" i="14638"/>
  <c r="B23" i="14638"/>
  <c r="H28" i="14632"/>
  <c r="B39" i="14683"/>
  <c r="E45" i="14643"/>
  <c r="E42" i="14643"/>
  <c r="E44" i="14643"/>
  <c r="E47" i="14643"/>
  <c r="D102" i="14703" a="1"/>
  <c r="D102" i="14703" s="1"/>
  <c r="C40" i="14703"/>
  <c r="B40" i="14703"/>
  <c r="M100" i="14703" a="1"/>
  <c r="M100" i="14703" s="1"/>
  <c r="J40" i="14703"/>
  <c r="R93" i="14703" a="1"/>
  <c r="R93" i="14703" s="1"/>
  <c r="H103" i="14703" a="1"/>
  <c r="H103" i="14703" s="1"/>
  <c r="S92" i="14703" a="1"/>
  <c r="S92" i="14703" s="1"/>
  <c r="N91" i="14703" a="1"/>
  <c r="N91" i="14703" s="1"/>
  <c r="G98" i="14703" a="1"/>
  <c r="G98" i="14703" s="1"/>
  <c r="L94" i="14703" a="1"/>
  <c r="L94" i="14703" s="1"/>
  <c r="K95" i="14703" a="1"/>
  <c r="K95" i="14703" s="1"/>
  <c r="C103" i="14703" a="1"/>
  <c r="C103" i="14703" s="1"/>
  <c r="P97" i="14703" a="1"/>
  <c r="P97" i="14703" s="1"/>
  <c r="K100" i="14703" a="1"/>
  <c r="K100" i="14703" s="1"/>
  <c r="O96" i="14703" a="1"/>
  <c r="O96" i="14703" s="1"/>
  <c r="T91" i="14703" a="1"/>
  <c r="T91" i="14703" s="1"/>
  <c r="I102" i="14703" a="1"/>
  <c r="I102" i="14703" s="1"/>
  <c r="N97" i="14703" a="1"/>
  <c r="N97" i="14703" s="1"/>
  <c r="M178" i="14703"/>
  <c r="H196" i="14703"/>
  <c r="H160" i="14703"/>
  <c r="I250" i="14703"/>
  <c r="D142" i="14703"/>
  <c r="D250" i="14703"/>
  <c r="C250" i="14703"/>
  <c r="D196" i="14703"/>
  <c r="K102" i="14703" a="1"/>
  <c r="K102" i="14703" s="1"/>
  <c r="C9" i="8"/>
  <c r="G9" i="8"/>
  <c r="D9" i="8"/>
  <c r="D11" i="14628"/>
  <c r="F11" i="14628"/>
  <c r="H11" i="14628"/>
  <c r="J11" i="14628"/>
  <c r="L11" i="14628"/>
  <c r="N11" i="14628"/>
  <c r="C11" i="14628"/>
  <c r="E11" i="14628"/>
  <c r="G11" i="14628"/>
  <c r="I11" i="14628"/>
  <c r="K11" i="14628"/>
  <c r="M11" i="14628"/>
  <c r="O11" i="14628"/>
  <c r="H124" i="14703"/>
  <c r="J214" i="14703"/>
  <c r="K178" i="14703"/>
  <c r="S30" i="14632"/>
  <c r="H16" i="14667" s="1"/>
  <c r="L250" i="14703"/>
  <c r="M250" i="14703"/>
  <c r="U92" i="14703" a="1"/>
  <c r="U92" i="14703" s="1"/>
  <c r="F99" i="14703" a="1"/>
  <c r="F99" i="14703" s="1"/>
  <c r="E214" i="14703"/>
  <c r="F196" i="14703"/>
  <c r="F160" i="14703"/>
  <c r="H250" i="14703"/>
  <c r="G124" i="14703"/>
  <c r="K142" i="14703"/>
  <c r="N196" i="14703"/>
  <c r="I28" i="14632"/>
  <c r="L28" i="14632"/>
  <c r="C11" i="14704"/>
  <c r="C10" i="14704"/>
  <c r="H14" i="14704"/>
  <c r="D18" i="14648"/>
  <c r="B40" i="14683"/>
  <c r="N18" i="14648"/>
  <c r="I9" i="8"/>
  <c r="O94" i="14703" a="1"/>
  <c r="O94" i="14703" s="1"/>
  <c r="F40" i="14703"/>
  <c r="B38" i="14683"/>
  <c r="C102" i="14703" a="1"/>
  <c r="C102" i="14703" s="1"/>
  <c r="O98" i="14703" a="1"/>
  <c r="O98" i="14703" s="1"/>
  <c r="V91" i="14703" a="1"/>
  <c r="V91" i="14703" s="1"/>
  <c r="L101" i="14703" a="1"/>
  <c r="L101" i="14703" s="1"/>
  <c r="I103" i="14703" a="1"/>
  <c r="I103" i="14703" s="1"/>
  <c r="S93" i="14703" a="1"/>
  <c r="S93" i="14703" s="1"/>
  <c r="K101" i="14703" a="1"/>
  <c r="K101" i="14703" s="1"/>
  <c r="N32" i="14703"/>
  <c r="I96" i="14703" a="1"/>
  <c r="I96" i="14703" s="1"/>
  <c r="E100" i="14703" a="1"/>
  <c r="E100" i="14703" s="1"/>
  <c r="M92" i="14703" a="1"/>
  <c r="M92" i="14703" s="1"/>
  <c r="N36" i="14703"/>
  <c r="M96" i="14703" a="1"/>
  <c r="M96" i="14703" s="1"/>
  <c r="Q92" i="14703" a="1"/>
  <c r="Q92" i="14703" s="1"/>
  <c r="R91" i="14703" a="1"/>
  <c r="R91" i="14703" s="1"/>
  <c r="Q96" i="14703" a="1"/>
  <c r="Q96" i="14703" s="1"/>
  <c r="B34" i="14683"/>
  <c r="T92" i="14703" a="1"/>
  <c r="T92" i="14703" s="1"/>
  <c r="Q95" i="14703" a="1"/>
  <c r="Q95" i="14703" s="1"/>
  <c r="H97" i="14703" a="1"/>
  <c r="H97" i="14703" s="1"/>
  <c r="L100" i="14703" a="1"/>
  <c r="L100" i="14703" s="1"/>
  <c r="R95" i="14703" a="1"/>
  <c r="R95" i="14703" s="1"/>
  <c r="M99" i="14703" a="1"/>
  <c r="M99" i="14703" s="1"/>
  <c r="N95" i="14703" a="1"/>
  <c r="N95" i="14703" s="1"/>
  <c r="T93" i="14703" a="1"/>
  <c r="T93" i="14703" s="1"/>
  <c r="F103" i="14703" a="1"/>
  <c r="F103" i="14703" s="1"/>
  <c r="F124" i="14703"/>
  <c r="G196" i="14703"/>
  <c r="E196" i="14703"/>
  <c r="F142" i="14703"/>
  <c r="M160" i="14703"/>
  <c r="G232" i="14703"/>
  <c r="N8" i="14669"/>
  <c r="I142" i="14703"/>
  <c r="G214" i="14703"/>
  <c r="J124" i="14703"/>
  <c r="I124" i="14703"/>
  <c r="K214" i="14703"/>
  <c r="H232" i="14703"/>
  <c r="M196" i="14703"/>
  <c r="G160" i="14703"/>
  <c r="M15" i="14704"/>
  <c r="K10" i="14704"/>
  <c r="L12" i="14704"/>
  <c r="B8" i="14704"/>
  <c r="B9" i="14704"/>
  <c r="I13" i="14704"/>
  <c r="H9" i="8"/>
  <c r="N12" i="14669"/>
  <c r="N11" i="14669"/>
  <c r="J142" i="14703"/>
  <c r="K232" i="14703"/>
  <c r="L142" i="14703"/>
  <c r="K196" i="14703"/>
  <c r="L196" i="14703"/>
  <c r="L178" i="14703"/>
  <c r="F178" i="14703"/>
  <c r="H142" i="14703"/>
  <c r="G142" i="14703"/>
  <c r="K124" i="14703"/>
  <c r="M232" i="14703"/>
  <c r="M142" i="14703"/>
  <c r="J250" i="14703"/>
  <c r="I214" i="14703"/>
  <c r="S31" i="14632"/>
  <c r="C7" i="14641" s="1" a="1"/>
  <c r="J28" i="14632"/>
  <c r="F10" i="14704"/>
  <c r="F8" i="14704"/>
  <c r="J9" i="14704"/>
  <c r="B13" i="14704"/>
  <c r="E11" i="14704"/>
  <c r="G13" i="14704"/>
  <c r="E10" i="14704"/>
  <c r="F9" i="14704"/>
  <c r="E9" i="14704"/>
  <c r="C9" i="14704"/>
  <c r="K14" i="14704"/>
  <c r="C12" i="14704"/>
  <c r="G18" i="14648"/>
  <c r="H18" i="14648"/>
  <c r="J18" i="14648"/>
  <c r="C18" i="14648"/>
  <c r="F18" i="14648"/>
  <c r="I18" i="14648"/>
  <c r="B41" i="14683"/>
  <c r="J9" i="8"/>
  <c r="L9" i="8"/>
  <c r="B35" i="14683"/>
  <c r="E9" i="8"/>
  <c r="N6" i="14669"/>
  <c r="N10" i="14669"/>
  <c r="B8" i="14702" a="1"/>
  <c r="J14" i="14702" s="1"/>
  <c r="N9" i="14669"/>
  <c r="N7" i="14669"/>
  <c r="H9" i="14704"/>
  <c r="D13" i="14704"/>
  <c r="E12" i="14704"/>
  <c r="K8" i="14704"/>
  <c r="L11" i="14704"/>
  <c r="M11" i="14704"/>
  <c r="G10" i="14704"/>
  <c r="L14" i="14704"/>
  <c r="I10" i="14704"/>
  <c r="M10" i="14704"/>
  <c r="J12" i="14704"/>
  <c r="G12" i="14704"/>
  <c r="I14" i="14704"/>
  <c r="J15" i="14704"/>
  <c r="H10" i="14704"/>
  <c r="D10" i="14704"/>
  <c r="L9" i="14704"/>
  <c r="G9" i="14704"/>
  <c r="M13" i="14704"/>
  <c r="C14" i="14704"/>
  <c r="F11" i="14704"/>
  <c r="M12" i="14704"/>
  <c r="L15" i="14704"/>
  <c r="J13" i="14704"/>
  <c r="B10" i="14704"/>
  <c r="C13" i="14704"/>
  <c r="D9" i="14704"/>
  <c r="H13" i="14704"/>
  <c r="F12" i="14704"/>
  <c r="I15" i="14704"/>
  <c r="K12" i="14704"/>
  <c r="I9" i="14704"/>
  <c r="G15" i="14704"/>
  <c r="J8" i="14704"/>
  <c r="E13" i="14704"/>
  <c r="H11" i="14704"/>
  <c r="D8" i="14704"/>
  <c r="C8" i="14704"/>
  <c r="D15" i="14704"/>
  <c r="F14" i="14704"/>
  <c r="H12" i="14704"/>
  <c r="E14" i="14704"/>
  <c r="J14" i="14704"/>
  <c r="D11" i="14704"/>
  <c r="F15" i="14704"/>
  <c r="M8" i="14704"/>
  <c r="F13" i="14704"/>
  <c r="H8" i="14704"/>
  <c r="G8" i="14704"/>
  <c r="B15" i="14704"/>
  <c r="K11" i="14704"/>
  <c r="K15" i="14704"/>
  <c r="I11" i="14704"/>
  <c r="B14" i="14704"/>
  <c r="L10" i="14704"/>
  <c r="I8" i="14704"/>
  <c r="C15" i="14704"/>
  <c r="E15" i="14704"/>
  <c r="L8" i="14704"/>
  <c r="K9" i="14704"/>
  <c r="B11" i="14704"/>
  <c r="D14" i="14704"/>
  <c r="J10" i="14704"/>
  <c r="M14" i="14704"/>
  <c r="L13" i="14704"/>
  <c r="I12" i="14704"/>
  <c r="H15" i="14704"/>
  <c r="K13" i="14704"/>
  <c r="G14" i="14704"/>
  <c r="B12" i="14704"/>
  <c r="J11" i="14704"/>
  <c r="D42" i="14695"/>
  <c r="I42" i="14695"/>
  <c r="G42" i="14695"/>
  <c r="M42" i="14695"/>
  <c r="B42" i="14695"/>
  <c r="C42" i="14695"/>
  <c r="E42" i="14695"/>
  <c r="F42" i="14695"/>
  <c r="J42" i="14695"/>
  <c r="H42" i="14695"/>
  <c r="L42" i="14695"/>
  <c r="K42" i="14695"/>
  <c r="O20" i="14676"/>
  <c r="O20" i="14625"/>
  <c r="G21" i="14695"/>
  <c r="F21" i="14695"/>
  <c r="D21" i="14695"/>
  <c r="I21" i="14695"/>
  <c r="B21" i="14695"/>
  <c r="E21" i="14695"/>
  <c r="J21" i="14695"/>
  <c r="C21" i="14695"/>
  <c r="L21" i="14695"/>
  <c r="K21" i="14695"/>
  <c r="H21" i="14695"/>
  <c r="M21" i="14695"/>
  <c r="B21" i="14694"/>
  <c r="E21" i="14694"/>
  <c r="G21" i="14694"/>
  <c r="K21" i="14694"/>
  <c r="C21" i="14694"/>
  <c r="J21" i="14694"/>
  <c r="D21" i="14694"/>
  <c r="F21" i="14694"/>
  <c r="H21" i="14694"/>
  <c r="L21" i="14694"/>
  <c r="I21" i="14694"/>
  <c r="M21" i="14694"/>
  <c r="D16" i="14648"/>
  <c r="L16" i="14648"/>
  <c r="K16" i="14648"/>
  <c r="E16" i="14648"/>
  <c r="N16" i="14648"/>
  <c r="J16" i="14648"/>
  <c r="H16" i="14648"/>
  <c r="M16" i="14648"/>
  <c r="I16" i="14648"/>
  <c r="F16" i="14648"/>
  <c r="G16" i="14648"/>
  <c r="C16" i="14648"/>
  <c r="E46" i="14648"/>
  <c r="F46" i="14648"/>
  <c r="C46" i="14648"/>
  <c r="N46" i="14648"/>
  <c r="L46" i="14648"/>
  <c r="D46" i="14648"/>
  <c r="K46" i="14648"/>
  <c r="G46" i="14648"/>
  <c r="J46" i="14648"/>
  <c r="I46" i="14648"/>
  <c r="H46" i="14648"/>
  <c r="M46" i="14648"/>
  <c r="D36" i="14694"/>
  <c r="B36" i="14694"/>
  <c r="M36" i="14694"/>
  <c r="C36" i="14694"/>
  <c r="J36" i="14694"/>
  <c r="G36" i="14694"/>
  <c r="F36" i="14694"/>
  <c r="E36" i="14694"/>
  <c r="H36" i="14694"/>
  <c r="I36" i="14694"/>
  <c r="K36" i="14694"/>
  <c r="L36" i="14694"/>
  <c r="J44" i="14694"/>
  <c r="D44" i="14694"/>
  <c r="C44" i="14694"/>
  <c r="M44" i="14694"/>
  <c r="E44" i="14694"/>
  <c r="B44" i="14694"/>
  <c r="L44" i="14694"/>
  <c r="G44" i="14694"/>
  <c r="H44" i="14694"/>
  <c r="F44" i="14694"/>
  <c r="K44" i="14694"/>
  <c r="I44" i="14694"/>
  <c r="E31" i="14648"/>
  <c r="D31" i="14648"/>
  <c r="G31" i="14648"/>
  <c r="I31" i="14648"/>
  <c r="M31" i="14648"/>
  <c r="K31" i="14648"/>
  <c r="C31" i="14648"/>
  <c r="J31" i="14648"/>
  <c r="L31" i="14648"/>
  <c r="H31" i="14648"/>
  <c r="N31" i="14648"/>
  <c r="F31" i="14648"/>
  <c r="E56" i="14695"/>
  <c r="K56" i="14695"/>
  <c r="J56" i="14695"/>
  <c r="H56" i="14695"/>
  <c r="C56" i="14695"/>
  <c r="I56" i="14695"/>
  <c r="L56" i="14695"/>
  <c r="G56" i="14695"/>
  <c r="B56" i="14695"/>
  <c r="F56" i="14695"/>
  <c r="M56" i="14695"/>
  <c r="D56" i="14695"/>
  <c r="O20" i="14677"/>
  <c r="E60" i="14694"/>
  <c r="H60" i="14694"/>
  <c r="C60" i="14694"/>
  <c r="D60" i="14694"/>
  <c r="G60" i="14694"/>
  <c r="B60" i="14694"/>
  <c r="F60" i="14694"/>
  <c r="L60" i="14694"/>
  <c r="I60" i="14694"/>
  <c r="J60" i="14694"/>
  <c r="K60" i="14694"/>
  <c r="M60" i="14694"/>
  <c r="I28" i="14695"/>
  <c r="E28" i="14695"/>
  <c r="B28" i="14695"/>
  <c r="K28" i="14695"/>
  <c r="F28" i="14695"/>
  <c r="G28" i="14695"/>
  <c r="L28" i="14695"/>
  <c r="D28" i="14695"/>
  <c r="M28" i="14695"/>
  <c r="H28" i="14695"/>
  <c r="C28" i="14695"/>
  <c r="J28" i="14695"/>
  <c r="D76" i="14648"/>
  <c r="C76" i="14648"/>
  <c r="K76" i="14648"/>
  <c r="F76" i="14648"/>
  <c r="G76" i="14648"/>
  <c r="H76" i="14648"/>
  <c r="J76" i="14648"/>
  <c r="N76" i="14648"/>
  <c r="I76" i="14648"/>
  <c r="L76" i="14648"/>
  <c r="E76" i="14648"/>
  <c r="M76" i="14648"/>
  <c r="C52" i="14694"/>
  <c r="D52" i="14694"/>
  <c r="B52" i="14694"/>
  <c r="J52" i="14694"/>
  <c r="E52" i="14694"/>
  <c r="G52" i="14694"/>
  <c r="I52" i="14694"/>
  <c r="M52" i="14694"/>
  <c r="F52" i="14694"/>
  <c r="H52" i="14694"/>
  <c r="K52" i="14694"/>
  <c r="L52" i="14694"/>
  <c r="E35" i="14695"/>
  <c r="K35" i="14695"/>
  <c r="H35" i="14695"/>
  <c r="F35" i="14695"/>
  <c r="G35" i="14695"/>
  <c r="L35" i="14695"/>
  <c r="B35" i="14695"/>
  <c r="M35" i="14695"/>
  <c r="J35" i="14695"/>
  <c r="C35" i="14695"/>
  <c r="D35" i="14695"/>
  <c r="I35" i="14695"/>
  <c r="I49" i="14695"/>
  <c r="J49" i="14695"/>
  <c r="L49" i="14695"/>
  <c r="G49" i="14695"/>
  <c r="D49" i="14695"/>
  <c r="C49" i="14695"/>
  <c r="E49" i="14695"/>
  <c r="K49" i="14695"/>
  <c r="F49" i="14695"/>
  <c r="H49" i="14695"/>
  <c r="B49" i="14695"/>
  <c r="M49" i="14695"/>
  <c r="H61" i="14648"/>
  <c r="N61" i="14648"/>
  <c r="K61" i="14648"/>
  <c r="L61" i="14648"/>
  <c r="F61" i="14648"/>
  <c r="C61" i="14648"/>
  <c r="D61" i="14648"/>
  <c r="E61" i="14648"/>
  <c r="M61" i="14648"/>
  <c r="G61" i="14648"/>
  <c r="I61" i="14648"/>
  <c r="J61" i="14648"/>
  <c r="I28" i="14694"/>
  <c r="M28" i="14694"/>
  <c r="C28" i="14694"/>
  <c r="K28" i="14694"/>
  <c r="F28" i="14694"/>
  <c r="E28" i="14694"/>
  <c r="D28" i="14694"/>
  <c r="H28" i="14694"/>
  <c r="G28" i="14694"/>
  <c r="L28" i="14694"/>
  <c r="J28" i="14694"/>
  <c r="B28" i="14694"/>
  <c r="C19" i="11"/>
  <c r="D24" i="11"/>
  <c r="L76" i="14665"/>
  <c r="E96" i="14707"/>
  <c r="N22" i="8"/>
  <c r="B22" i="14617" s="1"/>
  <c r="F22" i="14617" s="1"/>
  <c r="B96" i="14707"/>
  <c r="D25" i="14707"/>
  <c r="D32" i="14707"/>
  <c r="D29" i="14707"/>
  <c r="D27" i="14707"/>
  <c r="D31" i="14707"/>
  <c r="D24" i="14707"/>
  <c r="D30" i="14707"/>
  <c r="D26" i="14707"/>
  <c r="B103" i="14707"/>
  <c r="E103" i="14707"/>
  <c r="F103" i="14707"/>
  <c r="C103" i="14707"/>
  <c r="D103" i="14707"/>
  <c r="F96" i="14707"/>
  <c r="D9" i="14696"/>
  <c r="I22" i="14617"/>
  <c r="L22" i="14617"/>
  <c r="E9" i="14696"/>
  <c r="C96" i="14707"/>
  <c r="D96" i="14707"/>
  <c r="G11" i="14707" a="1"/>
  <c r="G6" i="14683" a="1"/>
  <c r="H12" i="14701"/>
  <c r="K13" i="14701"/>
  <c r="E11" i="14701"/>
  <c r="C13" i="14701"/>
  <c r="K10" i="14701"/>
  <c r="F15" i="14701"/>
  <c r="D14" i="14701"/>
  <c r="L12" i="14701"/>
  <c r="H8" i="14701"/>
  <c r="C11" i="14701"/>
  <c r="E14" i="14701"/>
  <c r="G13" i="14701"/>
  <c r="L14" i="14701"/>
  <c r="K14" i="14701"/>
  <c r="I13" i="14701"/>
  <c r="I9" i="14701"/>
  <c r="J15" i="14701"/>
  <c r="B10" i="14701"/>
  <c r="D13" i="14701"/>
  <c r="C14" i="14701"/>
  <c r="I10" i="14701"/>
  <c r="D11" i="14701"/>
  <c r="H11" i="14701"/>
  <c r="M11" i="14701"/>
  <c r="B14" i="14701"/>
  <c r="D15" i="14701"/>
  <c r="K12" i="14701"/>
  <c r="K11" i="14701"/>
  <c r="M10" i="14701"/>
  <c r="M12" i="14701"/>
  <c r="F10" i="14701"/>
  <c r="B15" i="14701"/>
  <c r="F12" i="14701"/>
  <c r="D10" i="14701"/>
  <c r="G14" i="14701"/>
  <c r="I8" i="14701"/>
  <c r="J8" i="14701"/>
  <c r="C12" i="14701"/>
  <c r="J12" i="14701"/>
  <c r="M15" i="14701"/>
  <c r="M8" i="14701"/>
  <c r="E12" i="14701"/>
  <c r="F11" i="14701"/>
  <c r="M9" i="14701"/>
  <c r="E15" i="14701"/>
  <c r="F13" i="14701"/>
  <c r="E10" i="14701"/>
  <c r="G12" i="14701"/>
  <c r="E9" i="14701"/>
  <c r="K15" i="14701"/>
  <c r="E13" i="14701"/>
  <c r="H9" i="14701"/>
  <c r="C10" i="14701"/>
  <c r="D12" i="14701"/>
  <c r="I12" i="14701"/>
  <c r="K8" i="14701"/>
  <c r="B8" i="14701"/>
  <c r="C8" i="14701"/>
  <c r="B13" i="14701"/>
  <c r="K9" i="14701"/>
  <c r="J14" i="14701"/>
  <c r="B11" i="14701"/>
  <c r="M14" i="14701"/>
  <c r="F9" i="14701"/>
  <c r="J9" i="14701"/>
  <c r="H15" i="14701"/>
  <c r="B9" i="14701"/>
  <c r="J13" i="14701"/>
  <c r="G8" i="14701"/>
  <c r="C15" i="14701"/>
  <c r="B12" i="14701"/>
  <c r="H14" i="14701"/>
  <c r="I14" i="14701"/>
  <c r="L11" i="14701"/>
  <c r="H10" i="14701"/>
  <c r="I11" i="14701"/>
  <c r="C9" i="14701"/>
  <c r="D9" i="14701"/>
  <c r="L15" i="14701"/>
  <c r="G9" i="14701"/>
  <c r="L13" i="14701"/>
  <c r="F14" i="14701"/>
  <c r="J11" i="14701"/>
  <c r="L8" i="14701"/>
  <c r="G11" i="14701"/>
  <c r="D8" i="14701"/>
  <c r="J10" i="14701"/>
  <c r="F8" i="14701"/>
  <c r="G10" i="14701"/>
  <c r="H13" i="14701"/>
  <c r="I15" i="14701"/>
  <c r="M13" i="14701"/>
  <c r="G15" i="14701"/>
  <c r="L9" i="14701"/>
  <c r="L10" i="14701"/>
  <c r="E8" i="14701"/>
  <c r="O22" i="14617"/>
  <c r="F9" i="14696"/>
  <c r="N15" i="14700"/>
  <c r="N12" i="14700"/>
  <c r="N10" i="14700"/>
  <c r="N14" i="14700" l="1"/>
  <c r="N13" i="14700"/>
  <c r="N11" i="14700"/>
  <c r="N9" i="14700"/>
  <c r="B20" i="14700" a="1"/>
  <c r="N8" i="14700"/>
  <c r="E8" i="14683"/>
  <c r="E7" i="14683"/>
  <c r="E6" i="14683"/>
  <c r="F6" i="14683" s="1" a="1"/>
  <c r="E9" i="14683"/>
  <c r="E13" i="14683"/>
  <c r="E12" i="14683"/>
  <c r="E11" i="14683"/>
  <c r="S137" i="14703"/>
  <c r="S140" i="14703"/>
  <c r="S141" i="14703"/>
  <c r="E10" i="14683"/>
  <c r="E13" i="14707"/>
  <c r="E11" i="14707"/>
  <c r="F11" i="14707" s="1" a="1"/>
  <c r="E17" i="14707"/>
  <c r="E12" i="14707"/>
  <c r="E18" i="14707"/>
  <c r="E16" i="14707"/>
  <c r="E14" i="14707"/>
  <c r="E15" i="14707"/>
  <c r="I25" i="14637"/>
  <c r="I27" i="14681" s="1"/>
  <c r="N24" i="14637"/>
  <c r="O20" i="14641"/>
  <c r="G25" i="14637"/>
  <c r="G27" i="14681" s="1"/>
  <c r="L25" i="14637"/>
  <c r="L27" i="14681" s="1"/>
  <c r="S136" i="14703"/>
  <c r="S138" i="14703"/>
  <c r="S139" i="14703"/>
  <c r="J25" i="14637"/>
  <c r="J27" i="14681" s="1"/>
  <c r="B25" i="14637"/>
  <c r="B27" i="14681" s="1"/>
  <c r="M25" i="14637"/>
  <c r="M27" i="14681" s="1"/>
  <c r="B7" i="14638" a="1"/>
  <c r="M10" i="14638" s="1"/>
  <c r="N21" i="14637"/>
  <c r="N22" i="14637"/>
  <c r="C31" i="14639" a="1"/>
  <c r="E35" i="14639" s="1"/>
  <c r="N23" i="14637"/>
  <c r="E25" i="14637"/>
  <c r="E27" i="14681" s="1"/>
  <c r="N20" i="14637"/>
  <c r="K25" i="14637"/>
  <c r="K27" i="14681" s="1"/>
  <c r="C25" i="14637"/>
  <c r="C27" i="14681" s="1"/>
  <c r="H25" i="14637"/>
  <c r="H27" i="14681" s="1"/>
  <c r="D25" i="14637"/>
  <c r="D27" i="14681" s="1"/>
  <c r="N18" i="14637"/>
  <c r="F25" i="14637"/>
  <c r="F27" i="14681" s="1"/>
  <c r="N19" i="14637"/>
  <c r="N17" i="14637"/>
  <c r="O20" i="14633"/>
  <c r="O122" i="14703"/>
  <c r="O124" i="14703" s="1"/>
  <c r="Q231" i="14703"/>
  <c r="J7" i="14652" a="1"/>
  <c r="E55" i="14707" a="1"/>
  <c r="B17" i="14668" a="1"/>
  <c r="H33" i="14652" a="1"/>
  <c r="G33" i="14652" a="1"/>
  <c r="Q229" i="14703"/>
  <c r="Q230" i="14703"/>
  <c r="P85" i="14703"/>
  <c r="O140" i="14703"/>
  <c r="O142" i="14703" s="1"/>
  <c r="O102" i="14703" a="1"/>
  <c r="O103" i="14703" s="1"/>
  <c r="L37" i="14692"/>
  <c r="E37" i="14692"/>
  <c r="C37" i="14692"/>
  <c r="F37" i="14692"/>
  <c r="G37" i="14692"/>
  <c r="K37" i="14692"/>
  <c r="D37" i="14692"/>
  <c r="J37" i="14692"/>
  <c r="M37" i="14692"/>
  <c r="H37" i="14692"/>
  <c r="I37" i="14692"/>
  <c r="B37" i="14692"/>
  <c r="H45" i="14692"/>
  <c r="K45" i="14692"/>
  <c r="L45" i="14692"/>
  <c r="M45" i="14692"/>
  <c r="D45" i="14692"/>
  <c r="G45" i="14692"/>
  <c r="E45" i="14692"/>
  <c r="C45" i="14692"/>
  <c r="I45" i="14692"/>
  <c r="J45" i="14692"/>
  <c r="F45" i="14692"/>
  <c r="B45" i="14692"/>
  <c r="N17" i="14648"/>
  <c r="H17" i="14648"/>
  <c r="E17" i="14648"/>
  <c r="J17" i="14648"/>
  <c r="K17" i="14648"/>
  <c r="F17" i="14648"/>
  <c r="D17" i="14648"/>
  <c r="I17" i="14648"/>
  <c r="C17" i="14648"/>
  <c r="L17" i="14648"/>
  <c r="G17" i="14648"/>
  <c r="M17" i="14648"/>
  <c r="J29" i="14692"/>
  <c r="D29" i="14692"/>
  <c r="G29" i="14692"/>
  <c r="C29" i="14692"/>
  <c r="I29" i="14692"/>
  <c r="F29" i="14692"/>
  <c r="M29" i="14692"/>
  <c r="B29" i="14692"/>
  <c r="L29" i="14692"/>
  <c r="K29" i="14692"/>
  <c r="E29" i="14692"/>
  <c r="H29" i="14692"/>
  <c r="H47" i="14648"/>
  <c r="E47" i="14648"/>
  <c r="I47" i="14648"/>
  <c r="F47" i="14648"/>
  <c r="K47" i="14648"/>
  <c r="D47" i="14648"/>
  <c r="C47" i="14648"/>
  <c r="J47" i="14648"/>
  <c r="G47" i="14648"/>
  <c r="L47" i="14648"/>
  <c r="N47" i="14648"/>
  <c r="M47" i="14648"/>
  <c r="F77" i="14648"/>
  <c r="K77" i="14648"/>
  <c r="C77" i="14648"/>
  <c r="N77" i="14648"/>
  <c r="M77" i="14648"/>
  <c r="J77" i="14648"/>
  <c r="H77" i="14648"/>
  <c r="E77" i="14648"/>
  <c r="L77" i="14648"/>
  <c r="I77" i="14648"/>
  <c r="G77" i="14648"/>
  <c r="D77" i="14648"/>
  <c r="K62" i="14648"/>
  <c r="H62" i="14648"/>
  <c r="F62" i="14648"/>
  <c r="C62" i="14648"/>
  <c r="J62" i="14648"/>
  <c r="E62" i="14648"/>
  <c r="L62" i="14648"/>
  <c r="I62" i="14648"/>
  <c r="G62" i="14648"/>
  <c r="N62" i="14648"/>
  <c r="M62" i="14648"/>
  <c r="D62" i="14648"/>
  <c r="K22" i="14692"/>
  <c r="L22" i="14692"/>
  <c r="C22" i="14692"/>
  <c r="D22" i="14692"/>
  <c r="B22" i="14692"/>
  <c r="H22" i="14692"/>
  <c r="F22" i="14692"/>
  <c r="G22" i="14692"/>
  <c r="J22" i="14692"/>
  <c r="I22" i="14692"/>
  <c r="M22" i="14692"/>
  <c r="E22" i="14692"/>
  <c r="M61" i="14692"/>
  <c r="E61" i="14692"/>
  <c r="L61" i="14692"/>
  <c r="C61" i="14692"/>
  <c r="J61" i="14692"/>
  <c r="I61" i="14692"/>
  <c r="G61" i="14692"/>
  <c r="H61" i="14692"/>
  <c r="B61" i="14692"/>
  <c r="D61" i="14692"/>
  <c r="F61" i="14692"/>
  <c r="K61" i="14692"/>
  <c r="G32" i="14648"/>
  <c r="H32" i="14648"/>
  <c r="M32" i="14648"/>
  <c r="J32" i="14648"/>
  <c r="L32" i="14648"/>
  <c r="F32" i="14648"/>
  <c r="K32" i="14648"/>
  <c r="N32" i="14648"/>
  <c r="D32" i="14648"/>
  <c r="E32" i="14648"/>
  <c r="I32" i="14648"/>
  <c r="C32" i="14648"/>
  <c r="G22" i="14626"/>
  <c r="D38" i="14667"/>
  <c r="D33" i="14667" s="1"/>
  <c r="D27" i="14706"/>
  <c r="D35" i="14706" s="1"/>
  <c r="G53" i="14692"/>
  <c r="J53" i="14692"/>
  <c r="B53" i="14692"/>
  <c r="C53" i="14692"/>
  <c r="L53" i="14692"/>
  <c r="H53" i="14692"/>
  <c r="M53" i="14692"/>
  <c r="D53" i="14692"/>
  <c r="E53" i="14692"/>
  <c r="K53" i="14692"/>
  <c r="F53" i="14692"/>
  <c r="I53" i="14692"/>
  <c r="C9" i="14696"/>
  <c r="N21" i="14710"/>
  <c r="X122" i="14703"/>
  <c r="R139" i="14703"/>
  <c r="S122" i="14703"/>
  <c r="O248" i="14703"/>
  <c r="O250" i="14703" s="1"/>
  <c r="T210" i="14703"/>
  <c r="X133" i="14703"/>
  <c r="T140" i="14703"/>
  <c r="R174" i="14703"/>
  <c r="W226" i="14703"/>
  <c r="Y195" i="14703"/>
  <c r="Y112" i="14703"/>
  <c r="P231" i="14703"/>
  <c r="Y242" i="14703"/>
  <c r="U177" i="14703"/>
  <c r="R138" i="14703"/>
  <c r="V138" i="14703"/>
  <c r="W212" i="14703"/>
  <c r="X139" i="14703"/>
  <c r="U242" i="14703"/>
  <c r="P140" i="14703"/>
  <c r="V188" i="14703"/>
  <c r="U116" i="14703"/>
  <c r="O177" i="14703"/>
  <c r="O178" i="14703" s="1"/>
  <c r="R231" i="14703"/>
  <c r="O212" i="14703"/>
  <c r="O214" i="14703" s="1"/>
  <c r="X239" i="14703"/>
  <c r="W123" i="14703"/>
  <c r="Y221" i="14703"/>
  <c r="V243" i="14703"/>
  <c r="R140" i="14703"/>
  <c r="V133" i="14703"/>
  <c r="W229" i="14703"/>
  <c r="W205" i="14703"/>
  <c r="W207" i="14703"/>
  <c r="X136" i="14703"/>
  <c r="P177" i="14703"/>
  <c r="U246" i="14703"/>
  <c r="P141" i="14703"/>
  <c r="Y193" i="14703"/>
  <c r="Y184" i="14703"/>
  <c r="V194" i="14703"/>
  <c r="U123" i="14703"/>
  <c r="Y116" i="14703"/>
  <c r="Y121" i="14703"/>
  <c r="S120" i="14703"/>
  <c r="S119" i="14703"/>
  <c r="R228" i="14703"/>
  <c r="R229" i="14703"/>
  <c r="T228" i="14703"/>
  <c r="T209" i="14703"/>
  <c r="T213" i="14703"/>
  <c r="X247" i="14703"/>
  <c r="U191" i="14703"/>
  <c r="S246" i="14703"/>
  <c r="Y229" i="14703"/>
  <c r="S154" i="14703"/>
  <c r="W136" i="14703"/>
  <c r="R211" i="14703"/>
  <c r="P195" i="14703"/>
  <c r="C42" i="14683"/>
  <c r="R209" i="14703"/>
  <c r="P194" i="14703"/>
  <c r="R213" i="14703"/>
  <c r="B31" i="14645"/>
  <c r="B32" i="14645" s="1"/>
  <c r="T85" i="14703"/>
  <c r="R212" i="14703"/>
  <c r="H12" i="14706"/>
  <c r="Y158" i="14703"/>
  <c r="J104" i="14703"/>
  <c r="R137" i="14703"/>
  <c r="V134" i="14703"/>
  <c r="V137" i="14703"/>
  <c r="W230" i="14703"/>
  <c r="W225" i="14703"/>
  <c r="W224" i="14703"/>
  <c r="W204" i="14703"/>
  <c r="W213" i="14703"/>
  <c r="X137" i="14703"/>
  <c r="X140" i="14703"/>
  <c r="H14" i="14708"/>
  <c r="H20" i="14708" s="1"/>
  <c r="U249" i="14703"/>
  <c r="U243" i="14703"/>
  <c r="T136" i="14703"/>
  <c r="T138" i="14703"/>
  <c r="Y189" i="14703"/>
  <c r="Y185" i="14703"/>
  <c r="Y191" i="14703"/>
  <c r="V191" i="14703"/>
  <c r="V187" i="14703"/>
  <c r="U121" i="14703"/>
  <c r="U120" i="14703"/>
  <c r="Y123" i="14703"/>
  <c r="Y114" i="14703"/>
  <c r="Y113" i="14703"/>
  <c r="S123" i="14703"/>
  <c r="S118" i="14703"/>
  <c r="R175" i="14703"/>
  <c r="R176" i="14703"/>
  <c r="R230" i="14703"/>
  <c r="P230" i="14703"/>
  <c r="T231" i="14703"/>
  <c r="T229" i="14703"/>
  <c r="T207" i="14703"/>
  <c r="T211" i="14703"/>
  <c r="T212" i="14703"/>
  <c r="Y247" i="14703"/>
  <c r="X118" i="14703"/>
  <c r="Q85" i="14703"/>
  <c r="V228" i="14703"/>
  <c r="S213" i="14703"/>
  <c r="U225" i="14703"/>
  <c r="K31" i="14645"/>
  <c r="K32" i="14645" s="1"/>
  <c r="X173" i="14703"/>
  <c r="V225" i="14703"/>
  <c r="U230" i="14703"/>
  <c r="X210" i="14703"/>
  <c r="P213" i="14703"/>
  <c r="X174" i="14703"/>
  <c r="V229" i="14703"/>
  <c r="V224" i="14703"/>
  <c r="P249" i="14703"/>
  <c r="S208" i="14703"/>
  <c r="S212" i="14703"/>
  <c r="Y177" i="14703"/>
  <c r="U227" i="14703"/>
  <c r="U231" i="14703"/>
  <c r="O231" i="14703"/>
  <c r="O232" i="14703" s="1"/>
  <c r="V227" i="14703"/>
  <c r="V231" i="14703"/>
  <c r="V223" i="14703"/>
  <c r="V226" i="14703"/>
  <c r="P248" i="14703"/>
  <c r="S210" i="14703"/>
  <c r="S209" i="14703"/>
  <c r="U224" i="14703"/>
  <c r="U226" i="14703"/>
  <c r="U228" i="14703"/>
  <c r="X206" i="14703"/>
  <c r="U85" i="14703"/>
  <c r="E61" i="14643"/>
  <c r="F53" i="14643" s="1"/>
  <c r="U135" i="14703"/>
  <c r="U137" i="14703"/>
  <c r="U141" i="14703"/>
  <c r="W94" i="14703" a="1"/>
  <c r="W101" i="14703" s="1"/>
  <c r="S172" i="14703"/>
  <c r="S177" i="14703"/>
  <c r="V174" i="14703"/>
  <c r="V171" i="14703"/>
  <c r="V170" i="14703"/>
  <c r="Y156" i="14703"/>
  <c r="Y148" i="14703"/>
  <c r="Y151" i="14703"/>
  <c r="Y149" i="14703"/>
  <c r="W153" i="14703"/>
  <c r="W154" i="14703"/>
  <c r="W156" i="14703"/>
  <c r="W155" i="14703"/>
  <c r="X231" i="14703"/>
  <c r="X229" i="14703"/>
  <c r="X225" i="14703"/>
  <c r="X226" i="14703"/>
  <c r="Y136" i="14703"/>
  <c r="Y137" i="14703"/>
  <c r="Y140" i="14703"/>
  <c r="Y138" i="14703"/>
  <c r="T245" i="14703"/>
  <c r="T249" i="14703"/>
  <c r="T246" i="14703"/>
  <c r="Q174" i="14703"/>
  <c r="Q175" i="14703"/>
  <c r="B55" i="14698"/>
  <c r="S230" i="14703"/>
  <c r="S231" i="14703"/>
  <c r="S228" i="14703"/>
  <c r="Y213" i="14703"/>
  <c r="Y210" i="14703"/>
  <c r="Y206" i="14703"/>
  <c r="Y211" i="14703"/>
  <c r="T192" i="14703"/>
  <c r="T193" i="14703"/>
  <c r="T195" i="14703"/>
  <c r="Q122" i="14703"/>
  <c r="Q120" i="14703"/>
  <c r="X185" i="14703"/>
  <c r="X189" i="14703"/>
  <c r="X187" i="14703"/>
  <c r="X190" i="14703"/>
  <c r="W247" i="14703"/>
  <c r="W243" i="14703"/>
  <c r="W248" i="14703"/>
  <c r="W242" i="14703"/>
  <c r="R247" i="14703"/>
  <c r="R245" i="14703"/>
  <c r="R157" i="14703"/>
  <c r="R155" i="14703"/>
  <c r="T173" i="14703"/>
  <c r="T172" i="14703"/>
  <c r="U153" i="14703"/>
  <c r="U157" i="14703"/>
  <c r="U155" i="14703"/>
  <c r="V154" i="14703"/>
  <c r="V153" i="14703"/>
  <c r="V156" i="14703"/>
  <c r="R120" i="14703"/>
  <c r="R121" i="14703"/>
  <c r="T153" i="14703"/>
  <c r="T156" i="14703"/>
  <c r="V210" i="14703"/>
  <c r="V212" i="14703"/>
  <c r="V205" i="14703"/>
  <c r="V209" i="14703"/>
  <c r="P122" i="14703"/>
  <c r="P123" i="14703"/>
  <c r="W176" i="14703"/>
  <c r="W171" i="14703"/>
  <c r="W169" i="14703"/>
  <c r="U211" i="14703"/>
  <c r="U209" i="14703"/>
  <c r="U210" i="14703"/>
  <c r="X152" i="14703"/>
  <c r="X153" i="14703"/>
  <c r="X155" i="14703"/>
  <c r="X149" i="14703"/>
  <c r="V115" i="14703"/>
  <c r="V120" i="14703"/>
  <c r="V122" i="14703"/>
  <c r="V117" i="14703"/>
  <c r="S192" i="14703"/>
  <c r="S194" i="14703"/>
  <c r="Q192" i="14703"/>
  <c r="Q195" i="14703"/>
  <c r="W194" i="14703"/>
  <c r="W191" i="14703"/>
  <c r="W186" i="14703"/>
  <c r="Y169" i="14703"/>
  <c r="Y168" i="14703"/>
  <c r="Y171" i="14703"/>
  <c r="Y167" i="14703"/>
  <c r="Q248" i="14703"/>
  <c r="Q249" i="14703"/>
  <c r="D35" i="4128"/>
  <c r="D7" i="14617"/>
  <c r="H22" i="14708" s="1"/>
  <c r="X167" i="14703"/>
  <c r="X177" i="14703"/>
  <c r="X168" i="14703"/>
  <c r="X169" i="14703"/>
  <c r="X171" i="14703"/>
  <c r="X170" i="14703"/>
  <c r="F104" i="14698"/>
  <c r="X213" i="14703"/>
  <c r="X208" i="14703"/>
  <c r="X205" i="14703"/>
  <c r="C104" i="14698"/>
  <c r="S174" i="14703"/>
  <c r="S229" i="14703"/>
  <c r="X222" i="14703"/>
  <c r="Y134" i="14703"/>
  <c r="Y135" i="14703"/>
  <c r="P212" i="14703"/>
  <c r="Y209" i="14703"/>
  <c r="Y203" i="14703"/>
  <c r="T244" i="14703"/>
  <c r="W188" i="14703"/>
  <c r="W190" i="14703"/>
  <c r="V119" i="14703"/>
  <c r="T176" i="14703"/>
  <c r="X175" i="14703"/>
  <c r="X172" i="14703"/>
  <c r="U212" i="14703"/>
  <c r="W249" i="14703"/>
  <c r="R248" i="14703"/>
  <c r="R122" i="14703"/>
  <c r="Y175" i="14703"/>
  <c r="V155" i="14703"/>
  <c r="V151" i="14703"/>
  <c r="X150" i="14703"/>
  <c r="V211" i="14703"/>
  <c r="Q246" i="14703"/>
  <c r="U156" i="14703"/>
  <c r="R159" i="14703"/>
  <c r="O195" i="14703"/>
  <c r="O196" i="14703" s="1"/>
  <c r="V176" i="14703"/>
  <c r="V169" i="14703"/>
  <c r="W150" i="14703"/>
  <c r="T159" i="14703"/>
  <c r="U138" i="14703"/>
  <c r="Q194" i="14703"/>
  <c r="X188" i="14703"/>
  <c r="S191" i="14703"/>
  <c r="W174" i="14703"/>
  <c r="W170" i="14703"/>
  <c r="Y157" i="14703"/>
  <c r="N7" i="14631"/>
  <c r="U96" i="14703" a="1"/>
  <c r="U97" i="14703" s="1"/>
  <c r="P101" i="14703" a="1"/>
  <c r="P102" i="14703" s="1"/>
  <c r="K42" i="14634"/>
  <c r="N42" i="14634"/>
  <c r="D61" i="14643"/>
  <c r="E42" i="14634"/>
  <c r="V241" i="14703"/>
  <c r="V242" i="14703"/>
  <c r="V244" i="14703"/>
  <c r="V246" i="14703"/>
  <c r="V249" i="14703"/>
  <c r="Q156" i="14703"/>
  <c r="Q158" i="14703"/>
  <c r="U171" i="14703"/>
  <c r="U175" i="14703"/>
  <c r="U174" i="14703"/>
  <c r="U172" i="14703"/>
  <c r="S159" i="14703"/>
  <c r="S157" i="14703"/>
  <c r="S155" i="14703"/>
  <c r="X119" i="14703"/>
  <c r="X115" i="14703"/>
  <c r="X121" i="14703"/>
  <c r="X120" i="14703"/>
  <c r="X116" i="14703"/>
  <c r="Q141" i="14703"/>
  <c r="Q140" i="14703"/>
  <c r="W137" i="14703"/>
  <c r="W135" i="14703"/>
  <c r="W140" i="14703"/>
  <c r="W138" i="14703"/>
  <c r="W133" i="14703"/>
  <c r="Y225" i="14703"/>
  <c r="Y222" i="14703"/>
  <c r="Y220" i="14703"/>
  <c r="Y230" i="14703"/>
  <c r="Y228" i="14703"/>
  <c r="Y231" i="14703"/>
  <c r="R195" i="14703"/>
  <c r="R192" i="14703"/>
  <c r="R193" i="14703"/>
  <c r="W114" i="14703"/>
  <c r="W121" i="14703"/>
  <c r="W117" i="14703"/>
  <c r="W116" i="14703"/>
  <c r="W120" i="14703"/>
  <c r="U193" i="14703"/>
  <c r="U195" i="14703"/>
  <c r="U188" i="14703"/>
  <c r="U190" i="14703"/>
  <c r="Q213" i="14703"/>
  <c r="Q212" i="14703"/>
  <c r="X242" i="14703"/>
  <c r="X246" i="14703"/>
  <c r="X240" i="14703"/>
  <c r="X245" i="14703"/>
  <c r="X244" i="14703"/>
  <c r="S248" i="14703"/>
  <c r="S249" i="14703"/>
  <c r="S244" i="14703"/>
  <c r="T118" i="14703"/>
  <c r="T122" i="14703"/>
  <c r="T123" i="14703"/>
  <c r="T119" i="14703"/>
  <c r="H104" i="14698"/>
  <c r="Y246" i="14703"/>
  <c r="Y239" i="14703"/>
  <c r="Y243" i="14703"/>
  <c r="Y248" i="14703"/>
  <c r="Y238" i="14703"/>
  <c r="Y245" i="14703"/>
  <c r="P157" i="14703"/>
  <c r="P159" i="14703"/>
  <c r="V136" i="14703"/>
  <c r="V139" i="14703"/>
  <c r="V141" i="14703"/>
  <c r="V135" i="14703"/>
  <c r="W228" i="14703"/>
  <c r="W231" i="14703"/>
  <c r="W222" i="14703"/>
  <c r="W227" i="14703"/>
  <c r="W208" i="14703"/>
  <c r="W206" i="14703"/>
  <c r="W211" i="14703"/>
  <c r="W209" i="14703"/>
  <c r="X134" i="14703"/>
  <c r="X135" i="14703"/>
  <c r="X132" i="14703"/>
  <c r="X141" i="14703"/>
  <c r="X131" i="14703"/>
  <c r="P176" i="14703"/>
  <c r="U244" i="14703"/>
  <c r="U248" i="14703"/>
  <c r="U247" i="14703"/>
  <c r="T141" i="14703"/>
  <c r="T137" i="14703"/>
  <c r="T139" i="14703"/>
  <c r="Y194" i="14703"/>
  <c r="Y187" i="14703"/>
  <c r="Y192" i="14703"/>
  <c r="Y190" i="14703"/>
  <c r="Y186" i="14703"/>
  <c r="V190" i="14703"/>
  <c r="V192" i="14703"/>
  <c r="V193" i="14703"/>
  <c r="V195" i="14703"/>
  <c r="O41" i="14634"/>
  <c r="O42" i="14634" s="1"/>
  <c r="U117" i="14703"/>
  <c r="U119" i="14703"/>
  <c r="U122" i="14703"/>
  <c r="Y117" i="14703"/>
  <c r="Y122" i="14703"/>
  <c r="Y115" i="14703"/>
  <c r="Y118" i="14703"/>
  <c r="Y119" i="14703"/>
  <c r="R173" i="14703"/>
  <c r="T225" i="14703"/>
  <c r="T230" i="14703"/>
  <c r="T226" i="14703"/>
  <c r="X248" i="14703"/>
  <c r="X249" i="14703"/>
  <c r="X241" i="14703"/>
  <c r="Y244" i="14703"/>
  <c r="Y241" i="14703"/>
  <c r="Y240" i="14703"/>
  <c r="U189" i="14703"/>
  <c r="U192" i="14703"/>
  <c r="W122" i="14703"/>
  <c r="W115" i="14703"/>
  <c r="W119" i="14703"/>
  <c r="Q210" i="14703"/>
  <c r="S247" i="14703"/>
  <c r="T117" i="14703"/>
  <c r="T120" i="14703"/>
  <c r="P158" i="14703"/>
  <c r="Y226" i="14703"/>
  <c r="Y223" i="14703"/>
  <c r="Y224" i="14703"/>
  <c r="Q138" i="14703"/>
  <c r="R194" i="14703"/>
  <c r="U176" i="14703"/>
  <c r="U170" i="14703"/>
  <c r="S156" i="14703"/>
  <c r="V248" i="14703"/>
  <c r="V247" i="14703"/>
  <c r="W134" i="14703"/>
  <c r="W141" i="14703"/>
  <c r="W132" i="14703"/>
  <c r="X123" i="14703"/>
  <c r="X114" i="14703"/>
  <c r="X113" i="14703"/>
  <c r="O158" i="14703"/>
  <c r="O160" i="14703" s="1"/>
  <c r="Q157" i="14703"/>
  <c r="F104" i="14703"/>
  <c r="E104" i="14698"/>
  <c r="D104" i="14698"/>
  <c r="O6" i="14625"/>
  <c r="T97" i="14703" a="1"/>
  <c r="T97" i="14703" s="1"/>
  <c r="N9" i="14631"/>
  <c r="W85" i="14703"/>
  <c r="N40" i="14698"/>
  <c r="C49" i="14683" s="1" a="1"/>
  <c r="X85" i="14703"/>
  <c r="V85" i="14703"/>
  <c r="H42" i="14634"/>
  <c r="G53" i="14643" a="1"/>
  <c r="G57" i="14643" s="1"/>
  <c r="Y85" i="14703"/>
  <c r="X203" i="14703"/>
  <c r="X212" i="14703"/>
  <c r="X207" i="14703"/>
  <c r="X204" i="14703"/>
  <c r="X209" i="14703"/>
  <c r="Q123" i="14703"/>
  <c r="S173" i="14703"/>
  <c r="S175" i="14703"/>
  <c r="S227" i="14703"/>
  <c r="S226" i="14703"/>
  <c r="X230" i="14703"/>
  <c r="X224" i="14703"/>
  <c r="X227" i="14703"/>
  <c r="X223" i="14703"/>
  <c r="X228" i="14703"/>
  <c r="Y133" i="14703"/>
  <c r="Y139" i="14703"/>
  <c r="Y131" i="14703"/>
  <c r="Y132" i="14703"/>
  <c r="Y130" i="14703"/>
  <c r="F5" i="14617"/>
  <c r="Y204" i="14703"/>
  <c r="Y207" i="14703"/>
  <c r="Y202" i="14703"/>
  <c r="Y212" i="14703"/>
  <c r="Y205" i="14703"/>
  <c r="T247" i="14703"/>
  <c r="T248" i="14703"/>
  <c r="W192" i="14703"/>
  <c r="W195" i="14703"/>
  <c r="W189" i="14703"/>
  <c r="W187" i="14703"/>
  <c r="V116" i="14703"/>
  <c r="V118" i="14703"/>
  <c r="V123" i="14703"/>
  <c r="T175" i="14703"/>
  <c r="T171" i="14703"/>
  <c r="T177" i="14703"/>
  <c r="U208" i="14703"/>
  <c r="U207" i="14703"/>
  <c r="U213" i="14703"/>
  <c r="W245" i="14703"/>
  <c r="W246" i="14703"/>
  <c r="W244" i="14703"/>
  <c r="W241" i="14703"/>
  <c r="R249" i="14703"/>
  <c r="T194" i="14703"/>
  <c r="T191" i="14703"/>
  <c r="T190" i="14703"/>
  <c r="P121" i="14703"/>
  <c r="R123" i="14703"/>
  <c r="R119" i="14703"/>
  <c r="Y173" i="14703"/>
  <c r="Y174" i="14703"/>
  <c r="Y172" i="14703"/>
  <c r="Y176" i="14703"/>
  <c r="Y166" i="14703"/>
  <c r="V159" i="14703"/>
  <c r="V152" i="14703"/>
  <c r="V158" i="14703"/>
  <c r="X158" i="14703"/>
  <c r="X154" i="14703"/>
  <c r="X157" i="14703"/>
  <c r="X156" i="14703"/>
  <c r="X159" i="14703"/>
  <c r="V213" i="14703"/>
  <c r="V207" i="14703"/>
  <c r="V206" i="14703"/>
  <c r="Q247" i="14703"/>
  <c r="U158" i="14703"/>
  <c r="U152" i="14703"/>
  <c r="U159" i="14703"/>
  <c r="R158" i="14703"/>
  <c r="V177" i="14703"/>
  <c r="V172" i="14703"/>
  <c r="V175" i="14703"/>
  <c r="Q176" i="14703"/>
  <c r="W158" i="14703"/>
  <c r="W159" i="14703"/>
  <c r="W152" i="14703"/>
  <c r="W157" i="14703"/>
  <c r="T154" i="14703"/>
  <c r="T158" i="14703"/>
  <c r="T157" i="14703"/>
  <c r="U139" i="14703"/>
  <c r="U134" i="14703"/>
  <c r="U140" i="14703"/>
  <c r="Q193" i="14703"/>
  <c r="X186" i="14703"/>
  <c r="X192" i="14703"/>
  <c r="X194" i="14703"/>
  <c r="X195" i="14703"/>
  <c r="X191" i="14703"/>
  <c r="S195" i="14703"/>
  <c r="S193" i="14703"/>
  <c r="W177" i="14703"/>
  <c r="W173" i="14703"/>
  <c r="W175" i="14703"/>
  <c r="W168" i="14703"/>
  <c r="Y154" i="14703"/>
  <c r="Y152" i="14703"/>
  <c r="Y155" i="14703"/>
  <c r="Y153" i="14703"/>
  <c r="Y150" i="14703"/>
  <c r="D104" i="14703"/>
  <c r="D20" i="14683"/>
  <c r="D22" i="14683"/>
  <c r="D25" i="14683"/>
  <c r="D23" i="14683"/>
  <c r="D21" i="14683"/>
  <c r="D19" i="14683"/>
  <c r="D27" i="14683"/>
  <c r="D24" i="14683"/>
  <c r="D26" i="14683"/>
  <c r="H104" i="14703"/>
  <c r="E104" i="14703"/>
  <c r="R99" i="14703" a="1"/>
  <c r="R103" i="14703" s="1"/>
  <c r="I104" i="14703"/>
  <c r="V95" i="14703" a="1"/>
  <c r="V99" i="14703" s="1"/>
  <c r="L104" i="14698"/>
  <c r="S98" i="14703" a="1"/>
  <c r="S100" i="14703" s="1"/>
  <c r="Y92" i="14703" a="1"/>
  <c r="Y95" i="14703" s="1"/>
  <c r="R85" i="14703"/>
  <c r="G104" i="14703"/>
  <c r="B104" i="14698"/>
  <c r="H31" i="14645"/>
  <c r="H32" i="14645" s="1"/>
  <c r="M31" i="14645"/>
  <c r="E48" i="14643"/>
  <c r="F40" i="14643" s="1" a="1"/>
  <c r="F45" i="14643" s="1"/>
  <c r="J104" i="14698"/>
  <c r="S85" i="14703"/>
  <c r="C6" i="14633" a="1"/>
  <c r="M6" i="14633" s="1"/>
  <c r="N104" i="14703"/>
  <c r="I104" i="14698"/>
  <c r="K104" i="14698"/>
  <c r="X93" i="14703" a="1"/>
  <c r="X102" i="14703" s="1"/>
  <c r="G104" i="14698"/>
  <c r="M104" i="14698"/>
  <c r="Q100" i="14703" a="1"/>
  <c r="Q103" i="14703" s="1"/>
  <c r="Q22" i="14655"/>
  <c r="B27" i="14655" s="1"/>
  <c r="C31" i="14645"/>
  <c r="C32" i="14645" s="1"/>
  <c r="J31" i="14645"/>
  <c r="J32" i="14645" s="1"/>
  <c r="L31" i="14645"/>
  <c r="L32" i="14645" s="1"/>
  <c r="D31" i="14645"/>
  <c r="D32" i="14645" s="1"/>
  <c r="L104" i="14703"/>
  <c r="C104" i="14703"/>
  <c r="N40" i="14703"/>
  <c r="K104" i="14703"/>
  <c r="G40" i="14643" a="1"/>
  <c r="G42" i="14643" s="1"/>
  <c r="M104" i="14703"/>
  <c r="C33" i="14648" a="1"/>
  <c r="D33" i="14648" s="1"/>
  <c r="N9" i="8"/>
  <c r="B42" i="14683"/>
  <c r="O18" i="14648"/>
  <c r="H17" i="14667"/>
  <c r="I31" i="14645"/>
  <c r="I32" i="14645" s="1"/>
  <c r="E31" i="14645"/>
  <c r="E32" i="14645" s="1"/>
  <c r="G31" i="14645"/>
  <c r="G32" i="14645" s="1"/>
  <c r="F31" i="14645"/>
  <c r="F32" i="14645" s="1"/>
  <c r="H11" i="14706"/>
  <c r="I6" i="14683" a="1"/>
  <c r="I11" i="14683" s="1"/>
  <c r="N12" i="14704"/>
  <c r="N10" i="14704"/>
  <c r="N13" i="14704"/>
  <c r="I11" i="14707" a="1"/>
  <c r="I16" i="14707" s="1"/>
  <c r="K8" i="14702"/>
  <c r="F13" i="14702"/>
  <c r="I12" i="14702"/>
  <c r="K14" i="14702"/>
  <c r="C8" i="14702"/>
  <c r="H10" i="14702"/>
  <c r="G12" i="14702"/>
  <c r="D8" i="14702"/>
  <c r="J15" i="14702"/>
  <c r="C12" i="14702"/>
  <c r="K11" i="14702"/>
  <c r="F8" i="14702"/>
  <c r="K12" i="14702"/>
  <c r="D13" i="14702"/>
  <c r="J11" i="14702"/>
  <c r="F12" i="14702"/>
  <c r="I9" i="14702"/>
  <c r="E13" i="14702"/>
  <c r="L13" i="14702"/>
  <c r="B12" i="14702"/>
  <c r="B13" i="14702"/>
  <c r="B15" i="14702"/>
  <c r="B14" i="14702"/>
  <c r="J9" i="14702"/>
  <c r="B10" i="14702"/>
  <c r="M9" i="14702"/>
  <c r="M15" i="14702"/>
  <c r="G10" i="14702"/>
  <c r="K13" i="14702"/>
  <c r="D12" i="14702"/>
  <c r="I13" i="14702"/>
  <c r="J12" i="14702"/>
  <c r="J10" i="14702"/>
  <c r="C10" i="14702"/>
  <c r="H13" i="14702"/>
  <c r="G9" i="14702"/>
  <c r="B9" i="14702"/>
  <c r="E10" i="14702"/>
  <c r="D9" i="14702"/>
  <c r="I11" i="14702"/>
  <c r="H12" i="14702"/>
  <c r="L9" i="14702"/>
  <c r="C15" i="14702"/>
  <c r="J13" i="14702"/>
  <c r="I14" i="14702"/>
  <c r="F14" i="14702"/>
  <c r="M11" i="14702"/>
  <c r="B11" i="14702"/>
  <c r="F9" i="14702"/>
  <c r="E14" i="14702"/>
  <c r="I10" i="14702"/>
  <c r="K15" i="14702"/>
  <c r="D10" i="14702"/>
  <c r="F15" i="14702"/>
  <c r="G14" i="14702"/>
  <c r="L8" i="14702"/>
  <c r="C13" i="14702"/>
  <c r="D15" i="14702"/>
  <c r="M8" i="14702"/>
  <c r="G11" i="14702"/>
  <c r="I8" i="14702"/>
  <c r="L15" i="14702"/>
  <c r="M13" i="14702"/>
  <c r="I15" i="14702"/>
  <c r="E9" i="14702"/>
  <c r="C14" i="14702"/>
  <c r="H9" i="14702"/>
  <c r="H14" i="14702"/>
  <c r="E12" i="14702"/>
  <c r="H8" i="14702"/>
  <c r="F11" i="14702"/>
  <c r="L14" i="14702"/>
  <c r="E11" i="14702"/>
  <c r="G15" i="14702"/>
  <c r="M14" i="14702"/>
  <c r="C9" i="14702"/>
  <c r="D11" i="14702"/>
  <c r="G13" i="14702"/>
  <c r="K9" i="14702"/>
  <c r="E15" i="14702"/>
  <c r="H15" i="14702"/>
  <c r="F10" i="14702"/>
  <c r="M12" i="14702"/>
  <c r="L10" i="14702"/>
  <c r="G8" i="14702"/>
  <c r="D14" i="14702"/>
  <c r="J8" i="14702"/>
  <c r="K10" i="14702"/>
  <c r="H11" i="14702"/>
  <c r="M10" i="14702"/>
  <c r="C11" i="14702"/>
  <c r="L11" i="14702"/>
  <c r="E8" i="14702"/>
  <c r="L12" i="14702"/>
  <c r="B8" i="14702"/>
  <c r="N14" i="14704"/>
  <c r="N9" i="14704"/>
  <c r="B20" i="14704" a="1"/>
  <c r="F26" i="14704" s="1"/>
  <c r="N11" i="14704"/>
  <c r="N15" i="14704"/>
  <c r="N8" i="14704"/>
  <c r="B32" i="14694" a="1"/>
  <c r="N28" i="14694"/>
  <c r="O61" i="14648"/>
  <c r="O76" i="14648"/>
  <c r="N56" i="14695"/>
  <c r="B59" i="14695" a="1"/>
  <c r="O31" i="14648"/>
  <c r="O46" i="14648"/>
  <c r="N21" i="14694"/>
  <c r="B24" i="14694" a="1"/>
  <c r="D19" i="11"/>
  <c r="C17" i="11"/>
  <c r="D17" i="11" s="1"/>
  <c r="B52" i="14695" a="1"/>
  <c r="N49" i="14695"/>
  <c r="C75" i="14648" a="1"/>
  <c r="B38" i="14695" a="1"/>
  <c r="C45" i="14648" a="1"/>
  <c r="N35" i="14695"/>
  <c r="B56" i="14694" a="1"/>
  <c r="N52" i="14694"/>
  <c r="C30" i="14648" a="1"/>
  <c r="B31" i="14695" a="1"/>
  <c r="N28" i="14695"/>
  <c r="B63" i="14694" a="1"/>
  <c r="N60" i="14694"/>
  <c r="B48" i="14694" a="1"/>
  <c r="N44" i="14694"/>
  <c r="B40" i="14694" a="1"/>
  <c r="N36" i="14694"/>
  <c r="O16" i="14648"/>
  <c r="B24" i="14695" a="1"/>
  <c r="N21" i="14695"/>
  <c r="C15" i="14648" a="1"/>
  <c r="B45" i="14695" a="1"/>
  <c r="N42" i="14695"/>
  <c r="C60" i="14648" a="1"/>
  <c r="B61" i="14665" a="1"/>
  <c r="M76" i="14665"/>
  <c r="D64" i="14665"/>
  <c r="E64" i="14665" s="1"/>
  <c r="F64" i="14665" s="1"/>
  <c r="G64" i="14665" s="1"/>
  <c r="H64" i="14665" s="1"/>
  <c r="I64" i="14665" s="1"/>
  <c r="N12" i="14701"/>
  <c r="N9" i="14701"/>
  <c r="N13" i="14701"/>
  <c r="B20" i="14701" a="1"/>
  <c r="N8" i="14701"/>
  <c r="N14" i="14701"/>
  <c r="G13" i="14707"/>
  <c r="G12" i="14707"/>
  <c r="G11" i="14707"/>
  <c r="G16" i="14707"/>
  <c r="G14" i="14707"/>
  <c r="G18" i="14707"/>
  <c r="G15" i="14707"/>
  <c r="G17" i="14707"/>
  <c r="N11" i="14701"/>
  <c r="N15" i="14701"/>
  <c r="N10" i="14701"/>
  <c r="G12" i="14683"/>
  <c r="G9" i="14683"/>
  <c r="G13" i="14683"/>
  <c r="G10" i="14683"/>
  <c r="G11" i="14683"/>
  <c r="G7" i="14683"/>
  <c r="G6" i="14683"/>
  <c r="G8" i="14683"/>
  <c r="K27" i="14700"/>
  <c r="J21" i="14700"/>
  <c r="G22" i="14700"/>
  <c r="B22" i="14700"/>
  <c r="C25" i="14700"/>
  <c r="H23" i="14700"/>
  <c r="I20" i="14700"/>
  <c r="M22" i="14700"/>
  <c r="L27" i="14700"/>
  <c r="B20" i="14700"/>
  <c r="K24" i="14700"/>
  <c r="G27" i="14700"/>
  <c r="M20" i="14700"/>
  <c r="A45" i="4128"/>
  <c r="D23" i="4128"/>
  <c r="K7" i="14641"/>
  <c r="F7" i="14641"/>
  <c r="J7" i="14641"/>
  <c r="I7" i="14641"/>
  <c r="D7" i="14641"/>
  <c r="L7" i="14641"/>
  <c r="N7" i="14641"/>
  <c r="M7" i="14641"/>
  <c r="G7" i="14641"/>
  <c r="C7" i="14641"/>
  <c r="H7" i="14641"/>
  <c r="E7" i="14641"/>
  <c r="J24" i="14700" l="1"/>
  <c r="B24" i="14700"/>
  <c r="D22" i="14700"/>
  <c r="L20" i="14700"/>
  <c r="J26" i="14700"/>
  <c r="G24" i="14700"/>
  <c r="D25" i="14700"/>
  <c r="L23" i="14700"/>
  <c r="M24" i="14700"/>
  <c r="D21" i="14700"/>
  <c r="G26" i="14700"/>
  <c r="C22" i="14700"/>
  <c r="B25" i="14700"/>
  <c r="K23" i="14700"/>
  <c r="J25" i="14700"/>
  <c r="H27" i="14700"/>
  <c r="M21" i="14700"/>
  <c r="D20" i="14700"/>
  <c r="I22" i="14700"/>
  <c r="B23" i="14700"/>
  <c r="C26" i="14700"/>
  <c r="E25" i="14700"/>
  <c r="I24" i="14700"/>
  <c r="F21" i="14700"/>
  <c r="E20" i="14700"/>
  <c r="I25" i="14700"/>
  <c r="H22" i="14700"/>
  <c r="J22" i="14700"/>
  <c r="K22" i="14700"/>
  <c r="M27" i="14700"/>
  <c r="C20" i="14700"/>
  <c r="K21" i="14700"/>
  <c r="J20" i="14700"/>
  <c r="J27" i="14700"/>
  <c r="G25" i="14700"/>
  <c r="L26" i="14700"/>
  <c r="J23" i="14700"/>
  <c r="H25" i="14700"/>
  <c r="D23" i="14700"/>
  <c r="B27" i="14700"/>
  <c r="D24" i="14700"/>
  <c r="C23" i="14700"/>
  <c r="F23" i="14700"/>
  <c r="D27" i="14700"/>
  <c r="B26" i="14700"/>
  <c r="F25" i="14700"/>
  <c r="G20" i="14700"/>
  <c r="F27" i="14700"/>
  <c r="H21" i="14700"/>
  <c r="F24" i="14700"/>
  <c r="H26" i="14700"/>
  <c r="C24" i="14700"/>
  <c r="E22" i="14700"/>
  <c r="M25" i="14700"/>
  <c r="H24" i="14700"/>
  <c r="L22" i="14700"/>
  <c r="L24" i="14700"/>
  <c r="C27" i="14700"/>
  <c r="B21" i="14700"/>
  <c r="K25" i="14700"/>
  <c r="E21" i="14700"/>
  <c r="I27" i="14700"/>
  <c r="G23" i="14700"/>
  <c r="C21" i="14700"/>
  <c r="I26" i="14700"/>
  <c r="D26" i="14700"/>
  <c r="E24" i="14700"/>
  <c r="L21" i="14700"/>
  <c r="M23" i="14700"/>
  <c r="I21" i="14700"/>
  <c r="I23" i="14700"/>
  <c r="F20" i="14700"/>
  <c r="E26" i="14700"/>
  <c r="K20" i="14700"/>
  <c r="F22" i="14700"/>
  <c r="F26" i="14700"/>
  <c r="H20" i="14700"/>
  <c r="K26" i="14700"/>
  <c r="E27" i="14700"/>
  <c r="E23" i="14700"/>
  <c r="G21" i="14700"/>
  <c r="M26" i="14700"/>
  <c r="L25" i="14700"/>
  <c r="G31" i="14639"/>
  <c r="I37" i="14639"/>
  <c r="J31" i="14639"/>
  <c r="M35" i="14639"/>
  <c r="L32" i="14639"/>
  <c r="D34" i="14639"/>
  <c r="D35" i="14639"/>
  <c r="M36" i="14639"/>
  <c r="G34" i="14639"/>
  <c r="J35" i="14639"/>
  <c r="N31" i="14639"/>
  <c r="I36" i="14639"/>
  <c r="M38" i="14639"/>
  <c r="L35" i="14639"/>
  <c r="K31" i="14639"/>
  <c r="J36" i="14639"/>
  <c r="G38" i="14639"/>
  <c r="E33" i="14639"/>
  <c r="K35" i="14639"/>
  <c r="D37" i="14639"/>
  <c r="C37" i="14639"/>
  <c r="K37" i="14639"/>
  <c r="F35" i="14639"/>
  <c r="N32" i="14639"/>
  <c r="E34" i="14639"/>
  <c r="D38" i="14639"/>
  <c r="I35" i="14639"/>
  <c r="F38" i="14639"/>
  <c r="G32" i="14639"/>
  <c r="I34" i="14639"/>
  <c r="D32" i="14639"/>
  <c r="C32" i="14639"/>
  <c r="D36" i="14639"/>
  <c r="H37" i="14639"/>
  <c r="L31" i="14639"/>
  <c r="M32" i="14639"/>
  <c r="N35" i="14639"/>
  <c r="F31" i="14639"/>
  <c r="I33" i="14639"/>
  <c r="H32" i="14639"/>
  <c r="M34" i="14639"/>
  <c r="L33" i="14639"/>
  <c r="L36" i="14639"/>
  <c r="I31" i="14639"/>
  <c r="F33" i="14639"/>
  <c r="J34" i="14639"/>
  <c r="C31" i="14639"/>
  <c r="C34" i="14639"/>
  <c r="C36" i="14639"/>
  <c r="H33" i="14639"/>
  <c r="F32" i="14639"/>
  <c r="C38" i="14639"/>
  <c r="N33" i="14639"/>
  <c r="K36" i="14639"/>
  <c r="H35" i="14639"/>
  <c r="N36" i="14639"/>
  <c r="F37" i="14639"/>
  <c r="K32" i="14639"/>
  <c r="J32" i="14639"/>
  <c r="E32" i="14639"/>
  <c r="F36" i="14639"/>
  <c r="E36" i="14639"/>
  <c r="L34" i="14639"/>
  <c r="E38" i="14639"/>
  <c r="G35" i="14639"/>
  <c r="H36" i="14639"/>
  <c r="K33" i="14639"/>
  <c r="H38" i="14639"/>
  <c r="F34" i="14639"/>
  <c r="C35" i="14639"/>
  <c r="N34" i="14639"/>
  <c r="G36" i="14639"/>
  <c r="I32" i="14639"/>
  <c r="J38" i="14639"/>
  <c r="M37" i="14639"/>
  <c r="D31" i="14639"/>
  <c r="C33" i="14639"/>
  <c r="M31" i="14639"/>
  <c r="N37" i="14639"/>
  <c r="N38" i="14639"/>
  <c r="L37" i="14639"/>
  <c r="J33" i="14639"/>
  <c r="K34" i="14639"/>
  <c r="K38" i="14639"/>
  <c r="G37" i="14639"/>
  <c r="I38" i="14639"/>
  <c r="E37" i="14639"/>
  <c r="H34" i="14639"/>
  <c r="S142" i="14703"/>
  <c r="F7" i="14638"/>
  <c r="C66" i="14643" a="1"/>
  <c r="B13" i="14638"/>
  <c r="J12" i="14638"/>
  <c r="I13" i="14638"/>
  <c r="J8" i="14638"/>
  <c r="D33" i="14639"/>
  <c r="G33" i="14639"/>
  <c r="J37" i="14639"/>
  <c r="J39" i="14639" s="1"/>
  <c r="M33" i="14639"/>
  <c r="L38" i="14639"/>
  <c r="O38" i="14639" s="1"/>
  <c r="E31" i="14639"/>
  <c r="E39" i="14639" s="1"/>
  <c r="H31" i="14639"/>
  <c r="C8" i="14638"/>
  <c r="B9" i="14638"/>
  <c r="K14" i="14638"/>
  <c r="K13" i="14638"/>
  <c r="K8" i="14638"/>
  <c r="D13" i="14638"/>
  <c r="G9" i="14638"/>
  <c r="F10" i="14638"/>
  <c r="B7" i="14638"/>
  <c r="J10" i="14638"/>
  <c r="H14" i="14638"/>
  <c r="C13" i="14638"/>
  <c r="D7" i="14638"/>
  <c r="H11" i="14638"/>
  <c r="M8" i="14638"/>
  <c r="I14" i="14638"/>
  <c r="C14" i="14638"/>
  <c r="E13" i="14638"/>
  <c r="J11" i="14638"/>
  <c r="B87" i="14703"/>
  <c r="D9" i="14638"/>
  <c r="L10" i="14638"/>
  <c r="E9" i="14638"/>
  <c r="H8" i="14638"/>
  <c r="H13" i="14638"/>
  <c r="K12" i="14638"/>
  <c r="L12" i="14638"/>
  <c r="H12" i="14638"/>
  <c r="M7" i="14638"/>
  <c r="D8" i="14638"/>
  <c r="M11" i="14638"/>
  <c r="F11" i="14638"/>
  <c r="D11" i="14638"/>
  <c r="M9" i="14638"/>
  <c r="F14" i="14638"/>
  <c r="L7" i="14638"/>
  <c r="I9" i="14638"/>
  <c r="B14" i="14638"/>
  <c r="E12" i="14638"/>
  <c r="I8" i="14638"/>
  <c r="G7" i="14638"/>
  <c r="K11" i="14638"/>
  <c r="K7" i="14638"/>
  <c r="L11" i="14638"/>
  <c r="I12" i="14638"/>
  <c r="K10" i="14638"/>
  <c r="D10" i="14638"/>
  <c r="B12" i="14638"/>
  <c r="I11" i="14638"/>
  <c r="C10" i="14638"/>
  <c r="C7" i="14638"/>
  <c r="F13" i="14638"/>
  <c r="M12" i="14638"/>
  <c r="E14" i="14638"/>
  <c r="G10" i="14638"/>
  <c r="H10" i="14638"/>
  <c r="C11" i="14638"/>
  <c r="J7" i="14638"/>
  <c r="G11" i="14638"/>
  <c r="G8" i="14638"/>
  <c r="J13" i="14638"/>
  <c r="B11" i="14638"/>
  <c r="L13" i="14638"/>
  <c r="K9" i="14638"/>
  <c r="E10" i="14638"/>
  <c r="C12" i="14638"/>
  <c r="F12" i="14638"/>
  <c r="J14" i="14638"/>
  <c r="G12" i="14638"/>
  <c r="H7" i="14638"/>
  <c r="D14" i="14638"/>
  <c r="I10" i="14638"/>
  <c r="H9" i="14638"/>
  <c r="C9" i="14638"/>
  <c r="J9" i="14638"/>
  <c r="I7" i="14638"/>
  <c r="B10" i="14638"/>
  <c r="M14" i="14638"/>
  <c r="E8" i="14638"/>
  <c r="F9" i="14638"/>
  <c r="D12" i="14638"/>
  <c r="F8" i="14638"/>
  <c r="E7" i="14638"/>
  <c r="G13" i="14638"/>
  <c r="E11" i="14638"/>
  <c r="L14" i="14638"/>
  <c r="M13" i="14638"/>
  <c r="L8" i="14638"/>
  <c r="G14" i="14638"/>
  <c r="L9" i="14638"/>
  <c r="B8" i="14638"/>
  <c r="N25" i="14637"/>
  <c r="B40" i="14637" s="1" a="1"/>
  <c r="C40" i="14637" s="1"/>
  <c r="E24" i="14707" a="1"/>
  <c r="B32" i="14637" a="1"/>
  <c r="G36" i="14637" s="1"/>
  <c r="E19" i="14683" a="1"/>
  <c r="E24" i="14683" s="1"/>
  <c r="B5" i="14640" a="1"/>
  <c r="H5" i="14640" s="1"/>
  <c r="H30" i="14710" s="1"/>
  <c r="N27" i="14681"/>
  <c r="E23" i="14657" s="1"/>
  <c r="I11" i="14707"/>
  <c r="P232" i="14703"/>
  <c r="C56" i="14683"/>
  <c r="C55" i="14683"/>
  <c r="N61" i="14692"/>
  <c r="G37" i="14652"/>
  <c r="G34" i="14652"/>
  <c r="G36" i="14652"/>
  <c r="G35" i="14652"/>
  <c r="G38" i="14652"/>
  <c r="G33" i="14652"/>
  <c r="G40" i="14652"/>
  <c r="G39" i="14652"/>
  <c r="H34" i="14652"/>
  <c r="H37" i="14652"/>
  <c r="H38" i="14652"/>
  <c r="H35" i="14652"/>
  <c r="H39" i="14652"/>
  <c r="H36" i="14652"/>
  <c r="H40" i="14652"/>
  <c r="H33" i="14652"/>
  <c r="M21" i="14668"/>
  <c r="F24" i="14668"/>
  <c r="D22" i="14668"/>
  <c r="I22" i="14668"/>
  <c r="I23" i="14668"/>
  <c r="K19" i="14668"/>
  <c r="H23" i="14668"/>
  <c r="F22" i="14668"/>
  <c r="K20" i="14668"/>
  <c r="M23" i="14668"/>
  <c r="J19" i="14668"/>
  <c r="J20" i="14668"/>
  <c r="B22" i="14668"/>
  <c r="G22" i="14668"/>
  <c r="B24" i="14668"/>
  <c r="E22" i="14668"/>
  <c r="D20" i="14668"/>
  <c r="C17" i="14668"/>
  <c r="F23" i="14668"/>
  <c r="M20" i="14668"/>
  <c r="G23" i="14668"/>
  <c r="C22" i="14668"/>
  <c r="J22" i="14668"/>
  <c r="C19" i="14668"/>
  <c r="E17" i="14668"/>
  <c r="C24" i="14668"/>
  <c r="D24" i="14668"/>
  <c r="B18" i="14668"/>
  <c r="H19" i="14668"/>
  <c r="J23" i="14668"/>
  <c r="H21" i="14668"/>
  <c r="C21" i="14668"/>
  <c r="H20" i="14668"/>
  <c r="M18" i="14668"/>
  <c r="K18" i="14668"/>
  <c r="M19" i="14668"/>
  <c r="C18" i="14668"/>
  <c r="J17" i="14668"/>
  <c r="F18" i="14668"/>
  <c r="H22" i="14668"/>
  <c r="G18" i="14668"/>
  <c r="K21" i="14668"/>
  <c r="B21" i="14668"/>
  <c r="C20" i="14668"/>
  <c r="C23" i="14668"/>
  <c r="J24" i="14668"/>
  <c r="F21" i="14668"/>
  <c r="L23" i="14668"/>
  <c r="J21" i="14668"/>
  <c r="L17" i="14668"/>
  <c r="M17" i="14668"/>
  <c r="H17" i="14668"/>
  <c r="L18" i="14668"/>
  <c r="K22" i="14668"/>
  <c r="E23" i="14668"/>
  <c r="D19" i="14668"/>
  <c r="G20" i="14668"/>
  <c r="E21" i="14668"/>
  <c r="D17" i="14668"/>
  <c r="L22" i="14668"/>
  <c r="L19" i="14668"/>
  <c r="M24" i="14668"/>
  <c r="H24" i="14668"/>
  <c r="D18" i="14668"/>
  <c r="G19" i="14668"/>
  <c r="L20" i="14668"/>
  <c r="I21" i="14668"/>
  <c r="I17" i="14668"/>
  <c r="D21" i="14668"/>
  <c r="E18" i="14668"/>
  <c r="E19" i="14668"/>
  <c r="I20" i="14668"/>
  <c r="F20" i="14668"/>
  <c r="L24" i="14668"/>
  <c r="K24" i="14668"/>
  <c r="H18" i="14668"/>
  <c r="B17" i="14668"/>
  <c r="G17" i="14668"/>
  <c r="B19" i="14668"/>
  <c r="F17" i="14668"/>
  <c r="M22" i="14668"/>
  <c r="I18" i="14668"/>
  <c r="K17" i="14668"/>
  <c r="K23" i="14668"/>
  <c r="J18" i="14668"/>
  <c r="E24" i="14668"/>
  <c r="F19" i="14668"/>
  <c r="E20" i="14668"/>
  <c r="B20" i="14668"/>
  <c r="B23" i="14668"/>
  <c r="D23" i="14668"/>
  <c r="L21" i="14668"/>
  <c r="I24" i="14668"/>
  <c r="I19" i="14668"/>
  <c r="G24" i="14668"/>
  <c r="G21" i="14668"/>
  <c r="E60" i="14707"/>
  <c r="E55" i="14707"/>
  <c r="E58" i="14707"/>
  <c r="E62" i="14707"/>
  <c r="E56" i="14707"/>
  <c r="E57" i="14707"/>
  <c r="E59" i="14707"/>
  <c r="E61" i="14707"/>
  <c r="J13" i="14652"/>
  <c r="J9" i="14652"/>
  <c r="J14" i="14652"/>
  <c r="J12" i="14652"/>
  <c r="J10" i="14652"/>
  <c r="J11" i="14652"/>
  <c r="J7" i="14652"/>
  <c r="J8" i="14652"/>
  <c r="O102" i="14703"/>
  <c r="O104" i="14703" s="1"/>
  <c r="Q232" i="14703"/>
  <c r="P214" i="14703"/>
  <c r="P178" i="14703"/>
  <c r="G45" i="14643"/>
  <c r="N53" i="14692"/>
  <c r="F33" i="14667"/>
  <c r="D32" i="14667"/>
  <c r="O77" i="14648"/>
  <c r="O47" i="14648"/>
  <c r="N37" i="14692"/>
  <c r="O11" i="14634"/>
  <c r="N22" i="14692"/>
  <c r="B49" i="14683" a="1"/>
  <c r="C11" i="14634" a="1"/>
  <c r="N11" i="14634" s="1"/>
  <c r="O32" i="14648"/>
  <c r="O62" i="14648"/>
  <c r="O17" i="14648"/>
  <c r="D34" i="14706"/>
  <c r="F35" i="14706"/>
  <c r="N29" i="14692"/>
  <c r="N45" i="14692"/>
  <c r="T101" i="14703"/>
  <c r="R142" i="14703"/>
  <c r="G60" i="14643"/>
  <c r="R100" i="14703"/>
  <c r="F54" i="14643"/>
  <c r="V102" i="14703"/>
  <c r="P142" i="14703"/>
  <c r="D34" i="14683" a="1"/>
  <c r="D36" i="14683" s="1"/>
  <c r="R232" i="14703"/>
  <c r="T214" i="14703"/>
  <c r="R214" i="14703"/>
  <c r="P196" i="14703"/>
  <c r="W100" i="14703"/>
  <c r="U103" i="14703"/>
  <c r="G59" i="14643"/>
  <c r="R99" i="14703"/>
  <c r="W98" i="14703"/>
  <c r="F59" i="14643"/>
  <c r="V98" i="14703"/>
  <c r="U101" i="14703"/>
  <c r="R178" i="14703"/>
  <c r="S124" i="14703"/>
  <c r="X98" i="14703"/>
  <c r="S99" i="14703"/>
  <c r="S101" i="14703"/>
  <c r="S98" i="14703"/>
  <c r="G54" i="14643"/>
  <c r="G56" i="14643"/>
  <c r="E5" i="14617" a="1"/>
  <c r="E5" i="14617" s="1"/>
  <c r="R102" i="14703"/>
  <c r="Q101" i="14703"/>
  <c r="W99" i="14703"/>
  <c r="W97" i="14703"/>
  <c r="W102" i="14703"/>
  <c r="G61" i="14643"/>
  <c r="H61" i="14643" s="1"/>
  <c r="E20" i="14643" s="1"/>
  <c r="F58" i="14643"/>
  <c r="F56" i="14643"/>
  <c r="V103" i="14703"/>
  <c r="V97" i="14703"/>
  <c r="V95" i="14703"/>
  <c r="U102" i="14703"/>
  <c r="U96" i="14703"/>
  <c r="T250" i="14703"/>
  <c r="X214" i="14703"/>
  <c r="W142" i="14703"/>
  <c r="T232" i="14703"/>
  <c r="Y124" i="14703"/>
  <c r="X142" i="14703"/>
  <c r="W232" i="14703"/>
  <c r="Q214" i="14703"/>
  <c r="S160" i="14703"/>
  <c r="Q160" i="14703"/>
  <c r="S214" i="14703"/>
  <c r="V232" i="14703"/>
  <c r="P250" i="14703"/>
  <c r="Y178" i="14703"/>
  <c r="R160" i="14703"/>
  <c r="R250" i="14703"/>
  <c r="P101" i="14703"/>
  <c r="Y93" i="14703"/>
  <c r="S196" i="14703"/>
  <c r="U232" i="14703"/>
  <c r="Y102" i="14703"/>
  <c r="X95" i="14703"/>
  <c r="R196" i="14703"/>
  <c r="Y100" i="14703"/>
  <c r="T103" i="14703"/>
  <c r="X101" i="14703"/>
  <c r="K6" i="14633"/>
  <c r="I6" i="14633"/>
  <c r="P103" i="14703"/>
  <c r="Y96" i="14703"/>
  <c r="Y94" i="14703"/>
  <c r="Y97" i="14703"/>
  <c r="T99" i="14703"/>
  <c r="X100" i="14703"/>
  <c r="X96" i="14703"/>
  <c r="X99" i="14703"/>
  <c r="I13" i="14707"/>
  <c r="G44" i="14643"/>
  <c r="U160" i="14703"/>
  <c r="V160" i="14703"/>
  <c r="T196" i="14703"/>
  <c r="T178" i="14703"/>
  <c r="Y142" i="14703"/>
  <c r="S178" i="14703"/>
  <c r="U250" i="14703"/>
  <c r="B106" i="14698"/>
  <c r="U214" i="14703"/>
  <c r="V196" i="14703"/>
  <c r="Y196" i="14703"/>
  <c r="Y250" i="14703"/>
  <c r="X250" i="14703"/>
  <c r="U178" i="14703"/>
  <c r="X160" i="14703"/>
  <c r="T160" i="14703"/>
  <c r="R124" i="14703"/>
  <c r="X196" i="14703"/>
  <c r="Q124" i="14703"/>
  <c r="Y160" i="14703"/>
  <c r="S102" i="14703"/>
  <c r="S103" i="14703"/>
  <c r="G53" i="14643"/>
  <c r="G55" i="14643"/>
  <c r="G58" i="14643"/>
  <c r="R101" i="14703"/>
  <c r="Q100" i="14703"/>
  <c r="W95" i="14703"/>
  <c r="W96" i="14703"/>
  <c r="W103" i="14703"/>
  <c r="W94" i="14703"/>
  <c r="F57" i="14643"/>
  <c r="F60" i="14643"/>
  <c r="F55" i="14643"/>
  <c r="V100" i="14703"/>
  <c r="V96" i="14703"/>
  <c r="V101" i="14703"/>
  <c r="U100" i="14703"/>
  <c r="U99" i="14703"/>
  <c r="U98" i="14703"/>
  <c r="G48" i="14643"/>
  <c r="H48" i="14643" s="1"/>
  <c r="D20" i="14643" s="1"/>
  <c r="Q196" i="14703"/>
  <c r="U142" i="14703"/>
  <c r="W160" i="14703"/>
  <c r="V214" i="14703"/>
  <c r="P124" i="14703"/>
  <c r="W196" i="14703"/>
  <c r="X232" i="14703"/>
  <c r="S232" i="14703"/>
  <c r="X124" i="14703"/>
  <c r="U196" i="14703"/>
  <c r="T142" i="14703"/>
  <c r="P160" i="14703"/>
  <c r="Q142" i="14703"/>
  <c r="Y214" i="14703"/>
  <c r="U124" i="14703"/>
  <c r="W214" i="14703"/>
  <c r="V142" i="14703"/>
  <c r="T124" i="14703"/>
  <c r="S250" i="14703"/>
  <c r="W124" i="14703"/>
  <c r="Y232" i="14703"/>
  <c r="V250" i="14703"/>
  <c r="W178" i="14703"/>
  <c r="V178" i="14703"/>
  <c r="X178" i="14703"/>
  <c r="Q250" i="14703"/>
  <c r="V124" i="14703"/>
  <c r="W250" i="14703"/>
  <c r="Q178" i="14703"/>
  <c r="Y98" i="14703"/>
  <c r="Y101" i="14703"/>
  <c r="Y99" i="14703"/>
  <c r="Y103" i="14703"/>
  <c r="Y92" i="14703"/>
  <c r="T98" i="14703"/>
  <c r="T100" i="14703"/>
  <c r="T102" i="14703"/>
  <c r="X94" i="14703"/>
  <c r="X97" i="14703"/>
  <c r="X93" i="14703"/>
  <c r="X103" i="14703"/>
  <c r="F6" i="14633"/>
  <c r="C6" i="14633"/>
  <c r="G6" i="14633"/>
  <c r="J6" i="14633"/>
  <c r="D6" i="14633"/>
  <c r="N6" i="14633"/>
  <c r="E6" i="14633"/>
  <c r="H6" i="14633"/>
  <c r="L6" i="14633"/>
  <c r="G43" i="14643"/>
  <c r="G47" i="14643"/>
  <c r="G41" i="14643"/>
  <c r="G46" i="14643"/>
  <c r="G40" i="14643"/>
  <c r="N33" i="14648"/>
  <c r="F42" i="14643"/>
  <c r="F40" i="14643"/>
  <c r="F47" i="14643"/>
  <c r="F46" i="14643"/>
  <c r="F41" i="14643"/>
  <c r="F44" i="14643"/>
  <c r="F43" i="14643"/>
  <c r="Q102" i="14703"/>
  <c r="G33" i="14648"/>
  <c r="I26" i="14704"/>
  <c r="I7" i="14683"/>
  <c r="L20" i="14704"/>
  <c r="I6" i="14683"/>
  <c r="E33" i="14648"/>
  <c r="N31" i="14645"/>
  <c r="H33" i="14648"/>
  <c r="I33" i="14648"/>
  <c r="I23" i="14704"/>
  <c r="I9" i="14683"/>
  <c r="I8" i="14683"/>
  <c r="L33" i="14648"/>
  <c r="J33" i="14648"/>
  <c r="C33" i="14648"/>
  <c r="B21" i="14704"/>
  <c r="J22" i="14704"/>
  <c r="C21" i="14704"/>
  <c r="I13" i="14683"/>
  <c r="I10" i="14683"/>
  <c r="I12" i="14683"/>
  <c r="K33" i="14648"/>
  <c r="M33" i="14648"/>
  <c r="F33" i="14648"/>
  <c r="I17" i="14707"/>
  <c r="I14" i="14707"/>
  <c r="I12" i="14707"/>
  <c r="I18" i="14707"/>
  <c r="I15" i="14707"/>
  <c r="N12" i="14702"/>
  <c r="C27" i="14704"/>
  <c r="H21" i="14704"/>
  <c r="K25" i="14704"/>
  <c r="C22" i="14704"/>
  <c r="H24" i="14704"/>
  <c r="H23" i="14704"/>
  <c r="B20" i="14702" a="1"/>
  <c r="B21" i="14702" s="1"/>
  <c r="N10" i="14702"/>
  <c r="D23" i="14704"/>
  <c r="E22" i="14704"/>
  <c r="K21" i="14704"/>
  <c r="G21" i="14704"/>
  <c r="C23" i="14704"/>
  <c r="L25" i="14704"/>
  <c r="B24" i="14704"/>
  <c r="J27" i="14704"/>
  <c r="G23" i="14704"/>
  <c r="J21" i="14704"/>
  <c r="G26" i="14704"/>
  <c r="J25" i="14704"/>
  <c r="N8" i="14702"/>
  <c r="N11" i="14702"/>
  <c r="N15" i="14702"/>
  <c r="M23" i="14704"/>
  <c r="I20" i="14704"/>
  <c r="G20" i="14704"/>
  <c r="D20" i="14704"/>
  <c r="L22" i="14704"/>
  <c r="F20" i="14704"/>
  <c r="E26" i="14704"/>
  <c r="E24" i="14704"/>
  <c r="H22" i="14704"/>
  <c r="C24" i="14704"/>
  <c r="C20" i="14704"/>
  <c r="L21" i="14704"/>
  <c r="M24" i="14704"/>
  <c r="I27" i="14704"/>
  <c r="F22" i="14704"/>
  <c r="B20" i="14704"/>
  <c r="M25" i="14704"/>
  <c r="D27" i="14704"/>
  <c r="B25" i="14704"/>
  <c r="E21" i="14704"/>
  <c r="L23" i="14704"/>
  <c r="E27" i="14704"/>
  <c r="J23" i="14704"/>
  <c r="G24" i="14704"/>
  <c r="N9" i="14702"/>
  <c r="N14" i="14702"/>
  <c r="N13" i="14702"/>
  <c r="C25" i="14704"/>
  <c r="D26" i="14704"/>
  <c r="M20" i="14704"/>
  <c r="H25" i="14704"/>
  <c r="L24" i="14704"/>
  <c r="M27" i="14704"/>
  <c r="D21" i="14704"/>
  <c r="K22" i="14704"/>
  <c r="H27" i="14704"/>
  <c r="H20" i="14704"/>
  <c r="J20" i="14704"/>
  <c r="D22" i="14704"/>
  <c r="B23" i="14704"/>
  <c r="F25" i="14704"/>
  <c r="K26" i="14704"/>
  <c r="J26" i="14704"/>
  <c r="D24" i="14704"/>
  <c r="F23" i="14704"/>
  <c r="E25" i="14704"/>
  <c r="M21" i="14704"/>
  <c r="K27" i="14704"/>
  <c r="B26" i="14704"/>
  <c r="M22" i="14704"/>
  <c r="G22" i="14704"/>
  <c r="J24" i="14704"/>
  <c r="I24" i="14704"/>
  <c r="F21" i="14704"/>
  <c r="I21" i="14704"/>
  <c r="G25" i="14704"/>
  <c r="L26" i="14704"/>
  <c r="K24" i="14704"/>
  <c r="I22" i="14704"/>
  <c r="E20" i="14704"/>
  <c r="B22" i="14704"/>
  <c r="E23" i="14704"/>
  <c r="B27" i="14704"/>
  <c r="H26" i="14704"/>
  <c r="K20" i="14704"/>
  <c r="C26" i="14704"/>
  <c r="I25" i="14704"/>
  <c r="G27" i="14704"/>
  <c r="K23" i="14704"/>
  <c r="L27" i="14704"/>
  <c r="D25" i="14704"/>
  <c r="F27" i="14704"/>
  <c r="F24" i="14704"/>
  <c r="M26" i="14704"/>
  <c r="B63" i="14665"/>
  <c r="D75" i="14665" s="1"/>
  <c r="E18" i="14647" s="1"/>
  <c r="B62" i="14665"/>
  <c r="C75" i="14665" s="1"/>
  <c r="D18" i="14647" s="1"/>
  <c r="B66" i="14665"/>
  <c r="G75" i="14665" s="1"/>
  <c r="H18" i="14647" s="1"/>
  <c r="B68" i="14665"/>
  <c r="I75" i="14665" s="1"/>
  <c r="B70" i="14665"/>
  <c r="K75" i="14665" s="1"/>
  <c r="B71" i="14665"/>
  <c r="L75" i="14665" s="1"/>
  <c r="B61" i="14665"/>
  <c r="B64" i="14665"/>
  <c r="E75" i="14665" s="1"/>
  <c r="F18" i="14647" s="1"/>
  <c r="B65" i="14665"/>
  <c r="F75" i="14665" s="1"/>
  <c r="G18" i="14647" s="1"/>
  <c r="B67" i="14665"/>
  <c r="H75" i="14665" s="1"/>
  <c r="B69" i="14665"/>
  <c r="J75" i="14665" s="1"/>
  <c r="M15" i="14648"/>
  <c r="L15" i="14648"/>
  <c r="G15" i="14648"/>
  <c r="K15" i="14648"/>
  <c r="H15" i="14648"/>
  <c r="F15" i="14648"/>
  <c r="I15" i="14648"/>
  <c r="J15" i="14648"/>
  <c r="E15" i="14648"/>
  <c r="D15" i="14648"/>
  <c r="N15" i="14648"/>
  <c r="C15" i="14648"/>
  <c r="F24" i="14695"/>
  <c r="E24" i="14695"/>
  <c r="D24" i="14695"/>
  <c r="G24" i="14695"/>
  <c r="I24" i="14695"/>
  <c r="L24" i="14695"/>
  <c r="H24" i="14695"/>
  <c r="B24" i="14695"/>
  <c r="K24" i="14695"/>
  <c r="C24" i="14695"/>
  <c r="J24" i="14695"/>
  <c r="M24" i="14695"/>
  <c r="G30" i="14648"/>
  <c r="K30" i="14648"/>
  <c r="L30" i="14648"/>
  <c r="F30" i="14648"/>
  <c r="D30" i="14648"/>
  <c r="M30" i="14648"/>
  <c r="J30" i="14648"/>
  <c r="H30" i="14648"/>
  <c r="E30" i="14648"/>
  <c r="C30" i="14648"/>
  <c r="N30" i="14648"/>
  <c r="I30" i="14648"/>
  <c r="E56" i="14694"/>
  <c r="I56" i="14694"/>
  <c r="M56" i="14694"/>
  <c r="F56" i="14694"/>
  <c r="J56" i="14694"/>
  <c r="B56" i="14694"/>
  <c r="K56" i="14694"/>
  <c r="G56" i="14694"/>
  <c r="C56" i="14694"/>
  <c r="D56" i="14694"/>
  <c r="H56" i="14694"/>
  <c r="L56" i="14694"/>
  <c r="N45" i="14648"/>
  <c r="L45" i="14648"/>
  <c r="G45" i="14648"/>
  <c r="E45" i="14648"/>
  <c r="H45" i="14648"/>
  <c r="F45" i="14648"/>
  <c r="C45" i="14648"/>
  <c r="K45" i="14648"/>
  <c r="M45" i="14648"/>
  <c r="D45" i="14648"/>
  <c r="J45" i="14648"/>
  <c r="I45" i="14648"/>
  <c r="J75" i="14648"/>
  <c r="K75" i="14648"/>
  <c r="H75" i="14648"/>
  <c r="G75" i="14648"/>
  <c r="N75" i="14648"/>
  <c r="D75" i="14648"/>
  <c r="F75" i="14648"/>
  <c r="L75" i="14648"/>
  <c r="E75" i="14648"/>
  <c r="I75" i="14648"/>
  <c r="M75" i="14648"/>
  <c r="C75" i="14648"/>
  <c r="E52" i="14695"/>
  <c r="K52" i="14695"/>
  <c r="L52" i="14695"/>
  <c r="D52" i="14695"/>
  <c r="H52" i="14695"/>
  <c r="C52" i="14695"/>
  <c r="J52" i="14695"/>
  <c r="I52" i="14695"/>
  <c r="G52" i="14695"/>
  <c r="F52" i="14695"/>
  <c r="M52" i="14695"/>
  <c r="B52" i="14695"/>
  <c r="M32" i="14694"/>
  <c r="D32" i="14694"/>
  <c r="L32" i="14694"/>
  <c r="B32" i="14694"/>
  <c r="C32" i="14694"/>
  <c r="K32" i="14694"/>
  <c r="I32" i="14694"/>
  <c r="F32" i="14694"/>
  <c r="E32" i="14694"/>
  <c r="J32" i="14694"/>
  <c r="H32" i="14694"/>
  <c r="G32" i="14694"/>
  <c r="B72" i="14665"/>
  <c r="F3" i="14667" s="1"/>
  <c r="J60" i="14648"/>
  <c r="F60" i="14648"/>
  <c r="E60" i="14648"/>
  <c r="C60" i="14648"/>
  <c r="I60" i="14648"/>
  <c r="G60" i="14648"/>
  <c r="L60" i="14648"/>
  <c r="D60" i="14648"/>
  <c r="K60" i="14648"/>
  <c r="H60" i="14648"/>
  <c r="N60" i="14648"/>
  <c r="M60" i="14648"/>
  <c r="E45" i="14695"/>
  <c r="L45" i="14695"/>
  <c r="B45" i="14695"/>
  <c r="I45" i="14695"/>
  <c r="M45" i="14695"/>
  <c r="H45" i="14695"/>
  <c r="K45" i="14695"/>
  <c r="C45" i="14695"/>
  <c r="D45" i="14695"/>
  <c r="J45" i="14695"/>
  <c r="G45" i="14695"/>
  <c r="F45" i="14695"/>
  <c r="B40" i="14694"/>
  <c r="M40" i="14694"/>
  <c r="K40" i="14694"/>
  <c r="L40" i="14694"/>
  <c r="I40" i="14694"/>
  <c r="H40" i="14694"/>
  <c r="D40" i="14694"/>
  <c r="F40" i="14694"/>
  <c r="J40" i="14694"/>
  <c r="G40" i="14694"/>
  <c r="E40" i="14694"/>
  <c r="C40" i="14694"/>
  <c r="F48" i="14694"/>
  <c r="J48" i="14694"/>
  <c r="D48" i="14694"/>
  <c r="H48" i="14694"/>
  <c r="K48" i="14694"/>
  <c r="B48" i="14694"/>
  <c r="C48" i="14694"/>
  <c r="L48" i="14694"/>
  <c r="G48" i="14694"/>
  <c r="I48" i="14694"/>
  <c r="M48" i="14694"/>
  <c r="E48" i="14694"/>
  <c r="D63" i="14694"/>
  <c r="G63" i="14694"/>
  <c r="B63" i="14694"/>
  <c r="E63" i="14694"/>
  <c r="H63" i="14694"/>
  <c r="C63" i="14694"/>
  <c r="J63" i="14694"/>
  <c r="K63" i="14694"/>
  <c r="M63" i="14694"/>
  <c r="F63" i="14694"/>
  <c r="L63" i="14694"/>
  <c r="I63" i="14694"/>
  <c r="C31" i="14695"/>
  <c r="M31" i="14695"/>
  <c r="E31" i="14695"/>
  <c r="F31" i="14695"/>
  <c r="L31" i="14695"/>
  <c r="K31" i="14695"/>
  <c r="J31" i="14695"/>
  <c r="I31" i="14695"/>
  <c r="B31" i="14695"/>
  <c r="D31" i="14695"/>
  <c r="H31" i="14695"/>
  <c r="G31" i="14695"/>
  <c r="K38" i="14695"/>
  <c r="M38" i="14695"/>
  <c r="E38" i="14695"/>
  <c r="D38" i="14695"/>
  <c r="G38" i="14695"/>
  <c r="J38" i="14695"/>
  <c r="B38" i="14695"/>
  <c r="H38" i="14695"/>
  <c r="L38" i="14695"/>
  <c r="C38" i="14695"/>
  <c r="I38" i="14695"/>
  <c r="F38" i="14695"/>
  <c r="B24" i="14694"/>
  <c r="J24" i="14694"/>
  <c r="C24" i="14694"/>
  <c r="E24" i="14694"/>
  <c r="G24" i="14694"/>
  <c r="K24" i="14694"/>
  <c r="I24" i="14694"/>
  <c r="M24" i="14694"/>
  <c r="D24" i="14694"/>
  <c r="F24" i="14694"/>
  <c r="H24" i="14694"/>
  <c r="L24" i="14694"/>
  <c r="K59" i="14695"/>
  <c r="I59" i="14695"/>
  <c r="D59" i="14695"/>
  <c r="E59" i="14695"/>
  <c r="L59" i="14695"/>
  <c r="M59" i="14695"/>
  <c r="B59" i="14695"/>
  <c r="F59" i="14695"/>
  <c r="C59" i="14695"/>
  <c r="G59" i="14695"/>
  <c r="J59" i="14695"/>
  <c r="H59" i="14695"/>
  <c r="D65" i="14665"/>
  <c r="D5" i="14661" s="1" a="1"/>
  <c r="D66" i="14665"/>
  <c r="E9" i="14657"/>
  <c r="H11" i="14707" a="1"/>
  <c r="H15" i="14707" s="1"/>
  <c r="H6" i="14683" a="1"/>
  <c r="H7" i="14683" s="1"/>
  <c r="L83" i="14700" a="1"/>
  <c r="L83" i="14700" s="1"/>
  <c r="S76" i="14700" a="1"/>
  <c r="S76" i="14700" s="1"/>
  <c r="T75" i="14700" a="1"/>
  <c r="T75" i="14700" s="1"/>
  <c r="K28" i="14700"/>
  <c r="O80" i="14700" a="1"/>
  <c r="O80" i="14700" s="1"/>
  <c r="W72" i="14700" a="1"/>
  <c r="W72" i="14700" s="1"/>
  <c r="N81" i="14700" a="1"/>
  <c r="N81" i="14700" s="1"/>
  <c r="U74" i="14700" a="1"/>
  <c r="U74" i="14700" s="1"/>
  <c r="R77" i="14700" a="1"/>
  <c r="R77" i="14700" s="1"/>
  <c r="M82" i="14700" a="1"/>
  <c r="M82" i="14700" s="1"/>
  <c r="K84" i="14700" a="1"/>
  <c r="K84" i="14700" s="1"/>
  <c r="V73" i="14700" a="1"/>
  <c r="V73" i="14700" s="1"/>
  <c r="P79" i="14700" a="1"/>
  <c r="P79" i="14700" s="1"/>
  <c r="Q78" i="14700" a="1"/>
  <c r="Q78" i="14700" s="1"/>
  <c r="L78" i="14700" a="1"/>
  <c r="L78" i="14700" s="1"/>
  <c r="N76" i="14700" a="1"/>
  <c r="N76" i="14700" s="1"/>
  <c r="G83" i="14700" a="1"/>
  <c r="G83" i="14700" s="1"/>
  <c r="K79" i="14700" a="1"/>
  <c r="K79" i="14700" s="1"/>
  <c r="O75" i="14700" a="1"/>
  <c r="O75" i="14700" s="1"/>
  <c r="F28" i="14700"/>
  <c r="R72" i="14700" a="1"/>
  <c r="R72" i="14700" s="1"/>
  <c r="F84" i="14700" a="1"/>
  <c r="F84" i="14700" s="1"/>
  <c r="I81" i="14700" a="1"/>
  <c r="I81" i="14700" s="1"/>
  <c r="H82" i="14700" a="1"/>
  <c r="H82" i="14700" s="1"/>
  <c r="J80" i="14700" a="1"/>
  <c r="J80" i="14700" s="1"/>
  <c r="P74" i="14700" a="1"/>
  <c r="P74" i="14700" s="1"/>
  <c r="M77" i="14700" a="1"/>
  <c r="M77" i="14700" s="1"/>
  <c r="Q73" i="14700" a="1"/>
  <c r="Q73" i="14700" s="1"/>
  <c r="E246" i="14700" a="1"/>
  <c r="C248" i="14700" a="1"/>
  <c r="I242" i="14700" a="1"/>
  <c r="B249" i="14700" a="1"/>
  <c r="N27" i="14700"/>
  <c r="N237" i="14700" a="1"/>
  <c r="K240" i="14700" a="1"/>
  <c r="L239" i="14700" a="1"/>
  <c r="G244" i="14700" a="1"/>
  <c r="D247" i="14700" a="1"/>
  <c r="F245" i="14700" a="1"/>
  <c r="J241" i="14700" a="1"/>
  <c r="H243" i="14700" a="1"/>
  <c r="M238" i="14700" a="1"/>
  <c r="D175" i="14700" a="1"/>
  <c r="L167" i="14700" a="1"/>
  <c r="J169" i="14700" a="1"/>
  <c r="N165" i="14700" a="1"/>
  <c r="F173" i="14700" a="1"/>
  <c r="M166" i="14700" a="1"/>
  <c r="H171" i="14700" a="1"/>
  <c r="G172" i="14700" a="1"/>
  <c r="B177" i="14700" a="1"/>
  <c r="E174" i="14700" a="1"/>
  <c r="I170" i="14700" a="1"/>
  <c r="K168" i="14700" a="1"/>
  <c r="N23" i="14700"/>
  <c r="C176" i="14700" a="1"/>
  <c r="O73" i="14700" a="1"/>
  <c r="O73" i="14700" s="1"/>
  <c r="N74" i="14700" a="1"/>
  <c r="N74" i="14700" s="1"/>
  <c r="H80" i="14700" a="1"/>
  <c r="H80" i="14700" s="1"/>
  <c r="D28" i="14700"/>
  <c r="E83" i="14700" a="1"/>
  <c r="E83" i="14700" s="1"/>
  <c r="M75" i="14700" a="1"/>
  <c r="M75" i="14700" s="1"/>
  <c r="D84" i="14700" a="1"/>
  <c r="D84" i="14700" s="1"/>
  <c r="G81" i="14700" a="1"/>
  <c r="G81" i="14700" s="1"/>
  <c r="P72" i="14700" a="1"/>
  <c r="P72" i="14700" s="1"/>
  <c r="F82" i="14700" a="1"/>
  <c r="F82" i="14700" s="1"/>
  <c r="L76" i="14700" a="1"/>
  <c r="L76" i="14700" s="1"/>
  <c r="I79" i="14700" a="1"/>
  <c r="I79" i="14700" s="1"/>
  <c r="K77" i="14700" a="1"/>
  <c r="K77" i="14700" s="1"/>
  <c r="J78" i="14700" a="1"/>
  <c r="J78" i="14700" s="1"/>
  <c r="X72" i="14700" a="1"/>
  <c r="X72" i="14700" s="1"/>
  <c r="O81" i="14700" a="1"/>
  <c r="O81" i="14700" s="1"/>
  <c r="R78" i="14700" a="1"/>
  <c r="R78" i="14700" s="1"/>
  <c r="P80" i="14700" a="1"/>
  <c r="P80" i="14700" s="1"/>
  <c r="W73" i="14700" a="1"/>
  <c r="W73" i="14700" s="1"/>
  <c r="L84" i="14700" a="1"/>
  <c r="L84" i="14700" s="1"/>
  <c r="T76" i="14700" a="1"/>
  <c r="T76" i="14700" s="1"/>
  <c r="M83" i="14700" a="1"/>
  <c r="M83" i="14700" s="1"/>
  <c r="U75" i="14700" a="1"/>
  <c r="U75" i="14700" s="1"/>
  <c r="Q79" i="14700" a="1"/>
  <c r="Q79" i="14700" s="1"/>
  <c r="L28" i="14700"/>
  <c r="S77" i="14700" a="1"/>
  <c r="S77" i="14700" s="1"/>
  <c r="V74" i="14700" a="1"/>
  <c r="V74" i="14700" s="1"/>
  <c r="N82" i="14700" a="1"/>
  <c r="N82" i="14700" s="1"/>
  <c r="N24" i="14700"/>
  <c r="C194" i="14700" a="1"/>
  <c r="I188" i="14700" a="1"/>
  <c r="N183" i="14700" a="1"/>
  <c r="B195" i="14700" a="1"/>
  <c r="D193" i="14700" a="1"/>
  <c r="F191" i="14700" a="1"/>
  <c r="L185" i="14700" a="1"/>
  <c r="G190" i="14700" a="1"/>
  <c r="H189" i="14700" a="1"/>
  <c r="M184" i="14700" a="1"/>
  <c r="J187" i="14700" a="1"/>
  <c r="E192" i="14700" a="1"/>
  <c r="K186" i="14700" a="1"/>
  <c r="S78" i="14700" a="1"/>
  <c r="S78" i="14700" s="1"/>
  <c r="M84" i="14700" a="1"/>
  <c r="M84" i="14700" s="1"/>
  <c r="Y72" i="14700" a="1"/>
  <c r="Y72" i="14700" s="1"/>
  <c r="V75" i="14700" a="1"/>
  <c r="V75" i="14700" s="1"/>
  <c r="U76" i="14700" a="1"/>
  <c r="U76" i="14700" s="1"/>
  <c r="R79" i="14700" a="1"/>
  <c r="R79" i="14700" s="1"/>
  <c r="T77" i="14700" a="1"/>
  <c r="T77" i="14700" s="1"/>
  <c r="X73" i="14700" a="1"/>
  <c r="X73" i="14700" s="1"/>
  <c r="P81" i="14700" a="1"/>
  <c r="P81" i="14700" s="1"/>
  <c r="N83" i="14700" a="1"/>
  <c r="N83" i="14700" s="1"/>
  <c r="M28" i="14700"/>
  <c r="O82" i="14700" a="1"/>
  <c r="O82" i="14700" s="1"/>
  <c r="Q80" i="14700" a="1"/>
  <c r="Q80" i="14700" s="1"/>
  <c r="W74" i="14700" a="1"/>
  <c r="W74" i="14700" s="1"/>
  <c r="P77" i="14700" a="1"/>
  <c r="P77" i="14700" s="1"/>
  <c r="M80" i="14700" a="1"/>
  <c r="M80" i="14700" s="1"/>
  <c r="O78" i="14700" a="1"/>
  <c r="O78" i="14700" s="1"/>
  <c r="U72" i="14700" a="1"/>
  <c r="U72" i="14700" s="1"/>
  <c r="K82" i="14700" a="1"/>
  <c r="K82" i="14700" s="1"/>
  <c r="L81" i="14700" a="1"/>
  <c r="L81" i="14700" s="1"/>
  <c r="N79" i="14700" a="1"/>
  <c r="N79" i="14700" s="1"/>
  <c r="I84" i="14700" a="1"/>
  <c r="I84" i="14700" s="1"/>
  <c r="Q76" i="14700" a="1"/>
  <c r="Q76" i="14700" s="1"/>
  <c r="J83" i="14700" a="1"/>
  <c r="J83" i="14700" s="1"/>
  <c r="S74" i="14700" a="1"/>
  <c r="S74" i="14700" s="1"/>
  <c r="T73" i="14700" a="1"/>
  <c r="T73" i="14700" s="1"/>
  <c r="R75" i="14700" a="1"/>
  <c r="R75" i="14700" s="1"/>
  <c r="I28" i="14700"/>
  <c r="C53" i="14683"/>
  <c r="C51" i="14683"/>
  <c r="C52" i="14683"/>
  <c r="C50" i="14683"/>
  <c r="C49" i="14683"/>
  <c r="L24" i="14701"/>
  <c r="K22" i="14701"/>
  <c r="E25" i="14701"/>
  <c r="E27" i="14701"/>
  <c r="D25" i="14701"/>
  <c r="H22" i="14701"/>
  <c r="J24" i="14701"/>
  <c r="D24" i="14701"/>
  <c r="D21" i="14701"/>
  <c r="H23" i="14701"/>
  <c r="H26" i="14701"/>
  <c r="H24" i="14701"/>
  <c r="J21" i="14701"/>
  <c r="I27" i="14701"/>
  <c r="H25" i="14701"/>
  <c r="F21" i="14701"/>
  <c r="G25" i="14701"/>
  <c r="L22" i="14701"/>
  <c r="H21" i="14701"/>
  <c r="G22" i="14701"/>
  <c r="J20" i="14701"/>
  <c r="G26" i="14701"/>
  <c r="M27" i="14701"/>
  <c r="D23" i="14701"/>
  <c r="L25" i="14701"/>
  <c r="B23" i="14701"/>
  <c r="K24" i="14701"/>
  <c r="M21" i="14701"/>
  <c r="E26" i="14701"/>
  <c r="K23" i="14701"/>
  <c r="G24" i="14701"/>
  <c r="B26" i="14701"/>
  <c r="G23" i="14701"/>
  <c r="L21" i="14701"/>
  <c r="I26" i="14701"/>
  <c r="L23" i="14701"/>
  <c r="M23" i="14701"/>
  <c r="I21" i="14701"/>
  <c r="J26" i="14701"/>
  <c r="F26" i="14701"/>
  <c r="F24" i="14701"/>
  <c r="J22" i="14701"/>
  <c r="H27" i="14701"/>
  <c r="K25" i="14701"/>
  <c r="I20" i="14701"/>
  <c r="K27" i="14701"/>
  <c r="L20" i="14701"/>
  <c r="I24" i="14701"/>
  <c r="L26" i="14701"/>
  <c r="D26" i="14701"/>
  <c r="D22" i="14701"/>
  <c r="B22" i="14701"/>
  <c r="E22" i="14701"/>
  <c r="E24" i="14701"/>
  <c r="C20" i="14701"/>
  <c r="J23" i="14701"/>
  <c r="J25" i="14701"/>
  <c r="M25" i="14701"/>
  <c r="G21" i="14701"/>
  <c r="K26" i="14701"/>
  <c r="C23" i="14701"/>
  <c r="M24" i="14701"/>
  <c r="M26" i="14701"/>
  <c r="B21" i="14701"/>
  <c r="I25" i="14701"/>
  <c r="C25" i="14701"/>
  <c r="G27" i="14701"/>
  <c r="E20" i="14701"/>
  <c r="I23" i="14701"/>
  <c r="M22" i="14701"/>
  <c r="C27" i="14701"/>
  <c r="F20" i="14701"/>
  <c r="K20" i="14701"/>
  <c r="I22" i="14701"/>
  <c r="F22" i="14701"/>
  <c r="C21" i="14701"/>
  <c r="E23" i="14701"/>
  <c r="F23" i="14701"/>
  <c r="M20" i="14701"/>
  <c r="C26" i="14701"/>
  <c r="D27" i="14701"/>
  <c r="H20" i="14701"/>
  <c r="F25" i="14701"/>
  <c r="B24" i="14701"/>
  <c r="B25" i="14701"/>
  <c r="J27" i="14701"/>
  <c r="G20" i="14701"/>
  <c r="L27" i="14701"/>
  <c r="C24" i="14701"/>
  <c r="B20" i="14701"/>
  <c r="B27" i="14701"/>
  <c r="C22" i="14701"/>
  <c r="K21" i="14701"/>
  <c r="E21" i="14701"/>
  <c r="F27" i="14701"/>
  <c r="D20" i="14701"/>
  <c r="M79" i="14700" a="1"/>
  <c r="M79" i="14700" s="1"/>
  <c r="L80" i="14700" a="1"/>
  <c r="L80" i="14700" s="1"/>
  <c r="Q75" i="14700" a="1"/>
  <c r="Q75" i="14700" s="1"/>
  <c r="H84" i="14700" a="1"/>
  <c r="H84" i="14700" s="1"/>
  <c r="I83" i="14700" a="1"/>
  <c r="I83" i="14700" s="1"/>
  <c r="R74" i="14700" a="1"/>
  <c r="R74" i="14700" s="1"/>
  <c r="H28" i="14700"/>
  <c r="J82" i="14700" a="1"/>
  <c r="J82" i="14700" s="1"/>
  <c r="P76" i="14700" a="1"/>
  <c r="P76" i="14700" s="1"/>
  <c r="N78" i="14700" a="1"/>
  <c r="N78" i="14700" s="1"/>
  <c r="T72" i="14700" a="1"/>
  <c r="T72" i="14700" s="1"/>
  <c r="O77" i="14700" a="1"/>
  <c r="O77" i="14700" s="1"/>
  <c r="K81" i="14700" a="1"/>
  <c r="K81" i="14700" s="1"/>
  <c r="S73" i="14700" a="1"/>
  <c r="S73" i="14700" s="1"/>
  <c r="G136" i="14700" a="1"/>
  <c r="I134" i="14700" a="1"/>
  <c r="C140" i="14700" a="1"/>
  <c r="K132" i="14700" a="1"/>
  <c r="E138" i="14700" a="1"/>
  <c r="M130" i="14700" a="1"/>
  <c r="H135" i="14700" a="1"/>
  <c r="F137" i="14700" a="1"/>
  <c r="J133" i="14700" a="1"/>
  <c r="D139" i="14700" a="1"/>
  <c r="N21" i="14700"/>
  <c r="L131" i="14700" a="1"/>
  <c r="B141" i="14700" a="1"/>
  <c r="N129" i="14700" a="1"/>
  <c r="R73" i="14700" a="1"/>
  <c r="R73" i="14700" s="1"/>
  <c r="P75" i="14700" a="1"/>
  <c r="P75" i="14700" s="1"/>
  <c r="G28" i="14700"/>
  <c r="K80" i="14700" a="1"/>
  <c r="K80" i="14700" s="1"/>
  <c r="G84" i="14700" a="1"/>
  <c r="G84" i="14700" s="1"/>
  <c r="H83" i="14700" a="1"/>
  <c r="H83" i="14700" s="1"/>
  <c r="Q74" i="14700" a="1"/>
  <c r="Q74" i="14700" s="1"/>
  <c r="J81" i="14700" a="1"/>
  <c r="J81" i="14700" s="1"/>
  <c r="O76" i="14700" a="1"/>
  <c r="O76" i="14700" s="1"/>
  <c r="I82" i="14700" a="1"/>
  <c r="I82" i="14700" s="1"/>
  <c r="S72" i="14700" a="1"/>
  <c r="S72" i="14700" s="1"/>
  <c r="M78" i="14700" a="1"/>
  <c r="M78" i="14700" s="1"/>
  <c r="N77" i="14700" a="1"/>
  <c r="N77" i="14700" s="1"/>
  <c r="L79" i="14700" a="1"/>
  <c r="L79" i="14700" s="1"/>
  <c r="N26" i="14700"/>
  <c r="F227" i="14700" a="1"/>
  <c r="E228" i="14700" a="1"/>
  <c r="L221" i="14700" a="1"/>
  <c r="J223" i="14700" a="1"/>
  <c r="H225" i="14700" a="1"/>
  <c r="N219" i="14700" a="1"/>
  <c r="K222" i="14700" a="1"/>
  <c r="D229" i="14700" a="1"/>
  <c r="C230" i="14700" a="1"/>
  <c r="B231" i="14700" a="1"/>
  <c r="M220" i="14700" a="1"/>
  <c r="G226" i="14700" a="1"/>
  <c r="I224" i="14700" a="1"/>
  <c r="O79" i="14700" a="1"/>
  <c r="O79" i="14700" s="1"/>
  <c r="S75" i="14700" a="1"/>
  <c r="S75" i="14700" s="1"/>
  <c r="J28" i="14700"/>
  <c r="L82" i="14700" a="1"/>
  <c r="L82" i="14700" s="1"/>
  <c r="P78" i="14700" a="1"/>
  <c r="P78" i="14700" s="1"/>
  <c r="U73" i="14700" a="1"/>
  <c r="U73" i="14700" s="1"/>
  <c r="R76" i="14700" a="1"/>
  <c r="R76" i="14700" s="1"/>
  <c r="V72" i="14700" a="1"/>
  <c r="V72" i="14700" s="1"/>
  <c r="N80" i="14700" a="1"/>
  <c r="N80" i="14700" s="1"/>
  <c r="Q77" i="14700" a="1"/>
  <c r="Q77" i="14700" s="1"/>
  <c r="J84" i="14700" a="1"/>
  <c r="J84" i="14700" s="1"/>
  <c r="M81" i="14700" a="1"/>
  <c r="M81" i="14700" s="1"/>
  <c r="K83" i="14700" a="1"/>
  <c r="K83" i="14700" s="1"/>
  <c r="T74" i="14700" a="1"/>
  <c r="T74" i="14700" s="1"/>
  <c r="K76" i="14700" a="1"/>
  <c r="K76" i="14700" s="1"/>
  <c r="N73" i="14700" a="1"/>
  <c r="N73" i="14700" s="1"/>
  <c r="G80" i="14700" a="1"/>
  <c r="G80" i="14700" s="1"/>
  <c r="M74" i="14700" a="1"/>
  <c r="M74" i="14700" s="1"/>
  <c r="D83" i="14700" a="1"/>
  <c r="D83" i="14700" s="1"/>
  <c r="F81" i="14700" a="1"/>
  <c r="F81" i="14700" s="1"/>
  <c r="C84" i="14700" a="1"/>
  <c r="C84" i="14700" s="1"/>
  <c r="O72" i="14700" a="1"/>
  <c r="O72" i="14700" s="1"/>
  <c r="I78" i="14700" a="1"/>
  <c r="I78" i="14700" s="1"/>
  <c r="J77" i="14700" a="1"/>
  <c r="J77" i="14700" s="1"/>
  <c r="E82" i="14700" a="1"/>
  <c r="E82" i="14700" s="1"/>
  <c r="H79" i="14700" a="1"/>
  <c r="H79" i="14700" s="1"/>
  <c r="L75" i="14700" a="1"/>
  <c r="L75" i="14700" s="1"/>
  <c r="C28" i="14700"/>
  <c r="E28" i="14700"/>
  <c r="G82" i="14700" a="1"/>
  <c r="G82" i="14700" s="1"/>
  <c r="I80" i="14700" a="1"/>
  <c r="I80" i="14700" s="1"/>
  <c r="E84" i="14700" a="1"/>
  <c r="E84" i="14700" s="1"/>
  <c r="O74" i="14700" a="1"/>
  <c r="O74" i="14700" s="1"/>
  <c r="H81" i="14700" a="1"/>
  <c r="H81" i="14700" s="1"/>
  <c r="M76" i="14700" a="1"/>
  <c r="M76" i="14700" s="1"/>
  <c r="N75" i="14700" a="1"/>
  <c r="N75" i="14700" s="1"/>
  <c r="K78" i="14700" a="1"/>
  <c r="K78" i="14700" s="1"/>
  <c r="Q72" i="14700" a="1"/>
  <c r="Q72" i="14700" s="1"/>
  <c r="F83" i="14700" a="1"/>
  <c r="F83" i="14700" s="1"/>
  <c r="L77" i="14700" a="1"/>
  <c r="L77" i="14700" s="1"/>
  <c r="J79" i="14700" a="1"/>
  <c r="J79" i="14700" s="1"/>
  <c r="P73" i="14700" a="1"/>
  <c r="P73" i="14700" s="1"/>
  <c r="D211" i="14700" a="1"/>
  <c r="N25" i="14700"/>
  <c r="C212" i="14700" a="1"/>
  <c r="J205" i="14700" a="1"/>
  <c r="L203" i="14700" a="1"/>
  <c r="H207" i="14700" a="1"/>
  <c r="N201" i="14700" a="1"/>
  <c r="M202" i="14700" a="1"/>
  <c r="F209" i="14700" a="1"/>
  <c r="G208" i="14700" a="1"/>
  <c r="K204" i="14700" a="1"/>
  <c r="I206" i="14700" a="1"/>
  <c r="B213" i="14700" a="1"/>
  <c r="E210" i="14700" a="1"/>
  <c r="C122" i="14700" a="1"/>
  <c r="F119" i="14700" a="1"/>
  <c r="C83" i="14700" a="1"/>
  <c r="C83" i="14700" s="1"/>
  <c r="B32" i="14700" a="1"/>
  <c r="B84" i="14700" a="1"/>
  <c r="B84" i="14700" s="1"/>
  <c r="G79" i="14700" a="1"/>
  <c r="G79" i="14700" s="1"/>
  <c r="K114" i="14700" a="1"/>
  <c r="K75" i="14700" a="1"/>
  <c r="K75" i="14700" s="1"/>
  <c r="H117" i="14700" a="1"/>
  <c r="N111" i="14700" a="1"/>
  <c r="L74" i="14700" a="1"/>
  <c r="L74" i="14700" s="1"/>
  <c r="N72" i="14700" a="1"/>
  <c r="N72" i="14700" s="1"/>
  <c r="I116" i="14700" a="1"/>
  <c r="G118" i="14700" a="1"/>
  <c r="B28" i="14700"/>
  <c r="D82" i="14700" a="1"/>
  <c r="D82" i="14700" s="1"/>
  <c r="M112" i="14700" a="1"/>
  <c r="M73" i="14700" a="1"/>
  <c r="M73" i="14700" s="1"/>
  <c r="J76" i="14700" a="1"/>
  <c r="J76" i="14700" s="1"/>
  <c r="H78" i="14700" a="1"/>
  <c r="H78" i="14700" s="1"/>
  <c r="J115" i="14700" a="1"/>
  <c r="E120" i="14700" a="1"/>
  <c r="B123" i="14700" a="1"/>
  <c r="I77" i="14700" a="1"/>
  <c r="I77" i="14700" s="1"/>
  <c r="F80" i="14700" a="1"/>
  <c r="F80" i="14700" s="1"/>
  <c r="D121" i="14700" a="1"/>
  <c r="N20" i="14700"/>
  <c r="L113" i="14700" a="1"/>
  <c r="E81" i="14700" a="1"/>
  <c r="E81" i="14700" s="1"/>
  <c r="B159" i="14700" a="1"/>
  <c r="G154" i="14700" a="1"/>
  <c r="N147" i="14700" a="1"/>
  <c r="M148" i="14700" a="1"/>
  <c r="E156" i="14700" a="1"/>
  <c r="I152" i="14700" a="1"/>
  <c r="D157" i="14700" a="1"/>
  <c r="N22" i="14700"/>
  <c r="J151" i="14700" a="1"/>
  <c r="C158" i="14700" a="1"/>
  <c r="F155" i="14700" a="1"/>
  <c r="K150" i="14700" a="1"/>
  <c r="H153" i="14700" a="1"/>
  <c r="L149" i="14700" a="1"/>
  <c r="F6" i="14683"/>
  <c r="F11" i="14683"/>
  <c r="F9" i="14683"/>
  <c r="F8" i="14683"/>
  <c r="F13" i="14683"/>
  <c r="F10" i="14683"/>
  <c r="F12" i="14683"/>
  <c r="F7" i="14683"/>
  <c r="E30" i="14707"/>
  <c r="E26" i="14707"/>
  <c r="E24" i="14707"/>
  <c r="E29" i="14707"/>
  <c r="E28" i="14707"/>
  <c r="E25" i="14707"/>
  <c r="E31" i="14707"/>
  <c r="E27" i="14707"/>
  <c r="F16" i="14707"/>
  <c r="F15" i="14707"/>
  <c r="F12" i="14707"/>
  <c r="F18" i="14707"/>
  <c r="F14" i="14707"/>
  <c r="F17" i="14707"/>
  <c r="F13" i="14707"/>
  <c r="F11" i="14707"/>
  <c r="D19" i="14639" a="1"/>
  <c r="D19" i="14639" s="1"/>
  <c r="D39" i="14639"/>
  <c r="O34" i="14639"/>
  <c r="I19" i="14639" a="1"/>
  <c r="I19" i="14639" s="1"/>
  <c r="I39" i="14639"/>
  <c r="L19" i="14639" a="1"/>
  <c r="L19" i="14639" s="1"/>
  <c r="L39" i="14639"/>
  <c r="O32" i="14639"/>
  <c r="O37" i="14639"/>
  <c r="K19" i="14639" a="1"/>
  <c r="K19" i="14639" s="1"/>
  <c r="K39" i="14639"/>
  <c r="N19" i="14639" a="1"/>
  <c r="N19" i="14639" s="1"/>
  <c r="N39" i="14639"/>
  <c r="C54" i="14683"/>
  <c r="A27" i="14659"/>
  <c r="O7" i="14641"/>
  <c r="M27" i="14655"/>
  <c r="E27" i="14655"/>
  <c r="N27" i="14655"/>
  <c r="H27" i="14655"/>
  <c r="H28" i="14655" s="1"/>
  <c r="F27" i="14655"/>
  <c r="F28" i="14655" s="1"/>
  <c r="L27" i="14655"/>
  <c r="J27" i="14655"/>
  <c r="K27" i="14655"/>
  <c r="I27" i="14655"/>
  <c r="G27" i="14655"/>
  <c r="G28" i="14655" s="1"/>
  <c r="P27" i="14655"/>
  <c r="O27" i="14655"/>
  <c r="B15" i="14622"/>
  <c r="C67" i="14643" l="1"/>
  <c r="C70" i="14643"/>
  <c r="C71" i="14643"/>
  <c r="C73" i="14643"/>
  <c r="C72" i="14643"/>
  <c r="C69" i="14643"/>
  <c r="C68" i="14643"/>
  <c r="C66" i="14643"/>
  <c r="O35" i="14639"/>
  <c r="M39" i="14639"/>
  <c r="O36" i="14639"/>
  <c r="C19" i="14639" a="1"/>
  <c r="C19" i="14639" s="1"/>
  <c r="C39" i="14639"/>
  <c r="F39" i="14639"/>
  <c r="F19" i="14639" a="1"/>
  <c r="F19" i="14639" s="1"/>
  <c r="H19" i="14639" a="1"/>
  <c r="H19" i="14639" s="1"/>
  <c r="H39" i="14639"/>
  <c r="G19" i="14639" a="1"/>
  <c r="G19" i="14639" s="1"/>
  <c r="G39" i="14639"/>
  <c r="E32" i="14637"/>
  <c r="H36" i="14637"/>
  <c r="F36" i="14637"/>
  <c r="B37" i="14637"/>
  <c r="D33" i="14637"/>
  <c r="H32" i="14637"/>
  <c r="E33" i="14637"/>
  <c r="C32" i="14637"/>
  <c r="I35" i="14637"/>
  <c r="J37" i="14637"/>
  <c r="G32" i="14637"/>
  <c r="E35" i="14637"/>
  <c r="K32" i="14637"/>
  <c r="I33" i="14637"/>
  <c r="M39" i="14637"/>
  <c r="H38" i="14637"/>
  <c r="G37" i="14637"/>
  <c r="C39" i="14637"/>
  <c r="H35" i="14637"/>
  <c r="E39" i="14637"/>
  <c r="O33" i="14639"/>
  <c r="M19" i="14639" a="1"/>
  <c r="M19" i="14639" s="1"/>
  <c r="L37" i="14637"/>
  <c r="B36" i="14637"/>
  <c r="L39" i="14637"/>
  <c r="M37" i="14637"/>
  <c r="D34" i="14637"/>
  <c r="E37" i="14637"/>
  <c r="I34" i="14637"/>
  <c r="M33" i="14637"/>
  <c r="B38" i="14637"/>
  <c r="K38" i="14637"/>
  <c r="L32" i="14637"/>
  <c r="I36" i="14637"/>
  <c r="K33" i="14637"/>
  <c r="D37" i="14637"/>
  <c r="H39" i="14637"/>
  <c r="F32" i="14637"/>
  <c r="C34" i="14637"/>
  <c r="E22" i="14683"/>
  <c r="B35" i="14637"/>
  <c r="I37" i="14637"/>
  <c r="D38" i="14637"/>
  <c r="C37" i="14637"/>
  <c r="G39" i="14637"/>
  <c r="M38" i="14637"/>
  <c r="B34" i="14637"/>
  <c r="J33" i="14637"/>
  <c r="C33" i="14637"/>
  <c r="G35" i="14637"/>
  <c r="B39" i="14637"/>
  <c r="H37" i="14637"/>
  <c r="C35" i="14637"/>
  <c r="L33" i="14637"/>
  <c r="C38" i="14637"/>
  <c r="G33" i="14637"/>
  <c r="E34" i="14637"/>
  <c r="G34" i="14637"/>
  <c r="J36" i="14637"/>
  <c r="J35" i="14637"/>
  <c r="E38" i="14637"/>
  <c r="B32" i="14637"/>
  <c r="J39" i="14637"/>
  <c r="I32" i="14637"/>
  <c r="B33" i="14637"/>
  <c r="M32" i="14637"/>
  <c r="D35" i="14637"/>
  <c r="D36" i="14637"/>
  <c r="H34" i="14637"/>
  <c r="I38" i="14637"/>
  <c r="E36" i="14637"/>
  <c r="J38" i="14637"/>
  <c r="K37" i="14637"/>
  <c r="J32" i="14637"/>
  <c r="K39" i="14637"/>
  <c r="K36" i="14637"/>
  <c r="F33" i="14637"/>
  <c r="H33" i="14637"/>
  <c r="K34" i="14637"/>
  <c r="D32" i="14637"/>
  <c r="J19" i="14639" a="1"/>
  <c r="J19" i="14639" s="1"/>
  <c r="M36" i="14637"/>
  <c r="J34" i="14637"/>
  <c r="M34" i="14637"/>
  <c r="M35" i="14637"/>
  <c r="D39" i="14637"/>
  <c r="F35" i="14637"/>
  <c r="L35" i="14637"/>
  <c r="C36" i="14637"/>
  <c r="F37" i="14637"/>
  <c r="L36" i="14637"/>
  <c r="L34" i="14637"/>
  <c r="K35" i="14637"/>
  <c r="I39" i="14637"/>
  <c r="F34" i="14637"/>
  <c r="F38" i="14637"/>
  <c r="G38" i="14637"/>
  <c r="L38" i="14637"/>
  <c r="F39" i="14637"/>
  <c r="E25" i="14683"/>
  <c r="D5" i="14640"/>
  <c r="D30" i="14710" s="1"/>
  <c r="O31" i="14639"/>
  <c r="E19" i="14639" a="1"/>
  <c r="E19" i="14639" s="1"/>
  <c r="M23" i="14638" a="1"/>
  <c r="M23" i="14638" s="1"/>
  <c r="J20" i="14638" a="1"/>
  <c r="J20" i="14638" s="1"/>
  <c r="P26" i="14638" a="1"/>
  <c r="P26" i="14638" s="1"/>
  <c r="J15" i="14638"/>
  <c r="L22" i="14638" a="1"/>
  <c r="L22" i="14638" s="1"/>
  <c r="N24" i="14638" a="1"/>
  <c r="N24" i="14638" s="1"/>
  <c r="O25" i="14638" a="1"/>
  <c r="O25" i="14638" s="1"/>
  <c r="K21" i="14638" a="1"/>
  <c r="K21" i="14638" s="1"/>
  <c r="K22" i="14638" a="1"/>
  <c r="K22" i="14638" s="1"/>
  <c r="I21" i="14638" a="1"/>
  <c r="I21" i="14638" s="1"/>
  <c r="N13" i="14638"/>
  <c r="B5" i="14640"/>
  <c r="B30" i="14710" s="1"/>
  <c r="M25" i="14638" a="1"/>
  <c r="M25" i="14638" s="1"/>
  <c r="E21" i="14683"/>
  <c r="L5" i="14640"/>
  <c r="L30" i="14710" s="1"/>
  <c r="J5" i="14640"/>
  <c r="J30" i="14710" s="1"/>
  <c r="N26" i="14638" a="1"/>
  <c r="N26" i="14638" s="1"/>
  <c r="E23" i="14683"/>
  <c r="M24" i="14638" a="1"/>
  <c r="M24" i="14638" s="1"/>
  <c r="E19" i="14683"/>
  <c r="N25" i="14638" a="1"/>
  <c r="N25" i="14638" s="1"/>
  <c r="E20" i="14683"/>
  <c r="I20" i="14638" a="1"/>
  <c r="I20" i="14638" s="1"/>
  <c r="H22" i="14638" a="1"/>
  <c r="H22" i="14638" s="1"/>
  <c r="E5" i="14640"/>
  <c r="E30" i="14710" s="1"/>
  <c r="E26" i="14683"/>
  <c r="J21" i="14638" a="1"/>
  <c r="J21" i="14638" s="1"/>
  <c r="O23" i="14638" a="1"/>
  <c r="O23" i="14638" s="1"/>
  <c r="N21" i="14638" a="1"/>
  <c r="N21" i="14638" s="1"/>
  <c r="E22" i="14638" a="1"/>
  <c r="E22" i="14638" s="1"/>
  <c r="D15" i="14638"/>
  <c r="L24" i="14638" a="1"/>
  <c r="L24" i="14638" s="1"/>
  <c r="L23" i="14638" a="1"/>
  <c r="L23" i="14638" s="1"/>
  <c r="K23" i="14638" a="1"/>
  <c r="K23" i="14638" s="1"/>
  <c r="I5" i="14640"/>
  <c r="I30" i="14710" s="1"/>
  <c r="H15" i="14638"/>
  <c r="C5" i="14640"/>
  <c r="C30" i="14710" s="1"/>
  <c r="K5" i="14640"/>
  <c r="K30" i="14710" s="1"/>
  <c r="H20" i="14638" a="1"/>
  <c r="H20" i="14638" s="1"/>
  <c r="O26" i="14638" a="1"/>
  <c r="O26" i="14638" s="1"/>
  <c r="F5" i="14640"/>
  <c r="F30" i="14710" s="1"/>
  <c r="G5" i="14640"/>
  <c r="G30" i="14710" s="1"/>
  <c r="J22" i="14638" a="1"/>
  <c r="J22" i="14638" s="1"/>
  <c r="I15" i="14638"/>
  <c r="M5" i="14640"/>
  <c r="M30" i="14710" s="1"/>
  <c r="D22" i="14638" a="1"/>
  <c r="D22" i="14638" s="1"/>
  <c r="K26" i="14638" a="1"/>
  <c r="K26" i="14638" s="1"/>
  <c r="J23" i="14638" a="1"/>
  <c r="J23" i="14638" s="1"/>
  <c r="Q26" i="14638" a="1"/>
  <c r="Q26" i="14638" s="1"/>
  <c r="N11" i="14638"/>
  <c r="H24" i="14638" a="1"/>
  <c r="H24" i="14638" s="1"/>
  <c r="N22" i="14638" a="1"/>
  <c r="N22" i="14638" s="1"/>
  <c r="J26" i="14638" a="1"/>
  <c r="J26" i="14638" s="1"/>
  <c r="R26" i="14638" a="1"/>
  <c r="R26" i="14638" s="1"/>
  <c r="F23" i="14638" a="1"/>
  <c r="F23" i="14638" s="1"/>
  <c r="F22" i="14638" a="1"/>
  <c r="F22" i="14638" s="1"/>
  <c r="N14" i="14638"/>
  <c r="N10" i="14638"/>
  <c r="I22" i="14638" a="1"/>
  <c r="I22" i="14638" s="1"/>
  <c r="R25" i="14638" a="1"/>
  <c r="R25" i="14638" s="1"/>
  <c r="C20" i="14638" a="1"/>
  <c r="C20" i="14638" s="1"/>
  <c r="E21" i="14638" a="1"/>
  <c r="E21" i="14638" s="1"/>
  <c r="C15" i="14638"/>
  <c r="I25" i="14638" a="1"/>
  <c r="I25" i="14638" s="1"/>
  <c r="B15" i="14638"/>
  <c r="H25" i="14638" a="1"/>
  <c r="H25" i="14638" s="1"/>
  <c r="Q25" i="14638" a="1"/>
  <c r="Q25" i="14638" s="1"/>
  <c r="G24" i="14638" a="1"/>
  <c r="G24" i="14638" s="1"/>
  <c r="M26" i="14638" a="1"/>
  <c r="M26" i="14638" s="1"/>
  <c r="P24" i="14638" a="1"/>
  <c r="P24" i="14638" s="1"/>
  <c r="D21" i="14638" a="1"/>
  <c r="D21" i="14638" s="1"/>
  <c r="K15" i="14638"/>
  <c r="L20" i="14638" a="1"/>
  <c r="L20" i="14638" s="1"/>
  <c r="I26" i="14638" a="1"/>
  <c r="I26" i="14638" s="1"/>
  <c r="L21" i="14638" a="1"/>
  <c r="L21" i="14638" s="1"/>
  <c r="L15" i="14638"/>
  <c r="G23" i="14638" a="1"/>
  <c r="G23" i="14638" s="1"/>
  <c r="M21" i="14638" a="1"/>
  <c r="M21" i="14638" s="1"/>
  <c r="N9" i="14638"/>
  <c r="D20" i="14638" a="1"/>
  <c r="D20" i="14638" s="1"/>
  <c r="N8" i="14638"/>
  <c r="S26" i="14638" a="1"/>
  <c r="S26" i="14638" s="1"/>
  <c r="G26" i="14678" s="1"/>
  <c r="M22" i="14638" a="1"/>
  <c r="M22" i="14638" s="1"/>
  <c r="B20" i="14638" a="1"/>
  <c r="B20" i="14638" s="1"/>
  <c r="B27" i="14638" s="1"/>
  <c r="P23" i="14638" a="1"/>
  <c r="P23" i="14638" s="1"/>
  <c r="P25" i="14638" a="1"/>
  <c r="P25" i="14638" s="1"/>
  <c r="G20" i="14638" a="1"/>
  <c r="G20" i="14638" s="1"/>
  <c r="Q24" i="14638" a="1"/>
  <c r="Q24" i="14638" s="1"/>
  <c r="O24" i="14638" a="1"/>
  <c r="O24" i="14638" s="1"/>
  <c r="H21" i="14638" a="1"/>
  <c r="H21" i="14638" s="1"/>
  <c r="L26" i="14638" a="1"/>
  <c r="L26" i="14638" s="1"/>
  <c r="E20" i="14638" a="1"/>
  <c r="E20" i="14638" s="1"/>
  <c r="K20" i="14638" a="1"/>
  <c r="K20" i="14638" s="1"/>
  <c r="J25" i="14638" a="1"/>
  <c r="J25" i="14638" s="1"/>
  <c r="K24" i="14638" a="1"/>
  <c r="K24" i="14638" s="1"/>
  <c r="H26" i="14638" a="1"/>
  <c r="H26" i="14638" s="1"/>
  <c r="G21" i="14638" a="1"/>
  <c r="G21" i="14638" s="1"/>
  <c r="N23" i="14638" a="1"/>
  <c r="N23" i="14638" s="1"/>
  <c r="E15" i="14638"/>
  <c r="L25" i="14638" a="1"/>
  <c r="L25" i="14638" s="1"/>
  <c r="E23" i="14638" a="1"/>
  <c r="E23" i="14638" s="1"/>
  <c r="I23" i="14638" a="1"/>
  <c r="I23" i="14638" s="1"/>
  <c r="G22" i="14638" a="1"/>
  <c r="G22" i="14638" s="1"/>
  <c r="G15" i="14638"/>
  <c r="N7" i="14638"/>
  <c r="K25" i="14638" a="1"/>
  <c r="K25" i="14638" s="1"/>
  <c r="H23" i="14638" a="1"/>
  <c r="H23" i="14638" s="1"/>
  <c r="G25" i="14638" a="1"/>
  <c r="G25" i="14638" s="1"/>
  <c r="M20" i="14638" a="1"/>
  <c r="M20" i="14638" s="1"/>
  <c r="F20" i="14638" a="1"/>
  <c r="F20" i="14638" s="1"/>
  <c r="N12" i="14638"/>
  <c r="I24" i="14638" a="1"/>
  <c r="I24" i="14638" s="1"/>
  <c r="C21" i="14638" a="1"/>
  <c r="C21" i="14638" s="1"/>
  <c r="O22" i="14638" a="1"/>
  <c r="O22" i="14638" s="1"/>
  <c r="J24" i="14638" a="1"/>
  <c r="J24" i="14638" s="1"/>
  <c r="F21" i="14638" a="1"/>
  <c r="F21" i="14638" s="1"/>
  <c r="F24" i="14638" a="1"/>
  <c r="F24" i="14638" s="1"/>
  <c r="M15" i="14638"/>
  <c r="F15" i="14638"/>
  <c r="N20" i="14668"/>
  <c r="F25" i="14668"/>
  <c r="F36" i="14681" s="1"/>
  <c r="N17" i="14668"/>
  <c r="B7" i="14678" a="1"/>
  <c r="C31" i="14674" a="1"/>
  <c r="B25" i="14668"/>
  <c r="F55" i="14707" a="1"/>
  <c r="B17" i="14669" a="1"/>
  <c r="J33" i="14652" a="1"/>
  <c r="M25" i="14668"/>
  <c r="M36" i="14681" s="1"/>
  <c r="N24" i="14668"/>
  <c r="L25" i="14668"/>
  <c r="L36" i="14681" s="1"/>
  <c r="J25" i="14668"/>
  <c r="J36" i="14681" s="1"/>
  <c r="E25" i="14668"/>
  <c r="E36" i="14681" s="1"/>
  <c r="N22" i="14668"/>
  <c r="I47" i="14643"/>
  <c r="I33" i="14652" a="1"/>
  <c r="H25" i="14668"/>
  <c r="H36" i="14681" s="1"/>
  <c r="K25" i="14668"/>
  <c r="K36" i="14681" s="1"/>
  <c r="D25" i="14668"/>
  <c r="D36" i="14681" s="1"/>
  <c r="N18" i="14668"/>
  <c r="H11" i="14634"/>
  <c r="I25" i="14668"/>
  <c r="I36" i="14681" s="1"/>
  <c r="N19" i="14668"/>
  <c r="N21" i="14668"/>
  <c r="N23" i="14668"/>
  <c r="G25" i="14668"/>
  <c r="G36" i="14681" s="1"/>
  <c r="C25" i="14668"/>
  <c r="C36" i="14681" s="1"/>
  <c r="B35" i="14624" a="1"/>
  <c r="F35" i="14624" s="1"/>
  <c r="M75" i="14665"/>
  <c r="R104" i="14703"/>
  <c r="E11" i="14634"/>
  <c r="K11" i="14634"/>
  <c r="B55" i="14683"/>
  <c r="B56" i="14683"/>
  <c r="B51" i="14683"/>
  <c r="B49" i="14683"/>
  <c r="B53" i="14683"/>
  <c r="B52" i="14683"/>
  <c r="B50" i="14683"/>
  <c r="F34" i="14706"/>
  <c r="H35" i="14706"/>
  <c r="B54" i="14683"/>
  <c r="F32" i="14667"/>
  <c r="H33" i="14667"/>
  <c r="D11" i="14634"/>
  <c r="C11" i="14634"/>
  <c r="F11" i="14634"/>
  <c r="G11" i="14634"/>
  <c r="L11" i="14634"/>
  <c r="M11" i="14634"/>
  <c r="J11" i="14634"/>
  <c r="I11" i="14634"/>
  <c r="N52" i="14695"/>
  <c r="O75" i="14648"/>
  <c r="O15" i="14648"/>
  <c r="I46" i="14643"/>
  <c r="D41" i="14683"/>
  <c r="D35" i="14683"/>
  <c r="D42" i="14683"/>
  <c r="D37" i="14683"/>
  <c r="D40" i="14683"/>
  <c r="D38" i="14683"/>
  <c r="D39" i="14683"/>
  <c r="D34" i="14683"/>
  <c r="I59" i="14643"/>
  <c r="I60" i="14643"/>
  <c r="E6" i="14617"/>
  <c r="Q104" i="14703"/>
  <c r="B215" i="14703" a="1"/>
  <c r="U215" i="14703" s="1"/>
  <c r="I57" i="14643"/>
  <c r="E7" i="14617"/>
  <c r="B51" i="14703" a="1"/>
  <c r="C51" i="14703" s="1"/>
  <c r="B47" i="14703" a="1"/>
  <c r="B47" i="14703" s="1"/>
  <c r="I56" i="14643"/>
  <c r="R76" i="14704" a="1"/>
  <c r="R76" i="14704" s="1"/>
  <c r="F48" i="14643"/>
  <c r="P104" i="14703"/>
  <c r="B106" i="14703" s="1"/>
  <c r="B251" i="14703" a="1"/>
  <c r="C251" i="14703" s="1"/>
  <c r="I55" i="14643"/>
  <c r="I54" i="14643"/>
  <c r="I58" i="14643"/>
  <c r="I53" i="14643"/>
  <c r="I40" i="14643"/>
  <c r="I41" i="14643"/>
  <c r="B49" i="14703" a="1"/>
  <c r="C49" i="14703" s="1"/>
  <c r="W72" i="14704" a="1"/>
  <c r="W72" i="14704" s="1"/>
  <c r="B53" i="14703" a="1"/>
  <c r="L53" i="14703" s="1"/>
  <c r="B50" i="14703" a="1"/>
  <c r="J50" i="14703" s="1"/>
  <c r="U104" i="14703"/>
  <c r="V104" i="14703"/>
  <c r="F61" i="14643"/>
  <c r="H53" i="14643" a="1"/>
  <c r="H53" i="14643" s="1"/>
  <c r="S104" i="14703"/>
  <c r="B161" i="14703" a="1"/>
  <c r="D161" i="14703" s="1"/>
  <c r="B197" i="14703" a="1"/>
  <c r="M197" i="14703" s="1"/>
  <c r="C21" i="14702"/>
  <c r="W104" i="14703"/>
  <c r="B48" i="14703" a="1"/>
  <c r="L48" i="14703" s="1"/>
  <c r="L149" i="14704" a="1"/>
  <c r="O149" i="14704" s="1"/>
  <c r="T104" i="14703"/>
  <c r="B143" i="14703" a="1"/>
  <c r="S143" i="14703" s="1"/>
  <c r="B52" i="14703" a="1"/>
  <c r="H52" i="14703" s="1"/>
  <c r="B125" i="14703" a="1"/>
  <c r="U125" i="14703" s="1"/>
  <c r="B179" i="14703" a="1"/>
  <c r="C179" i="14703" s="1"/>
  <c r="B46" i="14703" a="1"/>
  <c r="D46" i="14703" s="1"/>
  <c r="B233" i="14703" a="1"/>
  <c r="X233" i="14703" s="1"/>
  <c r="L25" i="14702"/>
  <c r="G25" i="14702"/>
  <c r="I43" i="14643"/>
  <c r="I44" i="14643"/>
  <c r="I42" i="14643"/>
  <c r="I45" i="14643"/>
  <c r="N237" i="14704" a="1"/>
  <c r="R237" i="14704" s="1"/>
  <c r="H40" i="14643" a="1"/>
  <c r="H47" i="14643" s="1"/>
  <c r="X104" i="14703"/>
  <c r="Y104" i="14703"/>
  <c r="N219" i="14704" a="1"/>
  <c r="X219" i="14704" s="1"/>
  <c r="O6" i="14633"/>
  <c r="T75" i="14704" a="1"/>
  <c r="T75" i="14704" s="1"/>
  <c r="J77" i="14704" a="1"/>
  <c r="J77" i="14704" s="1"/>
  <c r="M20" i="14702"/>
  <c r="H22" i="14702"/>
  <c r="K26" i="14702"/>
  <c r="F83" i="14704" a="1"/>
  <c r="F83" i="14704" s="1"/>
  <c r="E174" i="14704" a="1"/>
  <c r="O174" i="14704" s="1"/>
  <c r="J78" i="14704" a="1"/>
  <c r="J78" i="14704" s="1"/>
  <c r="O77" i="14704" a="1"/>
  <c r="O77" i="14704" s="1"/>
  <c r="C248" i="14704" a="1"/>
  <c r="I248" i="14704" s="1"/>
  <c r="S76" i="14704" a="1"/>
  <c r="S76" i="14704" s="1"/>
  <c r="D23" i="14702"/>
  <c r="E27" i="14702"/>
  <c r="F22" i="14702"/>
  <c r="G22" i="14702"/>
  <c r="H21" i="14702"/>
  <c r="G23" i="14702"/>
  <c r="N75" i="14704" a="1"/>
  <c r="N75" i="14704" s="1"/>
  <c r="M166" i="14704" a="1"/>
  <c r="M166" i="14704" s="1"/>
  <c r="L82" i="14704" a="1"/>
  <c r="L82" i="14704" s="1"/>
  <c r="N83" i="14704" a="1"/>
  <c r="N83" i="14704" s="1"/>
  <c r="N72" i="14704" a="1"/>
  <c r="N72" i="14704" s="1"/>
  <c r="Q73" i="14704" a="1"/>
  <c r="Q73" i="14704" s="1"/>
  <c r="N147" i="14704" a="1"/>
  <c r="N147" i="14704" s="1"/>
  <c r="Q75" i="14704" a="1"/>
  <c r="Q75" i="14704" s="1"/>
  <c r="D247" i="14704" a="1"/>
  <c r="I247" i="14704" s="1"/>
  <c r="O33" i="14648"/>
  <c r="J6" i="14683" a="1"/>
  <c r="J7" i="14683" s="1"/>
  <c r="M82" i="14704" a="1"/>
  <c r="M82" i="14704" s="1"/>
  <c r="D157" i="14704" a="1"/>
  <c r="J157" i="14704" s="1"/>
  <c r="K27" i="14702"/>
  <c r="G27" i="14702"/>
  <c r="H20" i="14702"/>
  <c r="I20" i="14702"/>
  <c r="M22" i="14702"/>
  <c r="H23" i="14702"/>
  <c r="F20" i="14702"/>
  <c r="D24" i="14702"/>
  <c r="B23" i="14702"/>
  <c r="D27" i="14702"/>
  <c r="F23" i="14702"/>
  <c r="B249" i="14704" a="1"/>
  <c r="G249" i="14704" s="1"/>
  <c r="J151" i="14704" a="1"/>
  <c r="O151" i="14704" s="1"/>
  <c r="P81" i="14704" a="1"/>
  <c r="P81" i="14704" s="1"/>
  <c r="K81" i="14704" a="1"/>
  <c r="K81" i="14704" s="1"/>
  <c r="P79" i="14704" a="1"/>
  <c r="P79" i="14704" s="1"/>
  <c r="R75" i="14704" a="1"/>
  <c r="R75" i="14704" s="1"/>
  <c r="E228" i="14704" a="1"/>
  <c r="L228" i="14704" s="1"/>
  <c r="U73" i="14704" a="1"/>
  <c r="U73" i="14704" s="1"/>
  <c r="P73" i="14704" a="1"/>
  <c r="P73" i="14704" s="1"/>
  <c r="N24" i="14704"/>
  <c r="K168" i="14704" a="1"/>
  <c r="K168" i="14704" s="1"/>
  <c r="J133" i="14704" a="1"/>
  <c r="S133" i="14704" s="1"/>
  <c r="O81" i="14704" a="1"/>
  <c r="O81" i="14704" s="1"/>
  <c r="N81" i="14704" a="1"/>
  <c r="N81" i="14704" s="1"/>
  <c r="K84" i="14704" a="1"/>
  <c r="K84" i="14704" s="1"/>
  <c r="G244" i="14704" a="1"/>
  <c r="P244" i="14704" s="1"/>
  <c r="I242" i="14704" a="1"/>
  <c r="N242" i="14704" s="1"/>
  <c r="M238" i="14704" a="1"/>
  <c r="V238" i="14704" s="1"/>
  <c r="E156" i="14704" a="1"/>
  <c r="K156" i="14704" s="1"/>
  <c r="I80" i="14704" a="1"/>
  <c r="I80" i="14704" s="1"/>
  <c r="H225" i="14704" a="1"/>
  <c r="M225" i="14704" s="1"/>
  <c r="B177" i="14704" a="1"/>
  <c r="I177" i="14704" s="1"/>
  <c r="S73" i="14704" a="1"/>
  <c r="S73" i="14704" s="1"/>
  <c r="O82" i="14704" a="1"/>
  <c r="O82" i="14704" s="1"/>
  <c r="B84" i="14704" a="1"/>
  <c r="B84" i="14704" s="1"/>
  <c r="N84" i="14702" s="1"/>
  <c r="D229" i="14704" a="1"/>
  <c r="E229" i="14704" s="1"/>
  <c r="I224" i="14704" a="1"/>
  <c r="P224" i="14704" s="1"/>
  <c r="M220" i="14704" a="1"/>
  <c r="T220" i="14704" s="1"/>
  <c r="F227" i="14704" a="1"/>
  <c r="E84" i="14704" a="1"/>
  <c r="E84" i="14704" s="1"/>
  <c r="J79" i="14704" a="1"/>
  <c r="J79" i="14704" s="1"/>
  <c r="L77" i="14704" a="1"/>
  <c r="L77" i="14704" s="1"/>
  <c r="L167" i="14704" a="1"/>
  <c r="H171" i="14704" a="1"/>
  <c r="I171" i="14704" s="1"/>
  <c r="I170" i="14704" a="1"/>
  <c r="N170" i="14704" s="1"/>
  <c r="V72" i="14704" a="1"/>
  <c r="V72" i="14704" s="1"/>
  <c r="N80" i="14704" a="1"/>
  <c r="N80" i="14704" s="1"/>
  <c r="J84" i="14704" a="1"/>
  <c r="J84" i="14704" s="1"/>
  <c r="Q77" i="14704" a="1"/>
  <c r="Q77" i="14704" s="1"/>
  <c r="R79" i="14704" a="1"/>
  <c r="R79" i="14704" s="1"/>
  <c r="W74" i="14704" a="1"/>
  <c r="W74" i="14704" s="1"/>
  <c r="Y72" i="14704" a="1"/>
  <c r="Y72" i="14704" s="1"/>
  <c r="Y85" i="14704" s="1"/>
  <c r="X73" i="14704" a="1"/>
  <c r="X73" i="14704" s="1"/>
  <c r="D211" i="14704" a="1"/>
  <c r="E211" i="14704" s="1"/>
  <c r="B28" i="14704"/>
  <c r="D82" i="14704" a="1"/>
  <c r="D82" i="14704" s="1"/>
  <c r="U75" i="14704" a="1"/>
  <c r="U75" i="14704" s="1"/>
  <c r="N73" i="14704" a="1"/>
  <c r="N73" i="14704" s="1"/>
  <c r="M184" i="14704" a="1"/>
  <c r="S184" i="14704" s="1"/>
  <c r="M77" i="14704" a="1"/>
  <c r="M77" i="14704" s="1"/>
  <c r="N74" i="14704" a="1"/>
  <c r="N74" i="14704" s="1"/>
  <c r="L81" i="14704" a="1"/>
  <c r="L81" i="14704" s="1"/>
  <c r="G28" i="14704"/>
  <c r="F155" i="14704" a="1"/>
  <c r="P155" i="14704" s="1"/>
  <c r="G154" i="14704" a="1"/>
  <c r="R154" i="14704" s="1"/>
  <c r="E22" i="14702"/>
  <c r="K22" i="14702"/>
  <c r="J22" i="14702"/>
  <c r="B25" i="14702"/>
  <c r="C20" i="14702"/>
  <c r="C23" i="14702"/>
  <c r="B24" i="14702"/>
  <c r="M24" i="14702"/>
  <c r="L27" i="14702"/>
  <c r="G20" i="14702"/>
  <c r="L24" i="14702"/>
  <c r="E20" i="14702"/>
  <c r="L22" i="14702"/>
  <c r="I24" i="14702"/>
  <c r="K21" i="14702"/>
  <c r="B22" i="14702"/>
  <c r="J26" i="14702"/>
  <c r="C27" i="14702"/>
  <c r="D21" i="14702"/>
  <c r="G26" i="14702"/>
  <c r="L20" i="14702"/>
  <c r="H25" i="14702"/>
  <c r="E21" i="14702"/>
  <c r="D20" i="14702"/>
  <c r="F21" i="14702"/>
  <c r="M79" i="14704" a="1"/>
  <c r="M79" i="14704" s="1"/>
  <c r="I83" i="14704" a="1"/>
  <c r="I83" i="14704" s="1"/>
  <c r="L80" i="14704" a="1"/>
  <c r="L80" i="14704" s="1"/>
  <c r="J241" i="14704" a="1"/>
  <c r="H153" i="14704" a="1"/>
  <c r="M153" i="14704" s="1"/>
  <c r="S78" i="14704" a="1"/>
  <c r="S78" i="14704" s="1"/>
  <c r="H84" i="14704" a="1"/>
  <c r="H84" i="14704" s="1"/>
  <c r="O72" i="14704" a="1"/>
  <c r="O72" i="14704" s="1"/>
  <c r="M76" i="14704" a="1"/>
  <c r="M76" i="14704" s="1"/>
  <c r="K28" i="14704"/>
  <c r="P77" i="14704" a="1"/>
  <c r="P77" i="14704" s="1"/>
  <c r="B231" i="14704" a="1"/>
  <c r="I231" i="14704" s="1"/>
  <c r="P72" i="14704" a="1"/>
  <c r="P72" i="14704" s="1"/>
  <c r="P78" i="14704" a="1"/>
  <c r="P78" i="14704" s="1"/>
  <c r="K204" i="14704" a="1"/>
  <c r="R204" i="14704" s="1"/>
  <c r="G83" i="14704" a="1"/>
  <c r="G83" i="14704" s="1"/>
  <c r="M83" i="14704" a="1"/>
  <c r="M83" i="14704" s="1"/>
  <c r="H83" i="14704" a="1"/>
  <c r="H83" i="14704" s="1"/>
  <c r="I188" i="14704" a="1"/>
  <c r="I188" i="14704" s="1"/>
  <c r="J169" i="14704" a="1"/>
  <c r="J11" i="14707" a="1"/>
  <c r="J12" i="14707" s="1"/>
  <c r="N129" i="14704" a="1"/>
  <c r="S129" i="14704" s="1"/>
  <c r="R77" i="14704" a="1"/>
  <c r="R77" i="14704" s="1"/>
  <c r="Q78" i="14704" a="1"/>
  <c r="Q78" i="14704" s="1"/>
  <c r="V73" i="14704" a="1"/>
  <c r="V73" i="14704" s="1"/>
  <c r="U74" i="14704" a="1"/>
  <c r="U74" i="14704" s="1"/>
  <c r="O80" i="14704" a="1"/>
  <c r="O80" i="14704" s="1"/>
  <c r="L83" i="14704" a="1"/>
  <c r="L83" i="14704" s="1"/>
  <c r="K240" i="14704" a="1"/>
  <c r="Q240" i="14704" s="1"/>
  <c r="H243" i="14704" a="1"/>
  <c r="Q243" i="14704" s="1"/>
  <c r="E246" i="14704" a="1"/>
  <c r="P246" i="14704" s="1"/>
  <c r="F245" i="14704" a="1"/>
  <c r="L239" i="14704" a="1"/>
  <c r="S239" i="14704" s="1"/>
  <c r="N27" i="14704"/>
  <c r="B159" i="14704" a="1"/>
  <c r="M159" i="14704" s="1"/>
  <c r="I152" i="14704" a="1"/>
  <c r="C158" i="14704" a="1"/>
  <c r="I158" i="14704" s="1"/>
  <c r="N22" i="14704"/>
  <c r="M148" i="14704" a="1"/>
  <c r="P148" i="14704" s="1"/>
  <c r="K150" i="14704" a="1"/>
  <c r="E28" i="14704"/>
  <c r="G82" i="14704" a="1"/>
  <c r="G82" i="14704" s="1"/>
  <c r="K78" i="14704" a="1"/>
  <c r="K78" i="14704" s="1"/>
  <c r="Q72" i="14704" a="1"/>
  <c r="Q72" i="14704" s="1"/>
  <c r="H81" i="14704" a="1"/>
  <c r="H81" i="14704" s="1"/>
  <c r="O74" i="14704" a="1"/>
  <c r="O74" i="14704" s="1"/>
  <c r="N26" i="14704"/>
  <c r="L221" i="14704" a="1"/>
  <c r="R221" i="14704" s="1"/>
  <c r="J223" i="14704" a="1"/>
  <c r="K223" i="14704" s="1"/>
  <c r="K222" i="14704" a="1"/>
  <c r="L222" i="14704" s="1"/>
  <c r="G226" i="14704" a="1"/>
  <c r="I226" i="14704" s="1"/>
  <c r="C230" i="14704" a="1"/>
  <c r="D175" i="14704" a="1"/>
  <c r="E175" i="14704" s="1"/>
  <c r="C176" i="14704" a="1"/>
  <c r="J176" i="14704" s="1"/>
  <c r="N23" i="14704"/>
  <c r="N165" i="14704" a="1"/>
  <c r="F173" i="14704" a="1"/>
  <c r="N173" i="14704" s="1"/>
  <c r="G172" i="14704" a="1"/>
  <c r="S75" i="14704" a="1"/>
  <c r="S75" i="14704" s="1"/>
  <c r="K83" i="14704" a="1"/>
  <c r="K83" i="14704" s="1"/>
  <c r="M81" i="14704" a="1"/>
  <c r="M81" i="14704" s="1"/>
  <c r="J28" i="14704"/>
  <c r="T74" i="14704" a="1"/>
  <c r="T74" i="14704" s="1"/>
  <c r="O79" i="14704" a="1"/>
  <c r="O79" i="14704" s="1"/>
  <c r="P76" i="14704" a="1"/>
  <c r="P76" i="14704" s="1"/>
  <c r="R74" i="14704" a="1"/>
  <c r="R74" i="14704" s="1"/>
  <c r="J82" i="14704" a="1"/>
  <c r="J82" i="14704" s="1"/>
  <c r="H28" i="14704"/>
  <c r="N78" i="14704" a="1"/>
  <c r="N78" i="14704" s="1"/>
  <c r="T72" i="14704" a="1"/>
  <c r="T72" i="14704" s="1"/>
  <c r="M84" i="14704" a="1"/>
  <c r="M84" i="14704" s="1"/>
  <c r="T77" i="14704" a="1"/>
  <c r="T77" i="14704" s="1"/>
  <c r="U76" i="14704" a="1"/>
  <c r="U76" i="14704" s="1"/>
  <c r="M28" i="14704"/>
  <c r="V75" i="14704" a="1"/>
  <c r="V75" i="14704" s="1"/>
  <c r="Q80" i="14704" a="1"/>
  <c r="Q80" i="14704" s="1"/>
  <c r="N25" i="14704"/>
  <c r="G79" i="14704" a="1"/>
  <c r="G79" i="14704" s="1"/>
  <c r="C83" i="14704" a="1"/>
  <c r="C83" i="14704" s="1"/>
  <c r="J115" i="14704" a="1"/>
  <c r="O115" i="14704" s="1"/>
  <c r="D121" i="14704" a="1"/>
  <c r="M74" i="14704" a="1"/>
  <c r="M74" i="14704" s="1"/>
  <c r="B141" i="14704" a="1"/>
  <c r="F84" i="14704" a="1"/>
  <c r="F84" i="14704" s="1"/>
  <c r="O73" i="14704" a="1"/>
  <c r="O73" i="14704" s="1"/>
  <c r="Q74" i="14704" a="1"/>
  <c r="Q74" i="14704" s="1"/>
  <c r="I84" i="14704" a="1"/>
  <c r="I84" i="14704" s="1"/>
  <c r="C15" i="14665"/>
  <c r="H135" i="14704" a="1"/>
  <c r="K135" i="14704" s="1"/>
  <c r="I134" i="14704" a="1"/>
  <c r="C140" i="14704" a="1"/>
  <c r="M140" i="14704" s="1"/>
  <c r="E138" i="14704" a="1"/>
  <c r="E138" i="14704" s="1"/>
  <c r="C212" i="14704" a="1"/>
  <c r="F212" i="14704" s="1"/>
  <c r="E210" i="14704" a="1"/>
  <c r="L203" i="14704" a="1"/>
  <c r="O203" i="14704" s="1"/>
  <c r="H207" i="14704" a="1"/>
  <c r="I207" i="14704" s="1"/>
  <c r="I77" i="14704" a="1"/>
  <c r="I77" i="14704" s="1"/>
  <c r="E120" i="14704" a="1"/>
  <c r="J120" i="14704" s="1"/>
  <c r="H78" i="14704" a="1"/>
  <c r="H78" i="14704" s="1"/>
  <c r="B32" i="14704" a="1"/>
  <c r="K39" i="14704" s="1"/>
  <c r="F80" i="14704" a="1"/>
  <c r="F80" i="14704" s="1"/>
  <c r="B123" i="14704" a="1"/>
  <c r="K123" i="14704" s="1"/>
  <c r="H117" i="14704" a="1"/>
  <c r="N117" i="14704" s="1"/>
  <c r="T76" i="14704" a="1"/>
  <c r="T76" i="14704" s="1"/>
  <c r="W73" i="14704" a="1"/>
  <c r="W73" i="14704" s="1"/>
  <c r="L84" i="14704" a="1"/>
  <c r="L84" i="14704" s="1"/>
  <c r="S77" i="14704" a="1"/>
  <c r="S77" i="14704" s="1"/>
  <c r="E82" i="14704" a="1"/>
  <c r="E82" i="14704" s="1"/>
  <c r="F81" i="14704" a="1"/>
  <c r="F81" i="14704" s="1"/>
  <c r="L75" i="14704" a="1"/>
  <c r="L75" i="14704" s="1"/>
  <c r="D193" i="14704" a="1"/>
  <c r="G193" i="14704" s="1"/>
  <c r="L185" i="14704" a="1"/>
  <c r="W185" i="14704" s="1"/>
  <c r="E192" i="14704" a="1"/>
  <c r="E192" i="14704" s="1"/>
  <c r="H189" i="14704" a="1"/>
  <c r="O75" i="14704" a="1"/>
  <c r="O75" i="14704" s="1"/>
  <c r="F28" i="14704"/>
  <c r="N76" i="14704" a="1"/>
  <c r="N76" i="14704" s="1"/>
  <c r="D84" i="14704" a="1"/>
  <c r="D84" i="14704" s="1"/>
  <c r="I79" i="14704" a="1"/>
  <c r="I79" i="14704" s="1"/>
  <c r="K77" i="14704" a="1"/>
  <c r="K77" i="14704" s="1"/>
  <c r="U72" i="14704" a="1"/>
  <c r="U72" i="14704" s="1"/>
  <c r="I28" i="14704"/>
  <c r="S74" i="14704" a="1"/>
  <c r="S74" i="14704" s="1"/>
  <c r="I82" i="14704" a="1"/>
  <c r="I82" i="14704" s="1"/>
  <c r="G84" i="14704" a="1"/>
  <c r="G84" i="14704" s="1"/>
  <c r="L79" i="14704" a="1"/>
  <c r="L79" i="14704" s="1"/>
  <c r="N77" i="14704" a="1"/>
  <c r="N77" i="14704" s="1"/>
  <c r="F3" i="14706"/>
  <c r="D139" i="14704" a="1"/>
  <c r="E139" i="14704" s="1"/>
  <c r="I206" i="14704" a="1"/>
  <c r="J206" i="14704" s="1"/>
  <c r="L74" i="14704" a="1"/>
  <c r="L74" i="14704" s="1"/>
  <c r="L28" i="14704"/>
  <c r="H79" i="14704" a="1"/>
  <c r="H79" i="14704" s="1"/>
  <c r="K79" i="14704" a="1"/>
  <c r="K79" i="14704" s="1"/>
  <c r="H80" i="14704" a="1"/>
  <c r="H80" i="14704" s="1"/>
  <c r="J83" i="14704" a="1"/>
  <c r="J83" i="14704" s="1"/>
  <c r="P75" i="14704" a="1"/>
  <c r="P75" i="14704" s="1"/>
  <c r="K23" i="14702"/>
  <c r="F26" i="14702"/>
  <c r="H27" i="14702"/>
  <c r="K25" i="14702"/>
  <c r="E25" i="14702"/>
  <c r="M23" i="14702"/>
  <c r="K20" i="14702"/>
  <c r="F24" i="14702"/>
  <c r="G21" i="14702"/>
  <c r="L21" i="14702"/>
  <c r="C22" i="14702"/>
  <c r="B26" i="14702"/>
  <c r="H26" i="14702"/>
  <c r="J27" i="14702"/>
  <c r="C24" i="14702"/>
  <c r="D25" i="14702"/>
  <c r="E26" i="14702"/>
  <c r="C25" i="14702"/>
  <c r="G24" i="14702"/>
  <c r="I22" i="14702"/>
  <c r="M25" i="14702"/>
  <c r="M27" i="14702"/>
  <c r="D26" i="14702"/>
  <c r="I23" i="14702"/>
  <c r="I21" i="14702"/>
  <c r="B27" i="14702"/>
  <c r="L26" i="14702"/>
  <c r="J24" i="14702"/>
  <c r="J23" i="14702"/>
  <c r="D22" i="14702"/>
  <c r="I27" i="14702"/>
  <c r="I26" i="14702"/>
  <c r="F25" i="14702"/>
  <c r="C26" i="14702"/>
  <c r="B20" i="14702"/>
  <c r="J21" i="14702"/>
  <c r="F27" i="14702"/>
  <c r="E23" i="14702"/>
  <c r="J20" i="14702"/>
  <c r="K24" i="14702"/>
  <c r="M26" i="14702"/>
  <c r="L23" i="14702"/>
  <c r="E24" i="14702"/>
  <c r="I25" i="14702"/>
  <c r="J25" i="14702"/>
  <c r="H24" i="14702"/>
  <c r="M21" i="14702"/>
  <c r="N201" i="14704" a="1"/>
  <c r="X201" i="14704" s="1"/>
  <c r="G208" i="14704" a="1"/>
  <c r="M202" i="14704" a="1"/>
  <c r="R202" i="14704" s="1"/>
  <c r="J205" i="14704" a="1"/>
  <c r="N205" i="14704" s="1"/>
  <c r="B213" i="14704" a="1"/>
  <c r="B213" i="14704" s="1"/>
  <c r="F209" i="14704" a="1"/>
  <c r="H209" i="14704" s="1"/>
  <c r="K114" i="14704" a="1"/>
  <c r="O114" i="14704" s="1"/>
  <c r="M112" i="14704" a="1"/>
  <c r="G118" i="14704" a="1"/>
  <c r="G118" i="14704" s="1"/>
  <c r="L113" i="14704" a="1"/>
  <c r="Q113" i="14704" s="1"/>
  <c r="N111" i="14704" a="1"/>
  <c r="T111" i="14704" s="1"/>
  <c r="F119" i="14704" a="1"/>
  <c r="I119" i="14704" s="1"/>
  <c r="M73" i="14704" a="1"/>
  <c r="M73" i="14704" s="1"/>
  <c r="I116" i="14704" a="1"/>
  <c r="J76" i="14704" a="1"/>
  <c r="J76" i="14704" s="1"/>
  <c r="C122" i="14704" a="1"/>
  <c r="H122" i="14704" s="1"/>
  <c r="E81" i="14704" a="1"/>
  <c r="E81" i="14704" s="1"/>
  <c r="K75" i="14704" a="1"/>
  <c r="K75" i="14704" s="1"/>
  <c r="N20" i="14704"/>
  <c r="F191" i="14704" a="1"/>
  <c r="G191" i="14704" s="1"/>
  <c r="K186" i="14704" a="1"/>
  <c r="N186" i="14704" s="1"/>
  <c r="B195" i="14704" a="1"/>
  <c r="D195" i="14704" s="1"/>
  <c r="C194" i="14704" a="1"/>
  <c r="N194" i="14704" s="1"/>
  <c r="N183" i="14704" a="1"/>
  <c r="P183" i="14704" s="1"/>
  <c r="G190" i="14704" a="1"/>
  <c r="R190" i="14704" s="1"/>
  <c r="J187" i="14704" a="1"/>
  <c r="R187" i="14704" s="1"/>
  <c r="C28" i="14704"/>
  <c r="I78" i="14704" a="1"/>
  <c r="I78" i="14704" s="1"/>
  <c r="G80" i="14704" a="1"/>
  <c r="G80" i="14704" s="1"/>
  <c r="D83" i="14704" a="1"/>
  <c r="D83" i="14704" s="1"/>
  <c r="C84" i="14704" a="1"/>
  <c r="C84" i="14704" s="1"/>
  <c r="K76" i="14704" a="1"/>
  <c r="K76" i="14704" s="1"/>
  <c r="K132" i="14704" a="1"/>
  <c r="M132" i="14704" s="1"/>
  <c r="L131" i="14704" a="1"/>
  <c r="N131" i="14704" s="1"/>
  <c r="M130" i="14704" a="1"/>
  <c r="U130" i="14704" s="1"/>
  <c r="G136" i="14704" a="1"/>
  <c r="R136" i="14704" s="1"/>
  <c r="N21" i="14704"/>
  <c r="F137" i="14704" a="1"/>
  <c r="H137" i="14704" s="1"/>
  <c r="R72" i="14704" a="1"/>
  <c r="R72" i="14704" s="1"/>
  <c r="J80" i="14704" a="1"/>
  <c r="J80" i="14704" s="1"/>
  <c r="I81" i="14704" a="1"/>
  <c r="I81" i="14704" s="1"/>
  <c r="H82" i="14704" a="1"/>
  <c r="H82" i="14704" s="1"/>
  <c r="P74" i="14704" a="1"/>
  <c r="P74" i="14704" s="1"/>
  <c r="L78" i="14704" a="1"/>
  <c r="L78" i="14704" s="1"/>
  <c r="V74" i="14704" a="1"/>
  <c r="V74" i="14704" s="1"/>
  <c r="R78" i="14704" a="1"/>
  <c r="R78" i="14704" s="1"/>
  <c r="N82" i="14704" a="1"/>
  <c r="N82" i="14704" s="1"/>
  <c r="P80" i="14704" a="1"/>
  <c r="P80" i="14704" s="1"/>
  <c r="X72" i="14704" a="1"/>
  <c r="X72" i="14704" s="1"/>
  <c r="Q79" i="14704" a="1"/>
  <c r="Q79" i="14704" s="1"/>
  <c r="E83" i="14704" a="1"/>
  <c r="E83" i="14704" s="1"/>
  <c r="G81" i="14704" a="1"/>
  <c r="G81" i="14704" s="1"/>
  <c r="F82" i="14704" a="1"/>
  <c r="F82" i="14704" s="1"/>
  <c r="D28" i="14704"/>
  <c r="M75" i="14704" a="1"/>
  <c r="M75" i="14704" s="1"/>
  <c r="L76" i="14704" a="1"/>
  <c r="L76" i="14704" s="1"/>
  <c r="O76" i="14704" a="1"/>
  <c r="O76" i="14704" s="1"/>
  <c r="J81" i="14704" a="1"/>
  <c r="J81" i="14704" s="1"/>
  <c r="M78" i="14704" a="1"/>
  <c r="M78" i="14704" s="1"/>
  <c r="R73" i="14704" a="1"/>
  <c r="R73" i="14704" s="1"/>
  <c r="K80" i="14704" a="1"/>
  <c r="K80" i="14704" s="1"/>
  <c r="S72" i="14704" a="1"/>
  <c r="S72" i="14704" s="1"/>
  <c r="T73" i="14704" a="1"/>
  <c r="T73" i="14704" s="1"/>
  <c r="N79" i="14704" a="1"/>
  <c r="N79" i="14704" s="1"/>
  <c r="Q76" i="14704" a="1"/>
  <c r="Q76" i="14704" s="1"/>
  <c r="K82" i="14704" a="1"/>
  <c r="K82" i="14704" s="1"/>
  <c r="M80" i="14704" a="1"/>
  <c r="M80" i="14704" s="1"/>
  <c r="O78" i="14704" a="1"/>
  <c r="O78" i="14704" s="1"/>
  <c r="G5" i="14661"/>
  <c r="F5" i="14661"/>
  <c r="H5" i="14661"/>
  <c r="E5" i="14661"/>
  <c r="N48" i="14694"/>
  <c r="C17" i="14676" a="1"/>
  <c r="O60" i="14648"/>
  <c r="O45" i="14648"/>
  <c r="N59" i="14695"/>
  <c r="N24" i="14694"/>
  <c r="C8" i="14628" a="1"/>
  <c r="C17" i="14625" a="1"/>
  <c r="N38" i="14695"/>
  <c r="N31" i="14695"/>
  <c r="N63" i="14694"/>
  <c r="N40" i="14694"/>
  <c r="C17" i="14641" a="1"/>
  <c r="C8" i="14639" a="1"/>
  <c r="C8" i="14674" a="1"/>
  <c r="N45" i="14695"/>
  <c r="N32" i="14694"/>
  <c r="C8" i="14634" a="1"/>
  <c r="C17" i="14633" a="1"/>
  <c r="N56" i="14694"/>
  <c r="C8" i="14675" a="1"/>
  <c r="C17" i="14677" a="1"/>
  <c r="O30" i="14648"/>
  <c r="N24" i="14695"/>
  <c r="B15" i="14665"/>
  <c r="B75" i="14665"/>
  <c r="H3" i="14706"/>
  <c r="B19" i="4129"/>
  <c r="B6" i="14659"/>
  <c r="B30" i="14659" s="1"/>
  <c r="N5" i="14653"/>
  <c r="D5" i="14661"/>
  <c r="C33" i="14686"/>
  <c r="B77" i="14665"/>
  <c r="E3" i="14705"/>
  <c r="A3" i="14626"/>
  <c r="H3" i="14667"/>
  <c r="K40" i="14637"/>
  <c r="B40" i="14637"/>
  <c r="G40" i="14637"/>
  <c r="I40" i="14637"/>
  <c r="L40" i="14637"/>
  <c r="D40" i="14637"/>
  <c r="E40" i="14637"/>
  <c r="H40" i="14637"/>
  <c r="M40" i="14637"/>
  <c r="J40" i="14637"/>
  <c r="F40" i="14637"/>
  <c r="H17" i="14707"/>
  <c r="D8" i="14710"/>
  <c r="E11" i="14657"/>
  <c r="H11" i="14707"/>
  <c r="H14" i="14707"/>
  <c r="H16" i="14707"/>
  <c r="H6" i="14683"/>
  <c r="H12" i="14683"/>
  <c r="H10" i="14683"/>
  <c r="H11" i="14683"/>
  <c r="H8" i="14683"/>
  <c r="H13" i="14683"/>
  <c r="H9" i="14683"/>
  <c r="H12" i="14707"/>
  <c r="H13" i="14707"/>
  <c r="H18" i="14707"/>
  <c r="E32" i="14707"/>
  <c r="F24" i="14707" s="1" a="1"/>
  <c r="N35" i="14637"/>
  <c r="N32" i="14637"/>
  <c r="N37" i="14637"/>
  <c r="U149" i="14700"/>
  <c r="L149" i="14700"/>
  <c r="P149" i="14700"/>
  <c r="Q149" i="14700"/>
  <c r="M149" i="14700"/>
  <c r="V149" i="14700"/>
  <c r="N149" i="14700"/>
  <c r="R149" i="14700"/>
  <c r="T149" i="14700"/>
  <c r="O149" i="14700"/>
  <c r="W149" i="14700"/>
  <c r="S149" i="14700"/>
  <c r="L150" i="14700"/>
  <c r="U150" i="14700"/>
  <c r="Q150" i="14700"/>
  <c r="V150" i="14700"/>
  <c r="M150" i="14700"/>
  <c r="N150" i="14700"/>
  <c r="P150" i="14700"/>
  <c r="K150" i="14700"/>
  <c r="S150" i="14700"/>
  <c r="O150" i="14700"/>
  <c r="T150" i="14700"/>
  <c r="R150" i="14700"/>
  <c r="K158" i="14700"/>
  <c r="D158" i="14700"/>
  <c r="L158" i="14700"/>
  <c r="F158" i="14700"/>
  <c r="J158" i="14700"/>
  <c r="H158" i="14700"/>
  <c r="E158" i="14700"/>
  <c r="M158" i="14700"/>
  <c r="I158" i="14700"/>
  <c r="C158" i="14700"/>
  <c r="G158" i="14700"/>
  <c r="N158" i="14700"/>
  <c r="I152" i="14700"/>
  <c r="K152" i="14700"/>
  <c r="R152" i="14700"/>
  <c r="P152" i="14700"/>
  <c r="J152" i="14700"/>
  <c r="S152" i="14700"/>
  <c r="Q152" i="14700"/>
  <c r="T152" i="14700"/>
  <c r="N152" i="14700"/>
  <c r="M152" i="14700"/>
  <c r="L152" i="14700"/>
  <c r="O152" i="14700"/>
  <c r="O148" i="14700"/>
  <c r="T148" i="14700"/>
  <c r="V148" i="14700"/>
  <c r="R148" i="14700"/>
  <c r="Q148" i="14700"/>
  <c r="X148" i="14700"/>
  <c r="N148" i="14700"/>
  <c r="P148" i="14700"/>
  <c r="M148" i="14700"/>
  <c r="S148" i="14700"/>
  <c r="W148" i="14700"/>
  <c r="U148" i="14700"/>
  <c r="I154" i="14700"/>
  <c r="O154" i="14700"/>
  <c r="M154" i="14700"/>
  <c r="K154" i="14700"/>
  <c r="J154" i="14700"/>
  <c r="Q154" i="14700"/>
  <c r="L154" i="14700"/>
  <c r="N154" i="14700"/>
  <c r="R154" i="14700"/>
  <c r="P154" i="14700"/>
  <c r="G154" i="14700"/>
  <c r="H154" i="14700"/>
  <c r="E85" i="14700"/>
  <c r="Q81" i="14698" a="1"/>
  <c r="E66" i="14643" a="1"/>
  <c r="E34" i="14683" a="1"/>
  <c r="F85" i="14700"/>
  <c r="R80" i="14698" a="1"/>
  <c r="J123" i="14700"/>
  <c r="C123" i="14700"/>
  <c r="O123" i="14698" s="1"/>
  <c r="K123" i="14700"/>
  <c r="L123" i="14700"/>
  <c r="F123" i="14700"/>
  <c r="G123" i="14700"/>
  <c r="I123" i="14700"/>
  <c r="B123" i="14700"/>
  <c r="M123" i="14700"/>
  <c r="D123" i="14700"/>
  <c r="E123" i="14700"/>
  <c r="H123" i="14700"/>
  <c r="S115" i="14700"/>
  <c r="J115" i="14700"/>
  <c r="R115" i="14700"/>
  <c r="T115" i="14700"/>
  <c r="N115" i="14700"/>
  <c r="K115" i="14700"/>
  <c r="Q115" i="14700"/>
  <c r="P115" i="14700"/>
  <c r="L115" i="14700"/>
  <c r="U115" i="14700"/>
  <c r="M115" i="14700"/>
  <c r="O115" i="14700"/>
  <c r="V76" i="14698" a="1"/>
  <c r="J85" i="14700"/>
  <c r="R112" i="14700"/>
  <c r="O112" i="14700"/>
  <c r="V112" i="14700"/>
  <c r="X112" i="14700"/>
  <c r="Q112" i="14700"/>
  <c r="M112" i="14700"/>
  <c r="T112" i="14700"/>
  <c r="U112" i="14700"/>
  <c r="S112" i="14700"/>
  <c r="W112" i="14700"/>
  <c r="P112" i="14700"/>
  <c r="N112" i="14700"/>
  <c r="B9" i="14640" a="1"/>
  <c r="N28" i="14700"/>
  <c r="E13" i="14657" s="1"/>
  <c r="O116" i="14700"/>
  <c r="N116" i="14700"/>
  <c r="I116" i="14700"/>
  <c r="Q116" i="14700"/>
  <c r="T116" i="14700"/>
  <c r="L116" i="14700"/>
  <c r="K116" i="14700"/>
  <c r="S116" i="14700"/>
  <c r="M116" i="14700"/>
  <c r="J116" i="14700"/>
  <c r="P116" i="14700"/>
  <c r="R116" i="14700"/>
  <c r="L85" i="14700"/>
  <c r="X74" i="14698" a="1"/>
  <c r="J117" i="14700"/>
  <c r="I117" i="14700"/>
  <c r="M117" i="14700"/>
  <c r="N117" i="14700"/>
  <c r="R117" i="14700"/>
  <c r="L117" i="14700"/>
  <c r="Q117" i="14700"/>
  <c r="S117" i="14700"/>
  <c r="O117" i="14700"/>
  <c r="H117" i="14700"/>
  <c r="K117" i="14700"/>
  <c r="P117" i="14700"/>
  <c r="R114" i="14700"/>
  <c r="N114" i="14700"/>
  <c r="O114" i="14700"/>
  <c r="P114" i="14700"/>
  <c r="K114" i="14700"/>
  <c r="S114" i="14700"/>
  <c r="U114" i="14700"/>
  <c r="V114" i="14700"/>
  <c r="T114" i="14700"/>
  <c r="L114" i="14700"/>
  <c r="M114" i="14700"/>
  <c r="Q114" i="14700"/>
  <c r="B85" i="14700"/>
  <c r="N84" i="14698"/>
  <c r="N85" i="14698" s="1"/>
  <c r="O83" i="14698" a="1"/>
  <c r="C85" i="14700"/>
  <c r="F122" i="14700"/>
  <c r="G122" i="14700"/>
  <c r="I122" i="14700"/>
  <c r="J122" i="14700"/>
  <c r="E122" i="14700"/>
  <c r="M122" i="14700"/>
  <c r="D122" i="14700"/>
  <c r="L122" i="14700"/>
  <c r="C122" i="14700"/>
  <c r="H122" i="14700"/>
  <c r="K122" i="14700"/>
  <c r="N122" i="14700"/>
  <c r="F213" i="14700"/>
  <c r="M213" i="14700"/>
  <c r="G213" i="14700"/>
  <c r="D213" i="14700"/>
  <c r="J213" i="14700"/>
  <c r="L213" i="14700"/>
  <c r="H213" i="14700"/>
  <c r="K213" i="14700"/>
  <c r="C213" i="14700"/>
  <c r="O213" i="14698" s="1"/>
  <c r="I213" i="14700"/>
  <c r="E213" i="14700"/>
  <c r="B213" i="14700"/>
  <c r="S204" i="14700"/>
  <c r="Q204" i="14700"/>
  <c r="T204" i="14700"/>
  <c r="R204" i="14700"/>
  <c r="O204" i="14700"/>
  <c r="M204" i="14700"/>
  <c r="U204" i="14700"/>
  <c r="P204" i="14700"/>
  <c r="V204" i="14700"/>
  <c r="N204" i="14700"/>
  <c r="L204" i="14700"/>
  <c r="K204" i="14700"/>
  <c r="L209" i="14700"/>
  <c r="M209" i="14700"/>
  <c r="P209" i="14700"/>
  <c r="N209" i="14700"/>
  <c r="G209" i="14700"/>
  <c r="F209" i="14700"/>
  <c r="H209" i="14700"/>
  <c r="K209" i="14700"/>
  <c r="I209" i="14700"/>
  <c r="J209" i="14700"/>
  <c r="Q209" i="14700"/>
  <c r="O209" i="14700"/>
  <c r="O201" i="14700"/>
  <c r="V201" i="14700"/>
  <c r="N201" i="14700"/>
  <c r="S201" i="14700"/>
  <c r="T201" i="14700"/>
  <c r="R201" i="14700"/>
  <c r="X201" i="14700"/>
  <c r="P201" i="14700"/>
  <c r="U201" i="14700"/>
  <c r="Q201" i="14700"/>
  <c r="Y201" i="14700"/>
  <c r="W201" i="14700"/>
  <c r="T203" i="14700"/>
  <c r="U203" i="14700"/>
  <c r="P203" i="14700"/>
  <c r="Q203" i="14700"/>
  <c r="S203" i="14700"/>
  <c r="M203" i="14700"/>
  <c r="N203" i="14700"/>
  <c r="W203" i="14700"/>
  <c r="V203" i="14700"/>
  <c r="O203" i="14700"/>
  <c r="L203" i="14700"/>
  <c r="R203" i="14700"/>
  <c r="C212" i="14700"/>
  <c r="D212" i="14700"/>
  <c r="I212" i="14700"/>
  <c r="H212" i="14700"/>
  <c r="E212" i="14700"/>
  <c r="N212" i="14700"/>
  <c r="F212" i="14700"/>
  <c r="L212" i="14700"/>
  <c r="K212" i="14700"/>
  <c r="G212" i="14700"/>
  <c r="M212" i="14700"/>
  <c r="J212" i="14700"/>
  <c r="O211" i="14700"/>
  <c r="M211" i="14700"/>
  <c r="H211" i="14700"/>
  <c r="N211" i="14700"/>
  <c r="F211" i="14700"/>
  <c r="D211" i="14700"/>
  <c r="K211" i="14700"/>
  <c r="I211" i="14700"/>
  <c r="L211" i="14700"/>
  <c r="J211" i="14700"/>
  <c r="E211" i="14700"/>
  <c r="G211" i="14700"/>
  <c r="L226" i="14700"/>
  <c r="Q226" i="14700"/>
  <c r="M226" i="14700"/>
  <c r="J226" i="14700"/>
  <c r="H226" i="14700"/>
  <c r="K226" i="14700"/>
  <c r="N226" i="14700"/>
  <c r="R226" i="14700"/>
  <c r="P226" i="14700"/>
  <c r="I226" i="14700"/>
  <c r="G226" i="14700"/>
  <c r="O226" i="14700"/>
  <c r="G231" i="14700"/>
  <c r="J231" i="14700"/>
  <c r="B231" i="14700"/>
  <c r="L231" i="14700"/>
  <c r="D231" i="14700"/>
  <c r="H231" i="14700"/>
  <c r="C231" i="14700"/>
  <c r="O231" i="14698" s="1"/>
  <c r="E231" i="14700"/>
  <c r="M231" i="14700"/>
  <c r="F231" i="14700"/>
  <c r="K231" i="14700"/>
  <c r="I231" i="14700"/>
  <c r="K229" i="14700"/>
  <c r="L229" i="14700"/>
  <c r="G229" i="14700"/>
  <c r="I229" i="14700"/>
  <c r="N229" i="14700"/>
  <c r="D229" i="14700"/>
  <c r="H229" i="14700"/>
  <c r="E229" i="14700"/>
  <c r="M229" i="14700"/>
  <c r="O229" i="14700"/>
  <c r="J229" i="14700"/>
  <c r="F229" i="14700"/>
  <c r="X219" i="14700"/>
  <c r="V219" i="14700"/>
  <c r="T219" i="14700"/>
  <c r="N219" i="14700"/>
  <c r="P219" i="14700"/>
  <c r="Q219" i="14700"/>
  <c r="W219" i="14700"/>
  <c r="Y219" i="14700"/>
  <c r="S219" i="14700"/>
  <c r="O219" i="14700"/>
  <c r="U219" i="14700"/>
  <c r="R219" i="14700"/>
  <c r="O223" i="14700"/>
  <c r="L223" i="14700"/>
  <c r="U223" i="14700"/>
  <c r="T223" i="14700"/>
  <c r="N223" i="14700"/>
  <c r="R223" i="14700"/>
  <c r="S223" i="14700"/>
  <c r="P223" i="14700"/>
  <c r="K223" i="14700"/>
  <c r="J223" i="14700"/>
  <c r="Q223" i="14700"/>
  <c r="M223" i="14700"/>
  <c r="I228" i="14700"/>
  <c r="K228" i="14700"/>
  <c r="E228" i="14700"/>
  <c r="G228" i="14700"/>
  <c r="J228" i="14700"/>
  <c r="O228" i="14700"/>
  <c r="L228" i="14700"/>
  <c r="N228" i="14700"/>
  <c r="F228" i="14700"/>
  <c r="M228" i="14700"/>
  <c r="P228" i="14700"/>
  <c r="H228" i="14700"/>
  <c r="H141" i="14700"/>
  <c r="M141" i="14700"/>
  <c r="G141" i="14700"/>
  <c r="J141" i="14700"/>
  <c r="B141" i="14700"/>
  <c r="E141" i="14700"/>
  <c r="F141" i="14700"/>
  <c r="D141" i="14700"/>
  <c r="I141" i="14700"/>
  <c r="C141" i="14700"/>
  <c r="O141" i="14698" s="1"/>
  <c r="K141" i="14700"/>
  <c r="L141" i="14700"/>
  <c r="N133" i="14700"/>
  <c r="O133" i="14700"/>
  <c r="R133" i="14700"/>
  <c r="Q133" i="14700"/>
  <c r="M133" i="14700"/>
  <c r="T133" i="14700"/>
  <c r="P133" i="14700"/>
  <c r="U133" i="14700"/>
  <c r="J133" i="14700"/>
  <c r="L133" i="14700"/>
  <c r="K133" i="14700"/>
  <c r="S133" i="14700"/>
  <c r="N135" i="14700"/>
  <c r="L135" i="14700"/>
  <c r="R135" i="14700"/>
  <c r="I135" i="14700"/>
  <c r="P135" i="14700"/>
  <c r="H135" i="14700"/>
  <c r="O135" i="14700"/>
  <c r="J135" i="14700"/>
  <c r="K135" i="14700"/>
  <c r="M135" i="14700"/>
  <c r="S135" i="14700"/>
  <c r="Q135" i="14700"/>
  <c r="F138" i="14700"/>
  <c r="M138" i="14700"/>
  <c r="N138" i="14700"/>
  <c r="O138" i="14700"/>
  <c r="L138" i="14700"/>
  <c r="I138" i="14700"/>
  <c r="K138" i="14700"/>
  <c r="E138" i="14700"/>
  <c r="J138" i="14700"/>
  <c r="G138" i="14700"/>
  <c r="H138" i="14700"/>
  <c r="P138" i="14700"/>
  <c r="H140" i="14700"/>
  <c r="N140" i="14700"/>
  <c r="J140" i="14700"/>
  <c r="D140" i="14700"/>
  <c r="L140" i="14700"/>
  <c r="K140" i="14700"/>
  <c r="F140" i="14700"/>
  <c r="E140" i="14700"/>
  <c r="G140" i="14700"/>
  <c r="I140" i="14700"/>
  <c r="C140" i="14700"/>
  <c r="M140" i="14700"/>
  <c r="O136" i="14700"/>
  <c r="G136" i="14700"/>
  <c r="L136" i="14700"/>
  <c r="N136" i="14700"/>
  <c r="H136" i="14700"/>
  <c r="P136" i="14700"/>
  <c r="Q136" i="14700"/>
  <c r="M136" i="14700"/>
  <c r="R136" i="14700"/>
  <c r="I136" i="14700"/>
  <c r="J136" i="14700"/>
  <c r="K136" i="14700"/>
  <c r="G244" i="14701" a="1"/>
  <c r="D247" i="14701" a="1"/>
  <c r="I242" i="14701" a="1"/>
  <c r="B249" i="14701" a="1"/>
  <c r="F245" i="14701" a="1"/>
  <c r="E246" i="14701" a="1"/>
  <c r="L239" i="14701" a="1"/>
  <c r="N27" i="14701"/>
  <c r="N237" i="14701" a="1"/>
  <c r="M238" i="14701" a="1"/>
  <c r="H243" i="14701" a="1"/>
  <c r="J241" i="14701" a="1"/>
  <c r="K240" i="14701" a="1"/>
  <c r="C248" i="14701" a="1"/>
  <c r="I82" i="14701" a="1"/>
  <c r="I82" i="14701" s="1"/>
  <c r="L79" i="14701" a="1"/>
  <c r="L79" i="14701" s="1"/>
  <c r="R73" i="14701" a="1"/>
  <c r="R73" i="14701" s="1"/>
  <c r="G84" i="14701" a="1"/>
  <c r="G84" i="14701" s="1"/>
  <c r="O76" i="14701" a="1"/>
  <c r="O76" i="14701" s="1"/>
  <c r="H83" i="14701" a="1"/>
  <c r="H83" i="14701" s="1"/>
  <c r="P75" i="14701" a="1"/>
  <c r="P75" i="14701" s="1"/>
  <c r="S72" i="14701" a="1"/>
  <c r="S72" i="14701" s="1"/>
  <c r="N77" i="14701" a="1"/>
  <c r="N77" i="14701" s="1"/>
  <c r="Q74" i="14701" a="1"/>
  <c r="Q74" i="14701" s="1"/>
  <c r="J81" i="14701" a="1"/>
  <c r="J81" i="14701" s="1"/>
  <c r="K80" i="14701" a="1"/>
  <c r="K80" i="14701" s="1"/>
  <c r="G28" i="14701"/>
  <c r="M78" i="14701" a="1"/>
  <c r="M78" i="14701" s="1"/>
  <c r="C212" i="14701" a="1"/>
  <c r="N201" i="14701" a="1"/>
  <c r="G208" i="14701" a="1"/>
  <c r="J205" i="14701" a="1"/>
  <c r="B213" i="14701" a="1"/>
  <c r="L203" i="14701" a="1"/>
  <c r="I206" i="14701" a="1"/>
  <c r="M202" i="14701" a="1"/>
  <c r="N25" i="14701"/>
  <c r="H207" i="14701" a="1"/>
  <c r="F209" i="14701" a="1"/>
  <c r="E210" i="14701" a="1"/>
  <c r="K204" i="14701" a="1"/>
  <c r="D211" i="14701" a="1"/>
  <c r="N83" i="14701" a="1"/>
  <c r="N83" i="14701" s="1"/>
  <c r="X73" i="14701" a="1"/>
  <c r="X73" i="14701" s="1"/>
  <c r="R79" i="14701" a="1"/>
  <c r="R79" i="14701" s="1"/>
  <c r="M84" i="14701" a="1"/>
  <c r="M84" i="14701" s="1"/>
  <c r="Q80" i="14701" a="1"/>
  <c r="Q80" i="14701" s="1"/>
  <c r="O82" i="14701" a="1"/>
  <c r="O82" i="14701" s="1"/>
  <c r="M28" i="14701"/>
  <c r="Y72" i="14701" a="1"/>
  <c r="Y72" i="14701" s="1"/>
  <c r="S78" i="14701" a="1"/>
  <c r="S78" i="14701" s="1"/>
  <c r="W74" i="14701" a="1"/>
  <c r="W74" i="14701" s="1"/>
  <c r="U76" i="14701" a="1"/>
  <c r="U76" i="14701" s="1"/>
  <c r="T77" i="14701" a="1"/>
  <c r="T77" i="14701" s="1"/>
  <c r="V75" i="14701" a="1"/>
  <c r="V75" i="14701" s="1"/>
  <c r="P81" i="14701" a="1"/>
  <c r="P81" i="14701" s="1"/>
  <c r="L83" i="14701" a="1"/>
  <c r="L83" i="14701" s="1"/>
  <c r="P79" i="14701" a="1"/>
  <c r="P79" i="14701" s="1"/>
  <c r="N81" i="14701" a="1"/>
  <c r="N81" i="14701" s="1"/>
  <c r="O80" i="14701" a="1"/>
  <c r="O80" i="14701" s="1"/>
  <c r="U74" i="14701" a="1"/>
  <c r="U74" i="14701" s="1"/>
  <c r="S76" i="14701" a="1"/>
  <c r="S76" i="14701" s="1"/>
  <c r="K28" i="14701"/>
  <c r="V73" i="14701" a="1"/>
  <c r="V73" i="14701" s="1"/>
  <c r="K84" i="14701" a="1"/>
  <c r="K84" i="14701" s="1"/>
  <c r="Q78" i="14701" a="1"/>
  <c r="Q78" i="14701" s="1"/>
  <c r="W72" i="14701" a="1"/>
  <c r="W72" i="14701" s="1"/>
  <c r="R77" i="14701" a="1"/>
  <c r="R77" i="14701" s="1"/>
  <c r="M82" i="14701" a="1"/>
  <c r="M82" i="14701" s="1"/>
  <c r="T75" i="14701" a="1"/>
  <c r="T75" i="14701" s="1"/>
  <c r="F81" i="14701" a="1"/>
  <c r="F81" i="14701" s="1"/>
  <c r="J77" i="14701" a="1"/>
  <c r="J77" i="14701" s="1"/>
  <c r="C84" i="14701" a="1"/>
  <c r="C84" i="14701" s="1"/>
  <c r="E82" i="14701" a="1"/>
  <c r="E82" i="14701" s="1"/>
  <c r="C28" i="14701"/>
  <c r="K76" i="14701" a="1"/>
  <c r="K76" i="14701" s="1"/>
  <c r="G80" i="14701" a="1"/>
  <c r="G80" i="14701" s="1"/>
  <c r="O72" i="14701" a="1"/>
  <c r="O72" i="14701" s="1"/>
  <c r="D83" i="14701" a="1"/>
  <c r="D83" i="14701" s="1"/>
  <c r="M74" i="14701" a="1"/>
  <c r="M74" i="14701" s="1"/>
  <c r="L75" i="14701" a="1"/>
  <c r="L75" i="14701" s="1"/>
  <c r="N73" i="14701" a="1"/>
  <c r="N73" i="14701" s="1"/>
  <c r="H79" i="14701" a="1"/>
  <c r="H79" i="14701" s="1"/>
  <c r="I78" i="14701" a="1"/>
  <c r="I78" i="14701" s="1"/>
  <c r="V74" i="14701" a="1"/>
  <c r="V74" i="14701" s="1"/>
  <c r="Q79" i="14701" a="1"/>
  <c r="Q79" i="14701" s="1"/>
  <c r="P80" i="14701" a="1"/>
  <c r="P80" i="14701" s="1"/>
  <c r="O81" i="14701" a="1"/>
  <c r="O81" i="14701" s="1"/>
  <c r="M83" i="14701" a="1"/>
  <c r="M83" i="14701" s="1"/>
  <c r="U75" i="14701" a="1"/>
  <c r="U75" i="14701" s="1"/>
  <c r="W73" i="14701" a="1"/>
  <c r="W73" i="14701" s="1"/>
  <c r="R78" i="14701" a="1"/>
  <c r="R78" i="14701" s="1"/>
  <c r="T76" i="14701" a="1"/>
  <c r="T76" i="14701" s="1"/>
  <c r="S77" i="14701" a="1"/>
  <c r="S77" i="14701" s="1"/>
  <c r="N82" i="14701" a="1"/>
  <c r="N82" i="14701" s="1"/>
  <c r="X72" i="14701" a="1"/>
  <c r="X72" i="14701" s="1"/>
  <c r="L28" i="14701"/>
  <c r="L84" i="14701" a="1"/>
  <c r="L84" i="14701" s="1"/>
  <c r="O78" i="14701" a="1"/>
  <c r="O78" i="14701" s="1"/>
  <c r="N79" i="14701" a="1"/>
  <c r="N79" i="14701" s="1"/>
  <c r="S74" i="14701" a="1"/>
  <c r="S74" i="14701" s="1"/>
  <c r="U72" i="14701" a="1"/>
  <c r="U72" i="14701" s="1"/>
  <c r="L81" i="14701" a="1"/>
  <c r="L81" i="14701" s="1"/>
  <c r="R75" i="14701" a="1"/>
  <c r="R75" i="14701" s="1"/>
  <c r="K82" i="14701" a="1"/>
  <c r="K82" i="14701" s="1"/>
  <c r="Q76" i="14701" a="1"/>
  <c r="Q76" i="14701" s="1"/>
  <c r="P77" i="14701" a="1"/>
  <c r="P77" i="14701" s="1"/>
  <c r="M80" i="14701" a="1"/>
  <c r="M80" i="14701" s="1"/>
  <c r="J83" i="14701" a="1"/>
  <c r="J83" i="14701" s="1"/>
  <c r="T73" i="14701" a="1"/>
  <c r="T73" i="14701" s="1"/>
  <c r="I84" i="14701" a="1"/>
  <c r="I84" i="14701" s="1"/>
  <c r="I28" i="14701"/>
  <c r="T74" i="14701" a="1"/>
  <c r="T74" i="14701" s="1"/>
  <c r="P78" i="14701" a="1"/>
  <c r="P78" i="14701" s="1"/>
  <c r="R76" i="14701" a="1"/>
  <c r="R76" i="14701" s="1"/>
  <c r="V72" i="14701" a="1"/>
  <c r="V72" i="14701" s="1"/>
  <c r="K83" i="14701" a="1"/>
  <c r="K83" i="14701" s="1"/>
  <c r="U73" i="14701" a="1"/>
  <c r="U73" i="14701" s="1"/>
  <c r="Q77" i="14701" a="1"/>
  <c r="Q77" i="14701" s="1"/>
  <c r="L82" i="14701" a="1"/>
  <c r="L82" i="14701" s="1"/>
  <c r="N80" i="14701" a="1"/>
  <c r="N80" i="14701" s="1"/>
  <c r="J84" i="14701" a="1"/>
  <c r="J84" i="14701" s="1"/>
  <c r="M81" i="14701" a="1"/>
  <c r="M81" i="14701" s="1"/>
  <c r="S75" i="14701" a="1"/>
  <c r="S75" i="14701" s="1"/>
  <c r="O79" i="14701" a="1"/>
  <c r="O79" i="14701" s="1"/>
  <c r="J28" i="14701"/>
  <c r="N186" i="14700"/>
  <c r="L186" i="14700"/>
  <c r="O186" i="14700"/>
  <c r="U186" i="14700"/>
  <c r="T186" i="14700"/>
  <c r="V186" i="14700"/>
  <c r="P186" i="14700"/>
  <c r="M186" i="14700"/>
  <c r="K186" i="14700"/>
  <c r="S186" i="14700"/>
  <c r="R186" i="14700"/>
  <c r="Q186" i="14700"/>
  <c r="U187" i="14700"/>
  <c r="N187" i="14700"/>
  <c r="T187" i="14700"/>
  <c r="O187" i="14700"/>
  <c r="R187" i="14700"/>
  <c r="P187" i="14700"/>
  <c r="S187" i="14700"/>
  <c r="L187" i="14700"/>
  <c r="J187" i="14700"/>
  <c r="M187" i="14700"/>
  <c r="K187" i="14700"/>
  <c r="Q187" i="14700"/>
  <c r="R189" i="14700"/>
  <c r="J189" i="14700"/>
  <c r="P189" i="14700"/>
  <c r="I189" i="14700"/>
  <c r="M189" i="14700"/>
  <c r="S189" i="14700"/>
  <c r="O189" i="14700"/>
  <c r="K189" i="14700"/>
  <c r="Q189" i="14700"/>
  <c r="H189" i="14700"/>
  <c r="L189" i="14700"/>
  <c r="N189" i="14700"/>
  <c r="L185" i="14700"/>
  <c r="V185" i="14700"/>
  <c r="U185" i="14700"/>
  <c r="M185" i="14700"/>
  <c r="S185" i="14700"/>
  <c r="R185" i="14700"/>
  <c r="N185" i="14700"/>
  <c r="T185" i="14700"/>
  <c r="W185" i="14700"/>
  <c r="Q185" i="14700"/>
  <c r="P185" i="14700"/>
  <c r="O185" i="14700"/>
  <c r="L193" i="14700"/>
  <c r="K193" i="14700"/>
  <c r="M193" i="14700"/>
  <c r="F193" i="14700"/>
  <c r="O193" i="14700"/>
  <c r="D193" i="14700"/>
  <c r="E193" i="14700"/>
  <c r="N193" i="14700"/>
  <c r="H193" i="14700"/>
  <c r="G193" i="14700"/>
  <c r="J193" i="14700"/>
  <c r="I193" i="14700"/>
  <c r="T183" i="14700"/>
  <c r="N183" i="14700"/>
  <c r="W183" i="14700"/>
  <c r="U183" i="14700"/>
  <c r="V183" i="14700"/>
  <c r="Y183" i="14700"/>
  <c r="Q183" i="14700"/>
  <c r="P183" i="14700"/>
  <c r="X183" i="14700"/>
  <c r="R183" i="14700"/>
  <c r="O183" i="14700"/>
  <c r="S183" i="14700"/>
  <c r="C194" i="14700"/>
  <c r="D194" i="14700"/>
  <c r="G194" i="14700"/>
  <c r="I194" i="14700"/>
  <c r="N194" i="14700"/>
  <c r="J194" i="14700"/>
  <c r="F194" i="14700"/>
  <c r="L194" i="14700"/>
  <c r="M194" i="14700"/>
  <c r="K194" i="14700"/>
  <c r="H194" i="14700"/>
  <c r="E194" i="14700"/>
  <c r="J176" i="14700"/>
  <c r="F176" i="14700"/>
  <c r="N176" i="14700"/>
  <c r="D176" i="14700"/>
  <c r="K176" i="14700"/>
  <c r="H176" i="14700"/>
  <c r="M176" i="14700"/>
  <c r="I176" i="14700"/>
  <c r="L176" i="14700"/>
  <c r="C176" i="14700"/>
  <c r="G176" i="14700"/>
  <c r="E176" i="14700"/>
  <c r="Q168" i="14700"/>
  <c r="N168" i="14700"/>
  <c r="S168" i="14700"/>
  <c r="O168" i="14700"/>
  <c r="V168" i="14700"/>
  <c r="K168" i="14700"/>
  <c r="T168" i="14700"/>
  <c r="L168" i="14700"/>
  <c r="R168" i="14700"/>
  <c r="P168" i="14700"/>
  <c r="U168" i="14700"/>
  <c r="M168" i="14700"/>
  <c r="F174" i="14700"/>
  <c r="G174" i="14700"/>
  <c r="H174" i="14700"/>
  <c r="N174" i="14700"/>
  <c r="P174" i="14700"/>
  <c r="K174" i="14700"/>
  <c r="L174" i="14700"/>
  <c r="J174" i="14700"/>
  <c r="I174" i="14700"/>
  <c r="E174" i="14700"/>
  <c r="M174" i="14700"/>
  <c r="O174" i="14700"/>
  <c r="K172" i="14700"/>
  <c r="P172" i="14700"/>
  <c r="R172" i="14700"/>
  <c r="N172" i="14700"/>
  <c r="L172" i="14700"/>
  <c r="O172" i="14700"/>
  <c r="G172" i="14700"/>
  <c r="M172" i="14700"/>
  <c r="H172" i="14700"/>
  <c r="J172" i="14700"/>
  <c r="I172" i="14700"/>
  <c r="Q172" i="14700"/>
  <c r="S166" i="14700"/>
  <c r="Q166" i="14700"/>
  <c r="M166" i="14700"/>
  <c r="V166" i="14700"/>
  <c r="U166" i="14700"/>
  <c r="O166" i="14700"/>
  <c r="R166" i="14700"/>
  <c r="X166" i="14700"/>
  <c r="T166" i="14700"/>
  <c r="W166" i="14700"/>
  <c r="P166" i="14700"/>
  <c r="N166" i="14700"/>
  <c r="O165" i="14700"/>
  <c r="Y165" i="14700"/>
  <c r="T165" i="14700"/>
  <c r="X165" i="14700"/>
  <c r="N165" i="14700"/>
  <c r="Q165" i="14700"/>
  <c r="R165" i="14700"/>
  <c r="S165" i="14700"/>
  <c r="P165" i="14700"/>
  <c r="V165" i="14700"/>
  <c r="W165" i="14700"/>
  <c r="U165" i="14700"/>
  <c r="W167" i="14700"/>
  <c r="S167" i="14700"/>
  <c r="P167" i="14700"/>
  <c r="M167" i="14700"/>
  <c r="N167" i="14700"/>
  <c r="Q167" i="14700"/>
  <c r="L167" i="14700"/>
  <c r="R167" i="14700"/>
  <c r="U167" i="14700"/>
  <c r="O167" i="14700"/>
  <c r="V167" i="14700"/>
  <c r="T167" i="14700"/>
  <c r="Q238" i="14700"/>
  <c r="O238" i="14700"/>
  <c r="T238" i="14700"/>
  <c r="X238" i="14700"/>
  <c r="S238" i="14700"/>
  <c r="R238" i="14700"/>
  <c r="V238" i="14700"/>
  <c r="M238" i="14700"/>
  <c r="W238" i="14700"/>
  <c r="N238" i="14700"/>
  <c r="U238" i="14700"/>
  <c r="P238" i="14700"/>
  <c r="Q241" i="14700"/>
  <c r="K241" i="14700"/>
  <c r="S241" i="14700"/>
  <c r="R241" i="14700"/>
  <c r="N241" i="14700"/>
  <c r="J241" i="14700"/>
  <c r="O241" i="14700"/>
  <c r="P241" i="14700"/>
  <c r="T241" i="14700"/>
  <c r="M241" i="14700"/>
  <c r="U241" i="14700"/>
  <c r="L241" i="14700"/>
  <c r="O247" i="14700"/>
  <c r="N247" i="14700"/>
  <c r="H247" i="14700"/>
  <c r="E247" i="14700"/>
  <c r="F247" i="14700"/>
  <c r="G247" i="14700"/>
  <c r="M247" i="14700"/>
  <c r="I247" i="14700"/>
  <c r="J247" i="14700"/>
  <c r="D247" i="14700"/>
  <c r="L247" i="14700"/>
  <c r="K247" i="14700"/>
  <c r="M239" i="14700"/>
  <c r="S239" i="14700"/>
  <c r="Q239" i="14700"/>
  <c r="O239" i="14700"/>
  <c r="R239" i="14700"/>
  <c r="W239" i="14700"/>
  <c r="P239" i="14700"/>
  <c r="L239" i="14700"/>
  <c r="V239" i="14700"/>
  <c r="T239" i="14700"/>
  <c r="U239" i="14700"/>
  <c r="N239" i="14700"/>
  <c r="W237" i="14700"/>
  <c r="S237" i="14700"/>
  <c r="U237" i="14700"/>
  <c r="R237" i="14700"/>
  <c r="O237" i="14700"/>
  <c r="T237" i="14700"/>
  <c r="Y237" i="14700"/>
  <c r="Q237" i="14700"/>
  <c r="V237" i="14700"/>
  <c r="X237" i="14700"/>
  <c r="N237" i="14700"/>
  <c r="P237" i="14700"/>
  <c r="J249" i="14700"/>
  <c r="L249" i="14700"/>
  <c r="D249" i="14700"/>
  <c r="I249" i="14700"/>
  <c r="E249" i="14700"/>
  <c r="H249" i="14700"/>
  <c r="G249" i="14700"/>
  <c r="K249" i="14700"/>
  <c r="F249" i="14700"/>
  <c r="B249" i="14700"/>
  <c r="M249" i="14700"/>
  <c r="C249" i="14700"/>
  <c r="O249" i="14698" s="1"/>
  <c r="F248" i="14700"/>
  <c r="D248" i="14700"/>
  <c r="M248" i="14700"/>
  <c r="C248" i="14700"/>
  <c r="I248" i="14700"/>
  <c r="E248" i="14700"/>
  <c r="K248" i="14700"/>
  <c r="L248" i="14700"/>
  <c r="J248" i="14700"/>
  <c r="G248" i="14700"/>
  <c r="H248" i="14700"/>
  <c r="N248" i="14700"/>
  <c r="L153" i="14700"/>
  <c r="Q153" i="14700"/>
  <c r="P153" i="14700"/>
  <c r="O153" i="14700"/>
  <c r="I153" i="14700"/>
  <c r="K153" i="14700"/>
  <c r="J153" i="14700"/>
  <c r="N153" i="14700"/>
  <c r="R153" i="14700"/>
  <c r="M153" i="14700"/>
  <c r="H153" i="14700"/>
  <c r="S153" i="14700"/>
  <c r="Q155" i="14700"/>
  <c r="H155" i="14700"/>
  <c r="P155" i="14700"/>
  <c r="O155" i="14700"/>
  <c r="I155" i="14700"/>
  <c r="F155" i="14700"/>
  <c r="L155" i="14700"/>
  <c r="M155" i="14700"/>
  <c r="J155" i="14700"/>
  <c r="K155" i="14700"/>
  <c r="N155" i="14700"/>
  <c r="G155" i="14700"/>
  <c r="T151" i="14700"/>
  <c r="K151" i="14700"/>
  <c r="M151" i="14700"/>
  <c r="N151" i="14700"/>
  <c r="U151" i="14700"/>
  <c r="S151" i="14700"/>
  <c r="O151" i="14700"/>
  <c r="L151" i="14700"/>
  <c r="P151" i="14700"/>
  <c r="J151" i="14700"/>
  <c r="Q151" i="14700"/>
  <c r="R151" i="14700"/>
  <c r="D157" i="14700"/>
  <c r="J157" i="14700"/>
  <c r="O157" i="14700"/>
  <c r="I157" i="14700"/>
  <c r="N157" i="14700"/>
  <c r="F157" i="14700"/>
  <c r="G157" i="14700"/>
  <c r="L157" i="14700"/>
  <c r="E157" i="14700"/>
  <c r="H157" i="14700"/>
  <c r="K157" i="14700"/>
  <c r="M157" i="14700"/>
  <c r="O156" i="14700"/>
  <c r="M156" i="14700"/>
  <c r="K156" i="14700"/>
  <c r="N156" i="14700"/>
  <c r="L156" i="14700"/>
  <c r="H156" i="14700"/>
  <c r="I156" i="14700"/>
  <c r="F156" i="14700"/>
  <c r="P156" i="14700"/>
  <c r="G156" i="14700"/>
  <c r="J156" i="14700"/>
  <c r="E156" i="14700"/>
  <c r="N147" i="14700"/>
  <c r="Y147" i="14700"/>
  <c r="W147" i="14700"/>
  <c r="Q147" i="14700"/>
  <c r="S147" i="14700"/>
  <c r="X147" i="14700"/>
  <c r="U147" i="14700"/>
  <c r="R147" i="14700"/>
  <c r="P147" i="14700"/>
  <c r="O147" i="14700"/>
  <c r="V147" i="14700"/>
  <c r="T147" i="14700"/>
  <c r="K159" i="14700"/>
  <c r="I159" i="14700"/>
  <c r="J159" i="14700"/>
  <c r="E159" i="14700"/>
  <c r="L159" i="14700"/>
  <c r="B159" i="14700"/>
  <c r="G159" i="14700"/>
  <c r="F159" i="14700"/>
  <c r="H159" i="14700"/>
  <c r="D159" i="14700"/>
  <c r="C159" i="14700"/>
  <c r="O159" i="14698" s="1"/>
  <c r="M159" i="14700"/>
  <c r="M113" i="14700"/>
  <c r="L113" i="14700"/>
  <c r="U113" i="14700"/>
  <c r="N113" i="14700"/>
  <c r="S113" i="14700"/>
  <c r="R113" i="14700"/>
  <c r="W113" i="14700"/>
  <c r="Q113" i="14700"/>
  <c r="O113" i="14700"/>
  <c r="V113" i="14700"/>
  <c r="T113" i="14700"/>
  <c r="P113" i="14700"/>
  <c r="J121" i="14700"/>
  <c r="E121" i="14700"/>
  <c r="M121" i="14700"/>
  <c r="K121" i="14700"/>
  <c r="H121" i="14700"/>
  <c r="I121" i="14700"/>
  <c r="D121" i="14700"/>
  <c r="F121" i="14700"/>
  <c r="G121" i="14700"/>
  <c r="N121" i="14700"/>
  <c r="O121" i="14700"/>
  <c r="L121" i="14700"/>
  <c r="U77" i="14698" a="1"/>
  <c r="I85" i="14700"/>
  <c r="E120" i="14700"/>
  <c r="K120" i="14700"/>
  <c r="J120" i="14700"/>
  <c r="I120" i="14700"/>
  <c r="L120" i="14700"/>
  <c r="F120" i="14700"/>
  <c r="H120" i="14700"/>
  <c r="P120" i="14700"/>
  <c r="N120" i="14700"/>
  <c r="G120" i="14700"/>
  <c r="M120" i="14700"/>
  <c r="O120" i="14700"/>
  <c r="T78" i="14698" a="1"/>
  <c r="H85" i="14700"/>
  <c r="M85" i="14700"/>
  <c r="Y73" i="14698" a="1"/>
  <c r="D85" i="14700"/>
  <c r="P82" i="14698" a="1"/>
  <c r="N118" i="14700"/>
  <c r="I118" i="14700"/>
  <c r="R118" i="14700"/>
  <c r="P118" i="14700"/>
  <c r="K118" i="14700"/>
  <c r="G118" i="14700"/>
  <c r="L118" i="14700"/>
  <c r="Q118" i="14700"/>
  <c r="H118" i="14700"/>
  <c r="M118" i="14700"/>
  <c r="J118" i="14700"/>
  <c r="O118" i="14700"/>
  <c r="T111" i="14700"/>
  <c r="S111" i="14700"/>
  <c r="W111" i="14700"/>
  <c r="P111" i="14700"/>
  <c r="Q111" i="14700"/>
  <c r="X111" i="14700"/>
  <c r="R111" i="14700"/>
  <c r="O111" i="14700"/>
  <c r="N111" i="14700"/>
  <c r="U111" i="14700"/>
  <c r="Y111" i="14700"/>
  <c r="V111" i="14700"/>
  <c r="K85" i="14700"/>
  <c r="W75" i="14698" a="1"/>
  <c r="G85" i="14700"/>
  <c r="S79" i="14698" a="1"/>
  <c r="I32" i="14700"/>
  <c r="B38" i="14700"/>
  <c r="E33" i="14700"/>
  <c r="H35" i="14700"/>
  <c r="L37" i="14700"/>
  <c r="G32" i="14700"/>
  <c r="F35" i="14700"/>
  <c r="J36" i="14700"/>
  <c r="I36" i="14700"/>
  <c r="K33" i="14700"/>
  <c r="F37" i="14700"/>
  <c r="D32" i="14700"/>
  <c r="G33" i="14700"/>
  <c r="C34" i="14700"/>
  <c r="E37" i="14700"/>
  <c r="I38" i="14700"/>
  <c r="G37" i="14700"/>
  <c r="M37" i="14700"/>
  <c r="C36" i="14700"/>
  <c r="F34" i="14700"/>
  <c r="L39" i="14700"/>
  <c r="F32" i="14700"/>
  <c r="G39" i="14700"/>
  <c r="K35" i="14700"/>
  <c r="L33" i="14700"/>
  <c r="H39" i="14700"/>
  <c r="K32" i="14700"/>
  <c r="C38" i="14700"/>
  <c r="J37" i="14700"/>
  <c r="I39" i="14700"/>
  <c r="J33" i="14700"/>
  <c r="D38" i="14700"/>
  <c r="K39" i="14700"/>
  <c r="J32" i="14700"/>
  <c r="F36" i="14700"/>
  <c r="E38" i="14700"/>
  <c r="G35" i="14700"/>
  <c r="C35" i="14700"/>
  <c r="H38" i="14700"/>
  <c r="C37" i="14700"/>
  <c r="E39" i="14700"/>
  <c r="B37" i="14700"/>
  <c r="F38" i="14700"/>
  <c r="C32" i="14700"/>
  <c r="L32" i="14700"/>
  <c r="M33" i="14700"/>
  <c r="D37" i="14700"/>
  <c r="D34" i="14700"/>
  <c r="F39" i="14700"/>
  <c r="K36" i="14700"/>
  <c r="L35" i="14700"/>
  <c r="H33" i="14700"/>
  <c r="L36" i="14700"/>
  <c r="D39" i="14700"/>
  <c r="H34" i="14700"/>
  <c r="D36" i="14700"/>
  <c r="M32" i="14700"/>
  <c r="J34" i="14700"/>
  <c r="E35" i="14700"/>
  <c r="L38" i="14700"/>
  <c r="K34" i="14700"/>
  <c r="J39" i="14700"/>
  <c r="M34" i="14700"/>
  <c r="C33" i="14700"/>
  <c r="E36" i="14700"/>
  <c r="B34" i="14700"/>
  <c r="I34" i="14700"/>
  <c r="M36" i="14700"/>
  <c r="E32" i="14700"/>
  <c r="B39" i="14700"/>
  <c r="J35" i="14700"/>
  <c r="I33" i="14700"/>
  <c r="M35" i="14700"/>
  <c r="F33" i="14700"/>
  <c r="K38" i="14700"/>
  <c r="B36" i="14700"/>
  <c r="C39" i="14700"/>
  <c r="G34" i="14700"/>
  <c r="L34" i="14700"/>
  <c r="I37" i="14700"/>
  <c r="B32" i="14700"/>
  <c r="I35" i="14700"/>
  <c r="G38" i="14700"/>
  <c r="H36" i="14700"/>
  <c r="B35" i="14700"/>
  <c r="M39" i="14700"/>
  <c r="J38" i="14700"/>
  <c r="B33" i="14700"/>
  <c r="H32" i="14700"/>
  <c r="D33" i="14700"/>
  <c r="E34" i="14700"/>
  <c r="H37" i="14700"/>
  <c r="D35" i="14700"/>
  <c r="K37" i="14700"/>
  <c r="M38" i="14700"/>
  <c r="G36" i="14700"/>
  <c r="K119" i="14700"/>
  <c r="I119" i="14700"/>
  <c r="P119" i="14700"/>
  <c r="N119" i="14700"/>
  <c r="Q119" i="14700"/>
  <c r="M119" i="14700"/>
  <c r="H119" i="14700"/>
  <c r="L119" i="14700"/>
  <c r="G119" i="14700"/>
  <c r="F119" i="14700"/>
  <c r="O119" i="14700"/>
  <c r="J119" i="14700"/>
  <c r="K210" i="14700"/>
  <c r="I210" i="14700"/>
  <c r="M210" i="14700"/>
  <c r="P210" i="14700"/>
  <c r="J210" i="14700"/>
  <c r="F210" i="14700"/>
  <c r="L210" i="14700"/>
  <c r="H210" i="14700"/>
  <c r="N210" i="14700"/>
  <c r="O210" i="14700"/>
  <c r="G210" i="14700"/>
  <c r="E210" i="14700"/>
  <c r="O206" i="14700"/>
  <c r="N206" i="14700"/>
  <c r="I206" i="14700"/>
  <c r="T206" i="14700"/>
  <c r="L206" i="14700"/>
  <c r="P206" i="14700"/>
  <c r="Q206" i="14700"/>
  <c r="J206" i="14700"/>
  <c r="K206" i="14700"/>
  <c r="S206" i="14700"/>
  <c r="R206" i="14700"/>
  <c r="M206" i="14700"/>
  <c r="I208" i="14700"/>
  <c r="O208" i="14700"/>
  <c r="P208" i="14700"/>
  <c r="N208" i="14700"/>
  <c r="R208" i="14700"/>
  <c r="L208" i="14700"/>
  <c r="H208" i="14700"/>
  <c r="J208" i="14700"/>
  <c r="G208" i="14700"/>
  <c r="M208" i="14700"/>
  <c r="Q208" i="14700"/>
  <c r="K208" i="14700"/>
  <c r="W202" i="14700"/>
  <c r="N202" i="14700"/>
  <c r="V202" i="14700"/>
  <c r="M202" i="14700"/>
  <c r="S202" i="14700"/>
  <c r="R202" i="14700"/>
  <c r="U202" i="14700"/>
  <c r="O202" i="14700"/>
  <c r="Q202" i="14700"/>
  <c r="P202" i="14700"/>
  <c r="T202" i="14700"/>
  <c r="X202" i="14700"/>
  <c r="N207" i="14700"/>
  <c r="M207" i="14700"/>
  <c r="O207" i="14700"/>
  <c r="L207" i="14700"/>
  <c r="H207" i="14700"/>
  <c r="S207" i="14700"/>
  <c r="J207" i="14700"/>
  <c r="I207" i="14700"/>
  <c r="Q207" i="14700"/>
  <c r="R207" i="14700"/>
  <c r="P207" i="14700"/>
  <c r="K207" i="14700"/>
  <c r="R205" i="14700"/>
  <c r="S205" i="14700"/>
  <c r="K205" i="14700"/>
  <c r="T205" i="14700"/>
  <c r="J205" i="14700"/>
  <c r="Q205" i="14700"/>
  <c r="M205" i="14700"/>
  <c r="N205" i="14700"/>
  <c r="L205" i="14700"/>
  <c r="O205" i="14700"/>
  <c r="P205" i="14700"/>
  <c r="U205" i="14700"/>
  <c r="P224" i="14700"/>
  <c r="Q224" i="14700"/>
  <c r="S224" i="14700"/>
  <c r="N224" i="14700"/>
  <c r="K224" i="14700"/>
  <c r="J224" i="14700"/>
  <c r="R224" i="14700"/>
  <c r="L224" i="14700"/>
  <c r="T224" i="14700"/>
  <c r="M224" i="14700"/>
  <c r="I224" i="14700"/>
  <c r="O224" i="14700"/>
  <c r="R220" i="14700"/>
  <c r="N220" i="14700"/>
  <c r="W220" i="14700"/>
  <c r="Q220" i="14700"/>
  <c r="X220" i="14700"/>
  <c r="T220" i="14700"/>
  <c r="M220" i="14700"/>
  <c r="P220" i="14700"/>
  <c r="V220" i="14700"/>
  <c r="O220" i="14700"/>
  <c r="U220" i="14700"/>
  <c r="S220" i="14700"/>
  <c r="M230" i="14700"/>
  <c r="G230" i="14700"/>
  <c r="N230" i="14700"/>
  <c r="J230" i="14700"/>
  <c r="C230" i="14700"/>
  <c r="H230" i="14700"/>
  <c r="D230" i="14700"/>
  <c r="K230" i="14700"/>
  <c r="E230" i="14700"/>
  <c r="L230" i="14700"/>
  <c r="I230" i="14700"/>
  <c r="F230" i="14700"/>
  <c r="N222" i="14700"/>
  <c r="U222" i="14700"/>
  <c r="T222" i="14700"/>
  <c r="Q222" i="14700"/>
  <c r="V222" i="14700"/>
  <c r="K222" i="14700"/>
  <c r="O222" i="14700"/>
  <c r="S222" i="14700"/>
  <c r="P222" i="14700"/>
  <c r="L222" i="14700"/>
  <c r="M222" i="14700"/>
  <c r="R222" i="14700"/>
  <c r="Q225" i="14700"/>
  <c r="I225" i="14700"/>
  <c r="M225" i="14700"/>
  <c r="N225" i="14700"/>
  <c r="H225" i="14700"/>
  <c r="S225" i="14700"/>
  <c r="L225" i="14700"/>
  <c r="R225" i="14700"/>
  <c r="O225" i="14700"/>
  <c r="J225" i="14700"/>
  <c r="P225" i="14700"/>
  <c r="K225" i="14700"/>
  <c r="S221" i="14700"/>
  <c r="N221" i="14700"/>
  <c r="U221" i="14700"/>
  <c r="L221" i="14700"/>
  <c r="R221" i="14700"/>
  <c r="V221" i="14700"/>
  <c r="O221" i="14700"/>
  <c r="M221" i="14700"/>
  <c r="W221" i="14700"/>
  <c r="Q221" i="14700"/>
  <c r="P221" i="14700"/>
  <c r="T221" i="14700"/>
  <c r="J227" i="14700"/>
  <c r="F227" i="14700"/>
  <c r="M227" i="14700"/>
  <c r="G227" i="14700"/>
  <c r="N227" i="14700"/>
  <c r="H227" i="14700"/>
  <c r="K227" i="14700"/>
  <c r="P227" i="14700"/>
  <c r="Q227" i="14700"/>
  <c r="I227" i="14700"/>
  <c r="L227" i="14700"/>
  <c r="O227" i="14700"/>
  <c r="R129" i="14700"/>
  <c r="S129" i="14700"/>
  <c r="P129" i="14700"/>
  <c r="U129" i="14700"/>
  <c r="N129" i="14700"/>
  <c r="O129" i="14700"/>
  <c r="T129" i="14700"/>
  <c r="W129" i="14700"/>
  <c r="V129" i="14700"/>
  <c r="Y129" i="14700"/>
  <c r="X129" i="14700"/>
  <c r="Q129" i="14700"/>
  <c r="Q131" i="14700"/>
  <c r="O131" i="14700"/>
  <c r="M131" i="14700"/>
  <c r="P131" i="14700"/>
  <c r="V131" i="14700"/>
  <c r="N131" i="14700"/>
  <c r="S131" i="14700"/>
  <c r="W131" i="14700"/>
  <c r="L131" i="14700"/>
  <c r="U131" i="14700"/>
  <c r="T131" i="14700"/>
  <c r="R131" i="14700"/>
  <c r="K139" i="14700"/>
  <c r="I139" i="14700"/>
  <c r="G139" i="14700"/>
  <c r="H139" i="14700"/>
  <c r="D139" i="14700"/>
  <c r="L139" i="14700"/>
  <c r="N139" i="14700"/>
  <c r="O139" i="14700"/>
  <c r="J139" i="14700"/>
  <c r="F139" i="14700"/>
  <c r="M139" i="14700"/>
  <c r="E139" i="14700"/>
  <c r="L137" i="14700"/>
  <c r="P137" i="14700"/>
  <c r="G137" i="14700"/>
  <c r="Q137" i="14700"/>
  <c r="I137" i="14700"/>
  <c r="N137" i="14700"/>
  <c r="O137" i="14700"/>
  <c r="H137" i="14700"/>
  <c r="M137" i="14700"/>
  <c r="K137" i="14700"/>
  <c r="J137" i="14700"/>
  <c r="F137" i="14700"/>
  <c r="U130" i="14700"/>
  <c r="M130" i="14700"/>
  <c r="X130" i="14700"/>
  <c r="Q130" i="14700"/>
  <c r="N130" i="14700"/>
  <c r="V130" i="14700"/>
  <c r="O130" i="14700"/>
  <c r="W130" i="14700"/>
  <c r="R130" i="14700"/>
  <c r="S130" i="14700"/>
  <c r="P130" i="14700"/>
  <c r="T130" i="14700"/>
  <c r="T132" i="14700"/>
  <c r="U132" i="14700"/>
  <c r="K132" i="14700"/>
  <c r="V132" i="14700"/>
  <c r="Q132" i="14700"/>
  <c r="O132" i="14700"/>
  <c r="N132" i="14700"/>
  <c r="P132" i="14700"/>
  <c r="R132" i="14700"/>
  <c r="S132" i="14700"/>
  <c r="L132" i="14700"/>
  <c r="M132" i="14700"/>
  <c r="J134" i="14700"/>
  <c r="S134" i="14700"/>
  <c r="R134" i="14700"/>
  <c r="O134" i="14700"/>
  <c r="K134" i="14700"/>
  <c r="I134" i="14700"/>
  <c r="M134" i="14700"/>
  <c r="Q134" i="14700"/>
  <c r="L134" i="14700"/>
  <c r="P134" i="14700"/>
  <c r="N134" i="14700"/>
  <c r="T134" i="14700"/>
  <c r="L76" i="14701" a="1"/>
  <c r="L76" i="14701" s="1"/>
  <c r="I79" i="14701" a="1"/>
  <c r="I79" i="14701" s="1"/>
  <c r="J78" i="14701" a="1"/>
  <c r="J78" i="14701" s="1"/>
  <c r="H80" i="14701" a="1"/>
  <c r="H80" i="14701" s="1"/>
  <c r="N74" i="14701" a="1"/>
  <c r="N74" i="14701" s="1"/>
  <c r="K77" i="14701" a="1"/>
  <c r="K77" i="14701" s="1"/>
  <c r="O73" i="14701" a="1"/>
  <c r="O73" i="14701" s="1"/>
  <c r="D84" i="14701" a="1"/>
  <c r="D84" i="14701" s="1"/>
  <c r="E83" i="14701" a="1"/>
  <c r="E83" i="14701" s="1"/>
  <c r="M75" i="14701" a="1"/>
  <c r="M75" i="14701" s="1"/>
  <c r="D28" i="14701"/>
  <c r="P72" i="14701" a="1"/>
  <c r="P72" i="14701" s="1"/>
  <c r="G81" i="14701" a="1"/>
  <c r="G81" i="14701" s="1"/>
  <c r="F82" i="14701" a="1"/>
  <c r="F82" i="14701" s="1"/>
  <c r="I116" i="14701" a="1"/>
  <c r="G118" i="14701" a="1"/>
  <c r="B32" i="14701" a="1"/>
  <c r="I77" i="14701" a="1"/>
  <c r="I77" i="14701" s="1"/>
  <c r="C83" i="14701" a="1"/>
  <c r="C83" i="14701" s="1"/>
  <c r="L74" i="14701" a="1"/>
  <c r="L74" i="14701" s="1"/>
  <c r="G79" i="14701" a="1"/>
  <c r="G79" i="14701" s="1"/>
  <c r="C122" i="14701" a="1"/>
  <c r="F119" i="14701" a="1"/>
  <c r="M112" i="14701" a="1"/>
  <c r="M73" i="14701" a="1"/>
  <c r="M73" i="14701" s="1"/>
  <c r="B84" i="14701" a="1"/>
  <c r="B84" i="14701" s="1"/>
  <c r="J115" i="14701" a="1"/>
  <c r="N20" i="14701"/>
  <c r="H78" i="14701" a="1"/>
  <c r="H78" i="14701" s="1"/>
  <c r="D121" i="14701" a="1"/>
  <c r="H117" i="14701" a="1"/>
  <c r="K114" i="14701" a="1"/>
  <c r="B28" i="14701"/>
  <c r="J76" i="14701" a="1"/>
  <c r="J76" i="14701" s="1"/>
  <c r="D82" i="14701" a="1"/>
  <c r="D82" i="14701" s="1"/>
  <c r="E81" i="14701" a="1"/>
  <c r="E81" i="14701" s="1"/>
  <c r="N72" i="14701" a="1"/>
  <c r="N72" i="14701" s="1"/>
  <c r="F80" i="14701" a="1"/>
  <c r="F80" i="14701" s="1"/>
  <c r="E120" i="14701" a="1"/>
  <c r="L113" i="14701" a="1"/>
  <c r="K75" i="14701" a="1"/>
  <c r="K75" i="14701" s="1"/>
  <c r="B123" i="14701" a="1"/>
  <c r="N111" i="14701" a="1"/>
  <c r="B195" i="14701" a="1"/>
  <c r="K186" i="14701" a="1"/>
  <c r="L185" i="14701" a="1"/>
  <c r="N24" i="14701"/>
  <c r="N183" i="14701" a="1"/>
  <c r="M184" i="14701" a="1"/>
  <c r="G190" i="14701" a="1"/>
  <c r="I188" i="14701" a="1"/>
  <c r="H189" i="14701" a="1"/>
  <c r="D193" i="14701" a="1"/>
  <c r="C194" i="14701" a="1"/>
  <c r="F191" i="14701" a="1"/>
  <c r="J187" i="14701" a="1"/>
  <c r="E192" i="14701" a="1"/>
  <c r="J82" i="14701" a="1"/>
  <c r="J82" i="14701" s="1"/>
  <c r="S73" i="14701" a="1"/>
  <c r="S73" i="14701" s="1"/>
  <c r="I83" i="14701" a="1"/>
  <c r="I83" i="14701" s="1"/>
  <c r="H28" i="14701"/>
  <c r="H84" i="14701" a="1"/>
  <c r="H84" i="14701" s="1"/>
  <c r="T72" i="14701" a="1"/>
  <c r="T72" i="14701" s="1"/>
  <c r="O77" i="14701" a="1"/>
  <c r="O77" i="14701" s="1"/>
  <c r="Q75" i="14701" a="1"/>
  <c r="Q75" i="14701" s="1"/>
  <c r="K81" i="14701" a="1"/>
  <c r="K81" i="14701" s="1"/>
  <c r="P76" i="14701" a="1"/>
  <c r="P76" i="14701" s="1"/>
  <c r="R74" i="14701" a="1"/>
  <c r="R74" i="14701" s="1"/>
  <c r="N78" i="14701" a="1"/>
  <c r="N78" i="14701" s="1"/>
  <c r="M79" i="14701" a="1"/>
  <c r="M79" i="14701" s="1"/>
  <c r="L80" i="14701" a="1"/>
  <c r="L80" i="14701" s="1"/>
  <c r="F28" i="14701"/>
  <c r="G83" i="14701" a="1"/>
  <c r="G83" i="14701" s="1"/>
  <c r="J80" i="14701" a="1"/>
  <c r="J80" i="14701" s="1"/>
  <c r="F84" i="14701" a="1"/>
  <c r="F84" i="14701" s="1"/>
  <c r="M77" i="14701" a="1"/>
  <c r="M77" i="14701" s="1"/>
  <c r="N76" i="14701" a="1"/>
  <c r="N76" i="14701" s="1"/>
  <c r="I81" i="14701" a="1"/>
  <c r="I81" i="14701" s="1"/>
  <c r="K79" i="14701" a="1"/>
  <c r="K79" i="14701" s="1"/>
  <c r="L78" i="14701" a="1"/>
  <c r="L78" i="14701" s="1"/>
  <c r="R72" i="14701" a="1"/>
  <c r="R72" i="14701" s="1"/>
  <c r="P74" i="14701" a="1"/>
  <c r="P74" i="14701" s="1"/>
  <c r="H82" i="14701" a="1"/>
  <c r="H82" i="14701" s="1"/>
  <c r="O75" i="14701" a="1"/>
  <c r="O75" i="14701" s="1"/>
  <c r="Q73" i="14701" a="1"/>
  <c r="Q73" i="14701" s="1"/>
  <c r="H81" i="14701" a="1"/>
  <c r="H81" i="14701" s="1"/>
  <c r="E84" i="14701" a="1"/>
  <c r="E84" i="14701" s="1"/>
  <c r="L77" i="14701" a="1"/>
  <c r="L77" i="14701" s="1"/>
  <c r="I80" i="14701" a="1"/>
  <c r="I80" i="14701" s="1"/>
  <c r="K78" i="14701" a="1"/>
  <c r="K78" i="14701" s="1"/>
  <c r="E28" i="14701"/>
  <c r="N75" i="14701" a="1"/>
  <c r="N75" i="14701" s="1"/>
  <c r="G82" i="14701" a="1"/>
  <c r="G82" i="14701" s="1"/>
  <c r="M76" i="14701" a="1"/>
  <c r="M76" i="14701" s="1"/>
  <c r="Q72" i="14701" a="1"/>
  <c r="Q72" i="14701" s="1"/>
  <c r="J79" i="14701" a="1"/>
  <c r="J79" i="14701" s="1"/>
  <c r="P73" i="14701" a="1"/>
  <c r="P73" i="14701" s="1"/>
  <c r="F83" i="14701" a="1"/>
  <c r="F83" i="14701" s="1"/>
  <c r="O74" i="14701" a="1"/>
  <c r="O74" i="14701" s="1"/>
  <c r="K132" i="14701" a="1"/>
  <c r="H135" i="14701" a="1"/>
  <c r="M130" i="14701" a="1"/>
  <c r="G136" i="14701" a="1"/>
  <c r="D139" i="14701" a="1"/>
  <c r="N21" i="14701"/>
  <c r="B141" i="14701" a="1"/>
  <c r="N129" i="14701" a="1"/>
  <c r="E138" i="14701" a="1"/>
  <c r="L131" i="14701" a="1"/>
  <c r="J133" i="14701" a="1"/>
  <c r="C140" i="14701" a="1"/>
  <c r="I134" i="14701" a="1"/>
  <c r="F137" i="14701" a="1"/>
  <c r="E156" i="14701" a="1"/>
  <c r="C158" i="14701" a="1"/>
  <c r="K150" i="14701" a="1"/>
  <c r="N147" i="14701" a="1"/>
  <c r="G154" i="14701" a="1"/>
  <c r="J151" i="14701" a="1"/>
  <c r="M148" i="14701" a="1"/>
  <c r="H153" i="14701" a="1"/>
  <c r="B159" i="14701" a="1"/>
  <c r="L149" i="14701" a="1"/>
  <c r="N22" i="14701"/>
  <c r="F155" i="14701" a="1"/>
  <c r="D157" i="14701" a="1"/>
  <c r="I152" i="14701" a="1"/>
  <c r="B231" i="14701" a="1"/>
  <c r="M220" i="14701" a="1"/>
  <c r="J223" i="14701" a="1"/>
  <c r="G226" i="14701" a="1"/>
  <c r="F227" i="14701" a="1"/>
  <c r="E228" i="14701" a="1"/>
  <c r="N219" i="14701" a="1"/>
  <c r="L221" i="14701" a="1"/>
  <c r="K222" i="14701" a="1"/>
  <c r="C230" i="14701" a="1"/>
  <c r="H225" i="14701" a="1"/>
  <c r="N26" i="14701"/>
  <c r="D229" i="14701" a="1"/>
  <c r="I224" i="14701" a="1"/>
  <c r="H171" i="14701" a="1"/>
  <c r="C176" i="14701" a="1"/>
  <c r="I170" i="14701" a="1"/>
  <c r="B177" i="14701" a="1"/>
  <c r="M166" i="14701" a="1"/>
  <c r="F173" i="14701" a="1"/>
  <c r="J169" i="14701" a="1"/>
  <c r="N23" i="14701"/>
  <c r="K168" i="14701" a="1"/>
  <c r="L167" i="14701" a="1"/>
  <c r="N165" i="14701" a="1"/>
  <c r="G172" i="14701" a="1"/>
  <c r="E174" i="14701" a="1"/>
  <c r="D175" i="14701" a="1"/>
  <c r="C57" i="14683"/>
  <c r="C74" i="14643"/>
  <c r="H192" i="14700"/>
  <c r="J192" i="14700"/>
  <c r="E192" i="14700"/>
  <c r="O192" i="14700"/>
  <c r="M192" i="14700"/>
  <c r="N192" i="14700"/>
  <c r="K192" i="14700"/>
  <c r="L192" i="14700"/>
  <c r="G192" i="14700"/>
  <c r="P192" i="14700"/>
  <c r="F192" i="14700"/>
  <c r="I192" i="14700"/>
  <c r="V184" i="14700"/>
  <c r="U184" i="14700"/>
  <c r="O184" i="14700"/>
  <c r="W184" i="14700"/>
  <c r="Q184" i="14700"/>
  <c r="X184" i="14700"/>
  <c r="P184" i="14700"/>
  <c r="N184" i="14700"/>
  <c r="R184" i="14700"/>
  <c r="T184" i="14700"/>
  <c r="M184" i="14700"/>
  <c r="S184" i="14700"/>
  <c r="J190" i="14700"/>
  <c r="O190" i="14700"/>
  <c r="K190" i="14700"/>
  <c r="H190" i="14700"/>
  <c r="M190" i="14700"/>
  <c r="G190" i="14700"/>
  <c r="N190" i="14700"/>
  <c r="L190" i="14700"/>
  <c r="P190" i="14700"/>
  <c r="Q190" i="14700"/>
  <c r="R190" i="14700"/>
  <c r="I190" i="14700"/>
  <c r="F191" i="14700"/>
  <c r="I191" i="14700"/>
  <c r="P191" i="14700"/>
  <c r="K191" i="14700"/>
  <c r="M191" i="14700"/>
  <c r="N191" i="14700"/>
  <c r="G191" i="14700"/>
  <c r="L191" i="14700"/>
  <c r="J191" i="14700"/>
  <c r="O191" i="14700"/>
  <c r="Q191" i="14700"/>
  <c r="H191" i="14700"/>
  <c r="L195" i="14700"/>
  <c r="M195" i="14700"/>
  <c r="E195" i="14700"/>
  <c r="D195" i="14700"/>
  <c r="G195" i="14700"/>
  <c r="C195" i="14700"/>
  <c r="O195" i="14698" s="1"/>
  <c r="H195" i="14700"/>
  <c r="B195" i="14700"/>
  <c r="I195" i="14700"/>
  <c r="J195" i="14700"/>
  <c r="F195" i="14700"/>
  <c r="K195" i="14700"/>
  <c r="O188" i="14700"/>
  <c r="S188" i="14700"/>
  <c r="M188" i="14700"/>
  <c r="P188" i="14700"/>
  <c r="T188" i="14700"/>
  <c r="L188" i="14700"/>
  <c r="K188" i="14700"/>
  <c r="I188" i="14700"/>
  <c r="R188" i="14700"/>
  <c r="N188" i="14700"/>
  <c r="J188" i="14700"/>
  <c r="Q188" i="14700"/>
  <c r="J170" i="14700"/>
  <c r="O170" i="14700"/>
  <c r="T170" i="14700"/>
  <c r="M170" i="14700"/>
  <c r="I170" i="14700"/>
  <c r="P170" i="14700"/>
  <c r="N170" i="14700"/>
  <c r="L170" i="14700"/>
  <c r="Q170" i="14700"/>
  <c r="S170" i="14700"/>
  <c r="R170" i="14700"/>
  <c r="K170" i="14700"/>
  <c r="I177" i="14700"/>
  <c r="E177" i="14700"/>
  <c r="D177" i="14700"/>
  <c r="G177" i="14700"/>
  <c r="C177" i="14700"/>
  <c r="O177" i="14698" s="1"/>
  <c r="J177" i="14700"/>
  <c r="F177" i="14700"/>
  <c r="H177" i="14700"/>
  <c r="L177" i="14700"/>
  <c r="K177" i="14700"/>
  <c r="M177" i="14700"/>
  <c r="B177" i="14700"/>
  <c r="J171" i="14700"/>
  <c r="Q171" i="14700"/>
  <c r="O171" i="14700"/>
  <c r="N171" i="14700"/>
  <c r="R171" i="14700"/>
  <c r="M171" i="14700"/>
  <c r="P171" i="14700"/>
  <c r="I171" i="14700"/>
  <c r="H171" i="14700"/>
  <c r="K171" i="14700"/>
  <c r="L171" i="14700"/>
  <c r="S171" i="14700"/>
  <c r="I173" i="14700"/>
  <c r="H173" i="14700"/>
  <c r="F173" i="14700"/>
  <c r="P173" i="14700"/>
  <c r="N173" i="14700"/>
  <c r="L173" i="14700"/>
  <c r="G173" i="14700"/>
  <c r="J173" i="14700"/>
  <c r="O173" i="14700"/>
  <c r="Q173" i="14700"/>
  <c r="M173" i="14700"/>
  <c r="K173" i="14700"/>
  <c r="K169" i="14700"/>
  <c r="U169" i="14700"/>
  <c r="N169" i="14700"/>
  <c r="Q169" i="14700"/>
  <c r="P169" i="14700"/>
  <c r="M169" i="14700"/>
  <c r="R169" i="14700"/>
  <c r="J169" i="14700"/>
  <c r="T169" i="14700"/>
  <c r="L169" i="14700"/>
  <c r="O169" i="14700"/>
  <c r="S169" i="14700"/>
  <c r="L175" i="14700"/>
  <c r="H175" i="14700"/>
  <c r="J175" i="14700"/>
  <c r="N175" i="14700"/>
  <c r="O175" i="14700"/>
  <c r="E175" i="14700"/>
  <c r="I175" i="14700"/>
  <c r="K175" i="14700"/>
  <c r="G175" i="14700"/>
  <c r="M175" i="14700"/>
  <c r="F175" i="14700"/>
  <c r="D175" i="14700"/>
  <c r="H243" i="14700"/>
  <c r="R243" i="14700"/>
  <c r="J243" i="14700"/>
  <c r="P243" i="14700"/>
  <c r="L243" i="14700"/>
  <c r="Q243" i="14700"/>
  <c r="K243" i="14700"/>
  <c r="N243" i="14700"/>
  <c r="O243" i="14700"/>
  <c r="S243" i="14700"/>
  <c r="M243" i="14700"/>
  <c r="I243" i="14700"/>
  <c r="J245" i="14700"/>
  <c r="G245" i="14700"/>
  <c r="F245" i="14700"/>
  <c r="Q245" i="14700"/>
  <c r="P245" i="14700"/>
  <c r="M245" i="14700"/>
  <c r="H245" i="14700"/>
  <c r="K245" i="14700"/>
  <c r="I245" i="14700"/>
  <c r="N245" i="14700"/>
  <c r="L245" i="14700"/>
  <c r="O245" i="14700"/>
  <c r="G244" i="14700"/>
  <c r="L244" i="14700"/>
  <c r="H244" i="14700"/>
  <c r="I244" i="14700"/>
  <c r="P244" i="14700"/>
  <c r="J244" i="14700"/>
  <c r="M244" i="14700"/>
  <c r="O244" i="14700"/>
  <c r="R244" i="14700"/>
  <c r="K244" i="14700"/>
  <c r="Q244" i="14700"/>
  <c r="N244" i="14700"/>
  <c r="P240" i="14700"/>
  <c r="O240" i="14700"/>
  <c r="N240" i="14700"/>
  <c r="R240" i="14700"/>
  <c r="S240" i="14700"/>
  <c r="K240" i="14700"/>
  <c r="V240" i="14700"/>
  <c r="T240" i="14700"/>
  <c r="U240" i="14700"/>
  <c r="L240" i="14700"/>
  <c r="M240" i="14700"/>
  <c r="Q240" i="14700"/>
  <c r="J242" i="14700"/>
  <c r="T242" i="14700"/>
  <c r="I242" i="14700"/>
  <c r="Q242" i="14700"/>
  <c r="R242" i="14700"/>
  <c r="S242" i="14700"/>
  <c r="N242" i="14700"/>
  <c r="P242" i="14700"/>
  <c r="O242" i="14700"/>
  <c r="K242" i="14700"/>
  <c r="L242" i="14700"/>
  <c r="M242" i="14700"/>
  <c r="E246" i="14700"/>
  <c r="M246" i="14700"/>
  <c r="I246" i="14700"/>
  <c r="J246" i="14700"/>
  <c r="K246" i="14700"/>
  <c r="L246" i="14700"/>
  <c r="F246" i="14700"/>
  <c r="H246" i="14700"/>
  <c r="N246" i="14700"/>
  <c r="P246" i="14700"/>
  <c r="G246" i="14700"/>
  <c r="O246" i="14700"/>
  <c r="G15" i="14622"/>
  <c r="B42" i="14622"/>
  <c r="B11" i="14622"/>
  <c r="P28" i="14655"/>
  <c r="I28" i="14655"/>
  <c r="J28" i="14655"/>
  <c r="N28" i="14655"/>
  <c r="M28" i="14655"/>
  <c r="O28" i="14655"/>
  <c r="K28" i="14655"/>
  <c r="L28" i="14655"/>
  <c r="Q27" i="14655"/>
  <c r="E28" i="14655"/>
  <c r="O39" i="14639" l="1"/>
  <c r="C41" i="14639" a="1"/>
  <c r="R28" i="14638"/>
  <c r="F25" i="14678" a="1"/>
  <c r="N38" i="14637"/>
  <c r="N39" i="14637"/>
  <c r="O19" i="14639"/>
  <c r="B28" i="14638"/>
  <c r="B10" i="14670"/>
  <c r="N33" i="14637"/>
  <c r="E24" i="14678" a="1"/>
  <c r="N28" i="14638"/>
  <c r="N36" i="14637"/>
  <c r="N34" i="14637"/>
  <c r="B21" i="14678" a="1"/>
  <c r="E27" i="14638"/>
  <c r="E10" i="14670" s="1"/>
  <c r="Q28" i="14638"/>
  <c r="D27" i="14638"/>
  <c r="D10" i="14670" s="1"/>
  <c r="C27" i="14638"/>
  <c r="C10" i="14670" s="1"/>
  <c r="P28" i="14638"/>
  <c r="E27" i="14683"/>
  <c r="F19" i="14683" s="1" a="1"/>
  <c r="C22" i="14678" a="1"/>
  <c r="C23" i="14678" s="1"/>
  <c r="J27" i="14638"/>
  <c r="J10" i="14670" s="1"/>
  <c r="S28" i="14638"/>
  <c r="N5" i="14640"/>
  <c r="G5" i="14617" s="1" a="1"/>
  <c r="B7" i="14640" a="1"/>
  <c r="B7" i="14640" s="1"/>
  <c r="D23" i="14678" a="1"/>
  <c r="D26" i="14678" s="1"/>
  <c r="I27" i="14638"/>
  <c r="I10" i="14670" s="1"/>
  <c r="H27" i="14638"/>
  <c r="H10" i="14670" s="1"/>
  <c r="M27" i="14638"/>
  <c r="M28" i="14638" s="1"/>
  <c r="G27" i="14638"/>
  <c r="G10" i="14670" s="1"/>
  <c r="O28" i="14638"/>
  <c r="F27" i="14638"/>
  <c r="F10" i="14670" s="1"/>
  <c r="N15" i="14638"/>
  <c r="K27" i="14638"/>
  <c r="K10" i="14670" s="1"/>
  <c r="L27" i="14638"/>
  <c r="L10" i="14670" s="1"/>
  <c r="E50" i="14624"/>
  <c r="D40" i="14711" a="1"/>
  <c r="D5" i="14711" a="1"/>
  <c r="D20" i="14711" a="1"/>
  <c r="F53" i="14624"/>
  <c r="M42" i="14624"/>
  <c r="B39" i="14624"/>
  <c r="K41" i="14624"/>
  <c r="B47" i="14624"/>
  <c r="G39" i="14624"/>
  <c r="B45" i="14624"/>
  <c r="L54" i="14624"/>
  <c r="J41" i="14624"/>
  <c r="L53" i="14624"/>
  <c r="J39" i="14624"/>
  <c r="M53" i="14624"/>
  <c r="F51" i="14624"/>
  <c r="B37" i="14624"/>
  <c r="G51" i="14624"/>
  <c r="M46" i="14624"/>
  <c r="M49" i="14624"/>
  <c r="I41" i="14624"/>
  <c r="K48" i="14624"/>
  <c r="I37" i="14624"/>
  <c r="K44" i="14624"/>
  <c r="C38" i="14624"/>
  <c r="K42" i="14624"/>
  <c r="J47" i="14624"/>
  <c r="K54" i="14624"/>
  <c r="I49" i="14624"/>
  <c r="C41" i="14624"/>
  <c r="J52" i="14624"/>
  <c r="E40" i="14624"/>
  <c r="F46" i="14624"/>
  <c r="F38" i="14624"/>
  <c r="G54" i="14624"/>
  <c r="E49" i="14624"/>
  <c r="G40" i="14624"/>
  <c r="B52" i="14624"/>
  <c r="M38" i="14624"/>
  <c r="J45" i="14624"/>
  <c r="J37" i="14624"/>
  <c r="G53" i="14624"/>
  <c r="K47" i="14624"/>
  <c r="K38" i="14624"/>
  <c r="J50" i="14624"/>
  <c r="E36" i="14624"/>
  <c r="F44" i="14624"/>
  <c r="F36" i="14624"/>
  <c r="J33" i="14652"/>
  <c r="J37" i="14652"/>
  <c r="J35" i="14652"/>
  <c r="J40" i="14652"/>
  <c r="J39" i="14652"/>
  <c r="J38" i="14652"/>
  <c r="J34" i="14652"/>
  <c r="J36" i="14652"/>
  <c r="M52" i="14624"/>
  <c r="C47" i="14624"/>
  <c r="K37" i="14624"/>
  <c r="B50" i="14624"/>
  <c r="M54" i="14624"/>
  <c r="J43" i="14624"/>
  <c r="J35" i="14624"/>
  <c r="H17" i="14669"/>
  <c r="M17" i="14669"/>
  <c r="E17" i="14669"/>
  <c r="J21" i="14669"/>
  <c r="M20" i="14669"/>
  <c r="F21" i="14669"/>
  <c r="G21" i="14669"/>
  <c r="I20" i="14669"/>
  <c r="D22" i="14669"/>
  <c r="C18" i="14669"/>
  <c r="F20" i="14669"/>
  <c r="D21" i="14669"/>
  <c r="L23" i="14669"/>
  <c r="J24" i="14669"/>
  <c r="D20" i="14669"/>
  <c r="L18" i="14669"/>
  <c r="F19" i="14669"/>
  <c r="E20" i="14669"/>
  <c r="D23" i="14669"/>
  <c r="M23" i="14669"/>
  <c r="M22" i="14669"/>
  <c r="L24" i="14669"/>
  <c r="K22" i="14669"/>
  <c r="D24" i="14669"/>
  <c r="G24" i="14669"/>
  <c r="K19" i="14669"/>
  <c r="G20" i="14669"/>
  <c r="L22" i="14669"/>
  <c r="B19" i="14669"/>
  <c r="G17" i="14669"/>
  <c r="L17" i="14669"/>
  <c r="G19" i="14669"/>
  <c r="J19" i="14669"/>
  <c r="M21" i="14669"/>
  <c r="L19" i="14669"/>
  <c r="I22" i="14669"/>
  <c r="D17" i="14669"/>
  <c r="C19" i="14669"/>
  <c r="B24" i="14669"/>
  <c r="E22" i="14669"/>
  <c r="F22" i="14669"/>
  <c r="L20" i="14669"/>
  <c r="J22" i="14669"/>
  <c r="H22" i="14669"/>
  <c r="E21" i="14669"/>
  <c r="F24" i="14669"/>
  <c r="B22" i="14669"/>
  <c r="J23" i="14669"/>
  <c r="K24" i="14669"/>
  <c r="L21" i="14669"/>
  <c r="M19" i="14669"/>
  <c r="C21" i="14669"/>
  <c r="H18" i="14669"/>
  <c r="K20" i="14669"/>
  <c r="H21" i="14669"/>
  <c r="K21" i="14669"/>
  <c r="E23" i="14669"/>
  <c r="I18" i="14669"/>
  <c r="G22" i="14669"/>
  <c r="B23" i="14669"/>
  <c r="G23" i="14669"/>
  <c r="F18" i="14669"/>
  <c r="B21" i="14669"/>
  <c r="H23" i="14669"/>
  <c r="B17" i="14669"/>
  <c r="H24" i="14669"/>
  <c r="B18" i="14669"/>
  <c r="I24" i="14669"/>
  <c r="E24" i="14669"/>
  <c r="G18" i="14669"/>
  <c r="B20" i="14669"/>
  <c r="K23" i="14669"/>
  <c r="H20" i="14669"/>
  <c r="I23" i="14669"/>
  <c r="J18" i="14669"/>
  <c r="H19" i="14669"/>
  <c r="C17" i="14669"/>
  <c r="E18" i="14669"/>
  <c r="F23" i="14669"/>
  <c r="I19" i="14669"/>
  <c r="I17" i="14669"/>
  <c r="F17" i="14669"/>
  <c r="D18" i="14669"/>
  <c r="I21" i="14669"/>
  <c r="C22" i="14669"/>
  <c r="C23" i="14669"/>
  <c r="M24" i="14669"/>
  <c r="D19" i="14669"/>
  <c r="C24" i="14669"/>
  <c r="M18" i="14669"/>
  <c r="E19" i="14669"/>
  <c r="C20" i="14669"/>
  <c r="K17" i="14669"/>
  <c r="J20" i="14669"/>
  <c r="K18" i="14669"/>
  <c r="J17" i="14669"/>
  <c r="G52" i="14624"/>
  <c r="G46" i="14624"/>
  <c r="C37" i="14624"/>
  <c r="F49" i="14624"/>
  <c r="K52" i="14624"/>
  <c r="B43" i="14624"/>
  <c r="B35" i="14624"/>
  <c r="F58" i="14707"/>
  <c r="F62" i="14707"/>
  <c r="F59" i="14707"/>
  <c r="F61" i="14707"/>
  <c r="F57" i="14707"/>
  <c r="F56" i="14707"/>
  <c r="F60" i="14707"/>
  <c r="F55" i="14707"/>
  <c r="M51" i="14624"/>
  <c r="K45" i="14624"/>
  <c r="C36" i="14624"/>
  <c r="E48" i="14624"/>
  <c r="G48" i="14624"/>
  <c r="F42" i="14624"/>
  <c r="B5" i="14670" a="1"/>
  <c r="B36" i="14681"/>
  <c r="N36" i="14681" s="1"/>
  <c r="F23" i="14657" s="1"/>
  <c r="N25" i="14668"/>
  <c r="I35" i="14652"/>
  <c r="I33" i="14652"/>
  <c r="I37" i="14652"/>
  <c r="I34" i="14652"/>
  <c r="I39" i="14652"/>
  <c r="I40" i="14652"/>
  <c r="I36" i="14652"/>
  <c r="I38" i="14652"/>
  <c r="C36" i="14674"/>
  <c r="N38" i="14674"/>
  <c r="L34" i="14674"/>
  <c r="L38" i="14674"/>
  <c r="N31" i="14674"/>
  <c r="M36" i="14674"/>
  <c r="G35" i="14674"/>
  <c r="J32" i="14674"/>
  <c r="K35" i="14674"/>
  <c r="D33" i="14674"/>
  <c r="N35" i="14674"/>
  <c r="F33" i="14674"/>
  <c r="G38" i="14674"/>
  <c r="D35" i="14674"/>
  <c r="L35" i="14674"/>
  <c r="I36" i="14674"/>
  <c r="F35" i="14674"/>
  <c r="I37" i="14674"/>
  <c r="H38" i="14674"/>
  <c r="M31" i="14674"/>
  <c r="G33" i="14674"/>
  <c r="F34" i="14674"/>
  <c r="M34" i="14674"/>
  <c r="D37" i="14674"/>
  <c r="K37" i="14674"/>
  <c r="H31" i="14674"/>
  <c r="H37" i="14674"/>
  <c r="G37" i="14674"/>
  <c r="E37" i="14674"/>
  <c r="D38" i="14674"/>
  <c r="K38" i="14674"/>
  <c r="F37" i="14674"/>
  <c r="N32" i="14674"/>
  <c r="C35" i="14674"/>
  <c r="E38" i="14674"/>
  <c r="C33" i="14674"/>
  <c r="J33" i="14674"/>
  <c r="G36" i="14674"/>
  <c r="G32" i="14674"/>
  <c r="M32" i="14674"/>
  <c r="L37" i="14674"/>
  <c r="N33" i="14674"/>
  <c r="N37" i="14674"/>
  <c r="M33" i="14674"/>
  <c r="I38" i="14674"/>
  <c r="J31" i="14674"/>
  <c r="J35" i="14674"/>
  <c r="J37" i="14674"/>
  <c r="M35" i="14674"/>
  <c r="F32" i="14674"/>
  <c r="G34" i="14674"/>
  <c r="I31" i="14674"/>
  <c r="C32" i="14674"/>
  <c r="C37" i="14674"/>
  <c r="H36" i="14674"/>
  <c r="D32" i="14674"/>
  <c r="C31" i="14674"/>
  <c r="L31" i="14674"/>
  <c r="L32" i="14674"/>
  <c r="L36" i="14674"/>
  <c r="I35" i="14674"/>
  <c r="K34" i="14674"/>
  <c r="J36" i="14674"/>
  <c r="J38" i="14674"/>
  <c r="E32" i="14674"/>
  <c r="N36" i="14674"/>
  <c r="I33" i="14674"/>
  <c r="M37" i="14674"/>
  <c r="K36" i="14674"/>
  <c r="G31" i="14674"/>
  <c r="F31" i="14674"/>
  <c r="E34" i="14674"/>
  <c r="D31" i="14674"/>
  <c r="E31" i="14674"/>
  <c r="C38" i="14674"/>
  <c r="H35" i="14674"/>
  <c r="E35" i="14674"/>
  <c r="M38" i="14674"/>
  <c r="J34" i="14674"/>
  <c r="I34" i="14674"/>
  <c r="L33" i="14674"/>
  <c r="H33" i="14674"/>
  <c r="I32" i="14674"/>
  <c r="F36" i="14674"/>
  <c r="K31" i="14674"/>
  <c r="D36" i="14674"/>
  <c r="N34" i="14674"/>
  <c r="E33" i="14674"/>
  <c r="K33" i="14674"/>
  <c r="H34" i="14674"/>
  <c r="F38" i="14674"/>
  <c r="E36" i="14674"/>
  <c r="C34" i="14674"/>
  <c r="D34" i="14674"/>
  <c r="K32" i="14674"/>
  <c r="H32" i="14674"/>
  <c r="C51" i="14624"/>
  <c r="C44" i="14624"/>
  <c r="H54" i="14624"/>
  <c r="I45" i="14624"/>
  <c r="B49" i="14624"/>
  <c r="B41" i="14624"/>
  <c r="H7" i="14678"/>
  <c r="B13" i="14678"/>
  <c r="B11" i="14678"/>
  <c r="H11" i="14678"/>
  <c r="J8" i="14678"/>
  <c r="G12" i="14678"/>
  <c r="J11" i="14678"/>
  <c r="J12" i="14678"/>
  <c r="D14" i="14678"/>
  <c r="K9" i="14678"/>
  <c r="G7" i="14678"/>
  <c r="G13" i="14678"/>
  <c r="C7" i="14678"/>
  <c r="D8" i="14678"/>
  <c r="G11" i="14678"/>
  <c r="C13" i="14678"/>
  <c r="D9" i="14678"/>
  <c r="B7" i="14678"/>
  <c r="B14" i="14678"/>
  <c r="H13" i="14678"/>
  <c r="M11" i="14678"/>
  <c r="H8" i="14678"/>
  <c r="F9" i="14678"/>
  <c r="E10" i="14678"/>
  <c r="C11" i="14678"/>
  <c r="M7" i="14678"/>
  <c r="E11" i="14678"/>
  <c r="D12" i="14678"/>
  <c r="I14" i="14678"/>
  <c r="B9" i="14678"/>
  <c r="J10" i="14678"/>
  <c r="H9" i="14678"/>
  <c r="G9" i="14678"/>
  <c r="B12" i="14678"/>
  <c r="E14" i="14678"/>
  <c r="G8" i="14678"/>
  <c r="K7" i="14678"/>
  <c r="K12" i="14678"/>
  <c r="J9" i="14678"/>
  <c r="L10" i="14678"/>
  <c r="M8" i="14678"/>
  <c r="J7" i="14678"/>
  <c r="F13" i="14678"/>
  <c r="K11" i="14678"/>
  <c r="E7" i="14678"/>
  <c r="D10" i="14678"/>
  <c r="F14" i="14678"/>
  <c r="D11" i="14678"/>
  <c r="C12" i="14678"/>
  <c r="F7" i="14678"/>
  <c r="E9" i="14678"/>
  <c r="H14" i="14678"/>
  <c r="G14" i="14678"/>
  <c r="M14" i="14678"/>
  <c r="I8" i="14678"/>
  <c r="I12" i="14678"/>
  <c r="I7" i="14678"/>
  <c r="K8" i="14678"/>
  <c r="E8" i="14678"/>
  <c r="F10" i="14678"/>
  <c r="J13" i="14678"/>
  <c r="M13" i="14678"/>
  <c r="H10" i="14678"/>
  <c r="D13" i="14678"/>
  <c r="K10" i="14678"/>
  <c r="E12" i="14678"/>
  <c r="C9" i="14678"/>
  <c r="B8" i="14678"/>
  <c r="L12" i="14678"/>
  <c r="C10" i="14678"/>
  <c r="M12" i="14678"/>
  <c r="F12" i="14678"/>
  <c r="D7" i="14678"/>
  <c r="C14" i="14678"/>
  <c r="K14" i="14678"/>
  <c r="M9" i="14678"/>
  <c r="L11" i="14678"/>
  <c r="I9" i="14678"/>
  <c r="L14" i="14678"/>
  <c r="H12" i="14678"/>
  <c r="J14" i="14678"/>
  <c r="L9" i="14678"/>
  <c r="B10" i="14678"/>
  <c r="I10" i="14678"/>
  <c r="F11" i="14678"/>
  <c r="F8" i="14678"/>
  <c r="L8" i="14678"/>
  <c r="I13" i="14678"/>
  <c r="K13" i="14678"/>
  <c r="M10" i="14678"/>
  <c r="L7" i="14678"/>
  <c r="I11" i="14678"/>
  <c r="C8" i="14678"/>
  <c r="E13" i="14678"/>
  <c r="G10" i="14678"/>
  <c r="L13" i="14678"/>
  <c r="K50" i="14624"/>
  <c r="G43" i="14624"/>
  <c r="D54" i="14624"/>
  <c r="E44" i="14624"/>
  <c r="F48" i="14624"/>
  <c r="F40" i="14624"/>
  <c r="B32" i="14668" a="1"/>
  <c r="C79" i="14643" a="1"/>
  <c r="G24" i="14707" a="1"/>
  <c r="G19" i="14683" a="1"/>
  <c r="I54" i="14624"/>
  <c r="C54" i="14624"/>
  <c r="I53" i="14624"/>
  <c r="C53" i="14624"/>
  <c r="I52" i="14624"/>
  <c r="C52" i="14624"/>
  <c r="I51" i="14624"/>
  <c r="E51" i="14624"/>
  <c r="M50" i="14624"/>
  <c r="G50" i="14624"/>
  <c r="C50" i="14624"/>
  <c r="K49" i="14624"/>
  <c r="G49" i="14624"/>
  <c r="C49" i="14624"/>
  <c r="C48" i="14624"/>
  <c r="G47" i="14624"/>
  <c r="K46" i="14624"/>
  <c r="C46" i="14624"/>
  <c r="G45" i="14624"/>
  <c r="G44" i="14624"/>
  <c r="K43" i="14624"/>
  <c r="C43" i="14624"/>
  <c r="G42" i="14624"/>
  <c r="G41" i="14624"/>
  <c r="K40" i="14624"/>
  <c r="C40" i="14624"/>
  <c r="C39" i="14624"/>
  <c r="G38" i="14624"/>
  <c r="G37" i="14624"/>
  <c r="G36" i="14624"/>
  <c r="G35" i="14624"/>
  <c r="J54" i="14624"/>
  <c r="F54" i="14624"/>
  <c r="B54" i="14624"/>
  <c r="J53" i="14624"/>
  <c r="B53" i="14624"/>
  <c r="F52" i="14624"/>
  <c r="J51" i="14624"/>
  <c r="B51" i="14624"/>
  <c r="F50" i="14624"/>
  <c r="J49" i="14624"/>
  <c r="M48" i="14624"/>
  <c r="I47" i="14624"/>
  <c r="E46" i="14624"/>
  <c r="M44" i="14624"/>
  <c r="I43" i="14624"/>
  <c r="E42" i="14624"/>
  <c r="M40" i="14624"/>
  <c r="I39" i="14624"/>
  <c r="E38" i="14624"/>
  <c r="M36" i="14624"/>
  <c r="I35" i="14624"/>
  <c r="K53" i="14624"/>
  <c r="K51" i="14624"/>
  <c r="C42" i="14624"/>
  <c r="K35" i="14624"/>
  <c r="J48" i="14624"/>
  <c r="B48" i="14624"/>
  <c r="F47" i="14624"/>
  <c r="J46" i="14624"/>
  <c r="B46" i="14624"/>
  <c r="F45" i="14624"/>
  <c r="J44" i="14624"/>
  <c r="B44" i="14624"/>
  <c r="F43" i="14624"/>
  <c r="J42" i="14624"/>
  <c r="B42" i="14624"/>
  <c r="F41" i="14624"/>
  <c r="J40" i="14624"/>
  <c r="B40" i="14624"/>
  <c r="F39" i="14624"/>
  <c r="J38" i="14624"/>
  <c r="B38" i="14624"/>
  <c r="F37" i="14624"/>
  <c r="J36" i="14624"/>
  <c r="B36" i="14624"/>
  <c r="D35" i="14624"/>
  <c r="H35" i="14624"/>
  <c r="L35" i="14624"/>
  <c r="D36" i="14624"/>
  <c r="H36" i="14624"/>
  <c r="L36" i="14624"/>
  <c r="D37" i="14624"/>
  <c r="H37" i="14624"/>
  <c r="L37" i="14624"/>
  <c r="D38" i="14624"/>
  <c r="H38" i="14624"/>
  <c r="L38" i="14624"/>
  <c r="D39" i="14624"/>
  <c r="H39" i="14624"/>
  <c r="L39" i="14624"/>
  <c r="D40" i="14624"/>
  <c r="H40" i="14624"/>
  <c r="L40" i="14624"/>
  <c r="D41" i="14624"/>
  <c r="H41" i="14624"/>
  <c r="L41" i="14624"/>
  <c r="D42" i="14624"/>
  <c r="H42" i="14624"/>
  <c r="L42" i="14624"/>
  <c r="D43" i="14624"/>
  <c r="H43" i="14624"/>
  <c r="L43" i="14624"/>
  <c r="D44" i="14624"/>
  <c r="H44" i="14624"/>
  <c r="L44" i="14624"/>
  <c r="D45" i="14624"/>
  <c r="H45" i="14624"/>
  <c r="L45" i="14624"/>
  <c r="D46" i="14624"/>
  <c r="H46" i="14624"/>
  <c r="L46" i="14624"/>
  <c r="D47" i="14624"/>
  <c r="H47" i="14624"/>
  <c r="L47" i="14624"/>
  <c r="D48" i="14624"/>
  <c r="H48" i="14624"/>
  <c r="L48" i="14624"/>
  <c r="C35" i="14624"/>
  <c r="K36" i="14624"/>
  <c r="K39" i="14624"/>
  <c r="C45" i="14624"/>
  <c r="I50" i="14624"/>
  <c r="E52" i="14624"/>
  <c r="E53" i="14624"/>
  <c r="E54" i="14624"/>
  <c r="E35" i="14624"/>
  <c r="M35" i="14624"/>
  <c r="I36" i="14624"/>
  <c r="E37" i="14624"/>
  <c r="M37" i="14624"/>
  <c r="I38" i="14624"/>
  <c r="E39" i="14624"/>
  <c r="M39" i="14624"/>
  <c r="I40" i="14624"/>
  <c r="E41" i="14624"/>
  <c r="M41" i="14624"/>
  <c r="I42" i="14624"/>
  <c r="E43" i="14624"/>
  <c r="M43" i="14624"/>
  <c r="I44" i="14624"/>
  <c r="E45" i="14624"/>
  <c r="M45" i="14624"/>
  <c r="I46" i="14624"/>
  <c r="E47" i="14624"/>
  <c r="M47" i="14624"/>
  <c r="I48" i="14624"/>
  <c r="D49" i="14624"/>
  <c r="H49" i="14624"/>
  <c r="L49" i="14624"/>
  <c r="D50" i="14624"/>
  <c r="H50" i="14624"/>
  <c r="L50" i="14624"/>
  <c r="D51" i="14624"/>
  <c r="H51" i="14624"/>
  <c r="L51" i="14624"/>
  <c r="D52" i="14624"/>
  <c r="H52" i="14624"/>
  <c r="L52" i="14624"/>
  <c r="D53" i="14624"/>
  <c r="H53" i="14624"/>
  <c r="J47" i="14703"/>
  <c r="Y197" i="14703"/>
  <c r="B38" i="14710" a="1"/>
  <c r="B20" i="14710" a="1"/>
  <c r="B29" i="14710" a="1"/>
  <c r="B11" i="14710" a="1"/>
  <c r="B47" i="14710" a="1"/>
  <c r="H34" i="14706"/>
  <c r="J35" i="14706"/>
  <c r="J33" i="14667"/>
  <c r="H32" i="14667"/>
  <c r="B57" i="14683"/>
  <c r="D49" i="14683" s="1" a="1"/>
  <c r="B5" i="14710" a="1"/>
  <c r="A11" i="14710"/>
  <c r="A17" i="14710" s="1"/>
  <c r="E7" i="14681"/>
  <c r="R7" i="14657" a="1"/>
  <c r="I51" i="14703"/>
  <c r="M48" i="14703"/>
  <c r="I53" i="14703"/>
  <c r="H40" i="14643"/>
  <c r="M47" i="14703"/>
  <c r="L179" i="14703"/>
  <c r="J174" i="14704"/>
  <c r="B53" i="14703"/>
  <c r="H44" i="14643"/>
  <c r="H41" i="14643"/>
  <c r="K215" i="14703"/>
  <c r="V215" i="14703"/>
  <c r="Y215" i="14703"/>
  <c r="J11" i="14683"/>
  <c r="J46" i="14703"/>
  <c r="L47" i="14703"/>
  <c r="N179" i="14703"/>
  <c r="V179" i="14703"/>
  <c r="K52" i="14703"/>
  <c r="B197" i="14703"/>
  <c r="W197" i="14703"/>
  <c r="O244" i="14704"/>
  <c r="K53" i="14703"/>
  <c r="E47" i="14703"/>
  <c r="G47" i="14703"/>
  <c r="H47" i="14703"/>
  <c r="R179" i="14703"/>
  <c r="J179" i="14703"/>
  <c r="H179" i="14703"/>
  <c r="L52" i="14703"/>
  <c r="I52" i="14703"/>
  <c r="Q197" i="14703"/>
  <c r="R197" i="14703"/>
  <c r="G197" i="14703"/>
  <c r="K206" i="14704"/>
  <c r="R166" i="14704"/>
  <c r="B49" i="14703"/>
  <c r="E49" i="14703"/>
  <c r="J49" i="14703"/>
  <c r="Q215" i="14703"/>
  <c r="M215" i="14703"/>
  <c r="C215" i="14703"/>
  <c r="V161" i="14703"/>
  <c r="J51" i="14703"/>
  <c r="I215" i="14703"/>
  <c r="G215" i="14703"/>
  <c r="L215" i="14703"/>
  <c r="T215" i="14703"/>
  <c r="N215" i="14703"/>
  <c r="E215" i="14703"/>
  <c r="G51" i="14703"/>
  <c r="C194" i="14704"/>
  <c r="O194" i="14702" s="1"/>
  <c r="K48" i="14703"/>
  <c r="C46" i="14703"/>
  <c r="I47" i="14703"/>
  <c r="D47" i="14703"/>
  <c r="K47" i="14703"/>
  <c r="C47" i="14703"/>
  <c r="F47" i="14703"/>
  <c r="M179" i="14703"/>
  <c r="E179" i="14703"/>
  <c r="O179" i="14703"/>
  <c r="P179" i="14703"/>
  <c r="I179" i="14703"/>
  <c r="G179" i="14703"/>
  <c r="C52" i="14703"/>
  <c r="M52" i="14703"/>
  <c r="D52" i="14703"/>
  <c r="N197" i="14703"/>
  <c r="T197" i="14703"/>
  <c r="F197" i="14703"/>
  <c r="V197" i="14703"/>
  <c r="I197" i="14703"/>
  <c r="D197" i="14703"/>
  <c r="X130" i="14704"/>
  <c r="N111" i="14704"/>
  <c r="S201" i="14704"/>
  <c r="N171" i="14704"/>
  <c r="P151" i="14704"/>
  <c r="M49" i="14703"/>
  <c r="H48" i="14703"/>
  <c r="G53" i="14703"/>
  <c r="D49" i="14703"/>
  <c r="E53" i="14703"/>
  <c r="C53" i="14703"/>
  <c r="N190" i="14704"/>
  <c r="K186" i="14704"/>
  <c r="U114" i="14704"/>
  <c r="C213" i="14704"/>
  <c r="O213" i="14702" s="1"/>
  <c r="E174" i="14704"/>
  <c r="M174" i="14704"/>
  <c r="Q166" i="14704"/>
  <c r="Q220" i="14704"/>
  <c r="R238" i="14704"/>
  <c r="I49" i="14703"/>
  <c r="K49" i="14703"/>
  <c r="H49" i="14703"/>
  <c r="B48" i="14703"/>
  <c r="F211" i="14704"/>
  <c r="H53" i="14703"/>
  <c r="M53" i="14703"/>
  <c r="F53" i="14703"/>
  <c r="G49" i="14703"/>
  <c r="G48" i="14703"/>
  <c r="J53" i="14703"/>
  <c r="L49" i="14703"/>
  <c r="F49" i="14703"/>
  <c r="D53" i="14703"/>
  <c r="I61" i="14643"/>
  <c r="W215" i="14703"/>
  <c r="J215" i="14703"/>
  <c r="X215" i="14703"/>
  <c r="P215" i="14703"/>
  <c r="F215" i="14703"/>
  <c r="H215" i="14703"/>
  <c r="R215" i="14703"/>
  <c r="S215" i="14703"/>
  <c r="O215" i="14703"/>
  <c r="D215" i="14703"/>
  <c r="B215" i="14703"/>
  <c r="I125" i="14703"/>
  <c r="H233" i="14703"/>
  <c r="B51" i="14703"/>
  <c r="E51" i="14703"/>
  <c r="K51" i="14703"/>
  <c r="L154" i="14704"/>
  <c r="R149" i="14704"/>
  <c r="O143" i="14703"/>
  <c r="L161" i="14703"/>
  <c r="D51" i="14703"/>
  <c r="M51" i="14703"/>
  <c r="F51" i="14703"/>
  <c r="H51" i="14703"/>
  <c r="L51" i="14703"/>
  <c r="I161" i="14703"/>
  <c r="Q125" i="14703"/>
  <c r="E125" i="14703"/>
  <c r="I233" i="14703"/>
  <c r="F251" i="14703"/>
  <c r="X161" i="14703"/>
  <c r="E161" i="14703"/>
  <c r="U161" i="14703"/>
  <c r="N125" i="14703"/>
  <c r="D125" i="14703"/>
  <c r="N156" i="14704"/>
  <c r="U185" i="14704"/>
  <c r="M123" i="14704"/>
  <c r="J251" i="14703"/>
  <c r="B251" i="14703"/>
  <c r="Y251" i="14703"/>
  <c r="Q137" i="14704"/>
  <c r="G137" i="14704"/>
  <c r="J137" i="14704"/>
  <c r="K136" i="14704"/>
  <c r="O136" i="14704"/>
  <c r="M131" i="14704"/>
  <c r="Q131" i="14704"/>
  <c r="K187" i="14704"/>
  <c r="T187" i="14704"/>
  <c r="L187" i="14704"/>
  <c r="T183" i="14704"/>
  <c r="X183" i="14704"/>
  <c r="Q183" i="14704"/>
  <c r="L195" i="14704"/>
  <c r="H195" i="14704"/>
  <c r="F195" i="14704"/>
  <c r="P191" i="14704"/>
  <c r="I191" i="14704"/>
  <c r="N191" i="14704"/>
  <c r="M122" i="14704"/>
  <c r="D122" i="14704"/>
  <c r="L116" i="14704"/>
  <c r="Q116" i="14704"/>
  <c r="S116" i="14704"/>
  <c r="K119" i="14704"/>
  <c r="Q119" i="14704"/>
  <c r="W113" i="14704"/>
  <c r="M113" i="14704"/>
  <c r="P112" i="14704"/>
  <c r="Q112" i="14704"/>
  <c r="U112" i="14704"/>
  <c r="K209" i="14704"/>
  <c r="G209" i="14704"/>
  <c r="U205" i="14704"/>
  <c r="Q205" i="14704"/>
  <c r="M208" i="14704"/>
  <c r="J208" i="14704"/>
  <c r="I208" i="14704"/>
  <c r="J139" i="14704"/>
  <c r="F139" i="14704"/>
  <c r="I33" i="14704"/>
  <c r="L37" i="14704"/>
  <c r="B38" i="14704"/>
  <c r="J210" i="14704"/>
  <c r="G210" i="14704"/>
  <c r="T134" i="14704"/>
  <c r="Q134" i="14704"/>
  <c r="I121" i="14704"/>
  <c r="N121" i="14704"/>
  <c r="K169" i="14704"/>
  <c r="S169" i="14704"/>
  <c r="J170" i="14704"/>
  <c r="M170" i="14704"/>
  <c r="W167" i="14704"/>
  <c r="S167" i="14704"/>
  <c r="V167" i="14704"/>
  <c r="G227" i="14704"/>
  <c r="Q227" i="14704"/>
  <c r="L227" i="14704"/>
  <c r="N224" i="14704"/>
  <c r="S224" i="14704"/>
  <c r="S225" i="14704"/>
  <c r="J225" i="14704"/>
  <c r="R168" i="14704"/>
  <c r="O168" i="14704"/>
  <c r="H228" i="14704"/>
  <c r="O228" i="14704"/>
  <c r="P228" i="14704"/>
  <c r="Q76" i="14702" a="1"/>
  <c r="Q76" i="14702" s="1"/>
  <c r="P147" i="14704"/>
  <c r="R147" i="14704"/>
  <c r="Y219" i="14704"/>
  <c r="Y232" i="14704" s="1"/>
  <c r="R219" i="14704"/>
  <c r="V219" i="14704"/>
  <c r="U219" i="14704"/>
  <c r="T237" i="14704"/>
  <c r="U237" i="14704"/>
  <c r="C233" i="14703"/>
  <c r="Y233" i="14703"/>
  <c r="U233" i="14703"/>
  <c r="T233" i="14703"/>
  <c r="M233" i="14703"/>
  <c r="K233" i="14703"/>
  <c r="E233" i="14703"/>
  <c r="C125" i="14703"/>
  <c r="F125" i="14703"/>
  <c r="M143" i="14703"/>
  <c r="V143" i="14703"/>
  <c r="W143" i="14703"/>
  <c r="J143" i="14703"/>
  <c r="P251" i="14703"/>
  <c r="O251" i="14703"/>
  <c r="D251" i="14703"/>
  <c r="N251" i="14703"/>
  <c r="K251" i="14703"/>
  <c r="E251" i="14703"/>
  <c r="T251" i="14703"/>
  <c r="R251" i="14703"/>
  <c r="V251" i="14703"/>
  <c r="Q251" i="14703"/>
  <c r="I251" i="14703"/>
  <c r="W251" i="14703"/>
  <c r="S251" i="14703"/>
  <c r="F161" i="14703"/>
  <c r="J161" i="14703"/>
  <c r="S161" i="14703"/>
  <c r="Y161" i="14703"/>
  <c r="M161" i="14703"/>
  <c r="R161" i="14703"/>
  <c r="H125" i="14703"/>
  <c r="M125" i="14703"/>
  <c r="B125" i="14703"/>
  <c r="R125" i="14703"/>
  <c r="P125" i="14703"/>
  <c r="L233" i="14703"/>
  <c r="S233" i="14703"/>
  <c r="O233" i="14703"/>
  <c r="L139" i="14704"/>
  <c r="H136" i="14704"/>
  <c r="P131" i="14704"/>
  <c r="I122" i="14704"/>
  <c r="J116" i="14704"/>
  <c r="H119" i="14704"/>
  <c r="S113" i="14704"/>
  <c r="N112" i="14704"/>
  <c r="M209" i="14704"/>
  <c r="P205" i="14704"/>
  <c r="Q208" i="14704"/>
  <c r="U168" i="14704"/>
  <c r="T167" i="14704"/>
  <c r="O170" i="14704"/>
  <c r="Q224" i="14704"/>
  <c r="W219" i="14704"/>
  <c r="N219" i="14704"/>
  <c r="N225" i="14704"/>
  <c r="P227" i="14704"/>
  <c r="X147" i="14704"/>
  <c r="M149" i="14704"/>
  <c r="J249" i="14704"/>
  <c r="S242" i="14704"/>
  <c r="E50" i="14703"/>
  <c r="O138" i="14704"/>
  <c r="D32" i="14704"/>
  <c r="F50" i="14703"/>
  <c r="G251" i="14703"/>
  <c r="U251" i="14703"/>
  <c r="X251" i="14703"/>
  <c r="L251" i="14703"/>
  <c r="M251" i="14703"/>
  <c r="M46" i="14703"/>
  <c r="H251" i="14703"/>
  <c r="K204" i="14702" a="1"/>
  <c r="S204" i="14702" s="1"/>
  <c r="M189" i="14704"/>
  <c r="N189" i="14704"/>
  <c r="I39" i="14704"/>
  <c r="K33" i="14704"/>
  <c r="H38" i="14704"/>
  <c r="B32" i="14704"/>
  <c r="F33" i="14704"/>
  <c r="I32" i="14704"/>
  <c r="I36" i="14704"/>
  <c r="H32" i="14704"/>
  <c r="E35" i="14704"/>
  <c r="M35" i="14704"/>
  <c r="H37" i="14704"/>
  <c r="M120" i="14704"/>
  <c r="G120" i="14704"/>
  <c r="F141" i="14704"/>
  <c r="K141" i="14704"/>
  <c r="O129" i="14704"/>
  <c r="X129" i="14704"/>
  <c r="H154" i="14704"/>
  <c r="O154" i="14704"/>
  <c r="Q154" i="14704"/>
  <c r="J154" i="14704"/>
  <c r="M184" i="14704"/>
  <c r="Q184" i="14704"/>
  <c r="F156" i="14704"/>
  <c r="J156" i="14704"/>
  <c r="M156" i="14704"/>
  <c r="L156" i="14704"/>
  <c r="K157" i="14704"/>
  <c r="O157" i="14704"/>
  <c r="F157" i="14704"/>
  <c r="D157" i="14704"/>
  <c r="L247" i="14704"/>
  <c r="J247" i="14704"/>
  <c r="C248" i="14704"/>
  <c r="O248" i="14702" s="1"/>
  <c r="E248" i="14704"/>
  <c r="O237" i="14704"/>
  <c r="N237" i="14704"/>
  <c r="S237" i="14704"/>
  <c r="P237" i="14704"/>
  <c r="Y237" i="14704"/>
  <c r="Y250" i="14704" s="1"/>
  <c r="Q237" i="14704"/>
  <c r="H46" i="14703"/>
  <c r="L46" i="14703"/>
  <c r="K46" i="14703"/>
  <c r="F46" i="14703"/>
  <c r="E46" i="14703"/>
  <c r="G46" i="14703"/>
  <c r="U143" i="14703"/>
  <c r="E143" i="14703"/>
  <c r="T143" i="14703"/>
  <c r="F143" i="14703"/>
  <c r="R143" i="14703"/>
  <c r="K143" i="14703"/>
  <c r="L143" i="14703"/>
  <c r="H143" i="14703"/>
  <c r="G143" i="14703"/>
  <c r="X143" i="14703"/>
  <c r="I143" i="14703"/>
  <c r="U149" i="14704"/>
  <c r="T149" i="14704"/>
  <c r="W149" i="14704"/>
  <c r="N149" i="14704"/>
  <c r="L149" i="14704"/>
  <c r="V149" i="14704"/>
  <c r="H59" i="14643"/>
  <c r="H57" i="14643"/>
  <c r="H56" i="14643"/>
  <c r="H55" i="14643"/>
  <c r="H60" i="14643"/>
  <c r="H50" i="14703"/>
  <c r="C50" i="14703"/>
  <c r="M50" i="14703"/>
  <c r="K50" i="14703"/>
  <c r="I50" i="14703"/>
  <c r="G50" i="14703"/>
  <c r="L50" i="14703"/>
  <c r="B50" i="14703"/>
  <c r="Q161" i="14703"/>
  <c r="N161" i="14703"/>
  <c r="G161" i="14703"/>
  <c r="O161" i="14703"/>
  <c r="K161" i="14703"/>
  <c r="B161" i="14703"/>
  <c r="H161" i="14703"/>
  <c r="P161" i="14703"/>
  <c r="T161" i="14703"/>
  <c r="C161" i="14703"/>
  <c r="W161" i="14703"/>
  <c r="W125" i="14703"/>
  <c r="S125" i="14703"/>
  <c r="T125" i="14703"/>
  <c r="G125" i="14703"/>
  <c r="Y125" i="14703"/>
  <c r="J125" i="14703"/>
  <c r="V125" i="14703"/>
  <c r="X125" i="14703"/>
  <c r="O125" i="14703"/>
  <c r="L125" i="14703"/>
  <c r="K125" i="14703"/>
  <c r="N233" i="14703"/>
  <c r="Q233" i="14703"/>
  <c r="W233" i="14703"/>
  <c r="B233" i="14703"/>
  <c r="J233" i="14703"/>
  <c r="D233" i="14703"/>
  <c r="P233" i="14703"/>
  <c r="R233" i="14703"/>
  <c r="F233" i="14703"/>
  <c r="G233" i="14703"/>
  <c r="V233" i="14703"/>
  <c r="N139" i="14704"/>
  <c r="H139" i="14704"/>
  <c r="M139" i="14704"/>
  <c r="M137" i="14704"/>
  <c r="N137" i="14704"/>
  <c r="L137" i="14704"/>
  <c r="P136" i="14704"/>
  <c r="J136" i="14704"/>
  <c r="Q136" i="14704"/>
  <c r="O131" i="14704"/>
  <c r="V131" i="14704"/>
  <c r="R131" i="14704"/>
  <c r="J187" i="14704"/>
  <c r="P187" i="14704"/>
  <c r="U187" i="14704"/>
  <c r="N183" i="14704"/>
  <c r="W183" i="14704"/>
  <c r="Y183" i="14704"/>
  <c r="Y196" i="14704" s="1"/>
  <c r="E195" i="14704"/>
  <c r="I195" i="14704"/>
  <c r="C195" i="14704"/>
  <c r="O195" i="14702" s="1"/>
  <c r="H191" i="14704"/>
  <c r="K191" i="14704"/>
  <c r="M191" i="14704"/>
  <c r="F122" i="14704"/>
  <c r="L122" i="14704"/>
  <c r="K122" i="14704"/>
  <c r="I116" i="14704"/>
  <c r="P116" i="14704"/>
  <c r="N116" i="14704"/>
  <c r="L119" i="14704"/>
  <c r="F119" i="14704"/>
  <c r="J119" i="14704"/>
  <c r="U113" i="14704"/>
  <c r="L113" i="14704"/>
  <c r="R113" i="14704"/>
  <c r="T112" i="14704"/>
  <c r="R112" i="14704"/>
  <c r="X112" i="14704"/>
  <c r="F209" i="14704"/>
  <c r="L209" i="14704"/>
  <c r="O209" i="14704"/>
  <c r="J205" i="14704"/>
  <c r="T205" i="14704"/>
  <c r="S205" i="14704"/>
  <c r="L208" i="14704"/>
  <c r="P208" i="14704"/>
  <c r="N208" i="14704"/>
  <c r="N168" i="14704"/>
  <c r="S168" i="14704"/>
  <c r="Q168" i="14704"/>
  <c r="U167" i="14704"/>
  <c r="O167" i="14704"/>
  <c r="P167" i="14704"/>
  <c r="Q170" i="14704"/>
  <c r="I170" i="14704"/>
  <c r="L170" i="14704"/>
  <c r="G228" i="14704"/>
  <c r="I228" i="14704"/>
  <c r="N228" i="14704"/>
  <c r="I224" i="14704"/>
  <c r="O224" i="14704"/>
  <c r="K224" i="14704"/>
  <c r="S219" i="14704"/>
  <c r="Q219" i="14704"/>
  <c r="O219" i="14704"/>
  <c r="P219" i="14704"/>
  <c r="T219" i="14704"/>
  <c r="P225" i="14704"/>
  <c r="Q225" i="14704"/>
  <c r="I225" i="14704"/>
  <c r="M227" i="14704"/>
  <c r="K227" i="14704"/>
  <c r="H227" i="14704"/>
  <c r="Y147" i="14704"/>
  <c r="Y160" i="14704" s="1"/>
  <c r="S147" i="14704"/>
  <c r="V147" i="14704"/>
  <c r="K154" i="14704"/>
  <c r="P149" i="14704"/>
  <c r="Q149" i="14704"/>
  <c r="S149" i="14704"/>
  <c r="E156" i="14704"/>
  <c r="M157" i="14704"/>
  <c r="L157" i="14704"/>
  <c r="B249" i="14704"/>
  <c r="B250" i="14704" s="1"/>
  <c r="K242" i="14704"/>
  <c r="X237" i="14704"/>
  <c r="V237" i="14704"/>
  <c r="W237" i="14704"/>
  <c r="D50" i="14703"/>
  <c r="N143" i="14703"/>
  <c r="B143" i="14703"/>
  <c r="D143" i="14703"/>
  <c r="R134" i="14704"/>
  <c r="G141" i="14704"/>
  <c r="J138" i="14704"/>
  <c r="R185" i="14704"/>
  <c r="Q189" i="14704"/>
  <c r="L121" i="14704"/>
  <c r="B35" i="14704"/>
  <c r="K32" i="14704"/>
  <c r="K37" i="14704"/>
  <c r="J35" i="14704"/>
  <c r="F38" i="14704"/>
  <c r="F32" i="14704"/>
  <c r="B85" i="14704"/>
  <c r="P143" i="14703"/>
  <c r="Q143" i="14703"/>
  <c r="H54" i="14643"/>
  <c r="B46" i="14703"/>
  <c r="I46" i="14703"/>
  <c r="C143" i="14703"/>
  <c r="H58" i="14643"/>
  <c r="Y143" i="14703"/>
  <c r="J9" i="14683"/>
  <c r="Q81" i="14702" a="1"/>
  <c r="Q83" i="14702" s="1"/>
  <c r="P75" i="14702" a="1"/>
  <c r="P75" i="14702" s="1"/>
  <c r="D179" i="14703"/>
  <c r="T179" i="14703"/>
  <c r="B179" i="14703"/>
  <c r="Y179" i="14703"/>
  <c r="F179" i="14703"/>
  <c r="U179" i="14703"/>
  <c r="S179" i="14703"/>
  <c r="W179" i="14703"/>
  <c r="K179" i="14703"/>
  <c r="Q179" i="14703"/>
  <c r="X179" i="14703"/>
  <c r="E52" i="14703"/>
  <c r="B52" i="14703"/>
  <c r="J52" i="14703"/>
  <c r="F52" i="14703"/>
  <c r="G52" i="14703"/>
  <c r="C197" i="14703"/>
  <c r="U197" i="14703"/>
  <c r="P197" i="14703"/>
  <c r="J197" i="14703"/>
  <c r="E197" i="14703"/>
  <c r="K197" i="14703"/>
  <c r="X197" i="14703"/>
  <c r="H197" i="14703"/>
  <c r="L197" i="14703"/>
  <c r="S197" i="14703"/>
  <c r="O197" i="14703"/>
  <c r="W130" i="14704"/>
  <c r="T132" i="14704"/>
  <c r="Q190" i="14704"/>
  <c r="L186" i="14704"/>
  <c r="Q111" i="14704"/>
  <c r="I118" i="14704"/>
  <c r="P114" i="14704"/>
  <c r="D213" i="14704"/>
  <c r="M202" i="14704"/>
  <c r="P201" i="14704"/>
  <c r="N174" i="14704"/>
  <c r="G174" i="14704"/>
  <c r="L174" i="14704"/>
  <c r="K177" i="14704"/>
  <c r="S166" i="14704"/>
  <c r="J229" i="14704"/>
  <c r="R151" i="14704"/>
  <c r="N151" i="14704"/>
  <c r="M238" i="14704"/>
  <c r="C48" i="14703"/>
  <c r="F48" i="14703"/>
  <c r="P133" i="14704"/>
  <c r="I48" i="14703"/>
  <c r="D48" i="14703"/>
  <c r="J48" i="14703"/>
  <c r="E48" i="14703"/>
  <c r="R74" i="14702" a="1"/>
  <c r="R74" i="14702" s="1"/>
  <c r="M76" i="14702" a="1"/>
  <c r="M76" i="14702" s="1"/>
  <c r="H135" i="14702" a="1"/>
  <c r="K135" i="14702" s="1"/>
  <c r="M75" i="14702" a="1"/>
  <c r="M75" i="14702" s="1"/>
  <c r="M83" i="14702" a="1"/>
  <c r="M83" i="14702" s="1"/>
  <c r="F28" i="14702"/>
  <c r="P72" i="14702" a="1"/>
  <c r="P72" i="14702" s="1"/>
  <c r="L149" i="14702" a="1"/>
  <c r="T149" i="14702" s="1"/>
  <c r="X74" i="14702" a="1"/>
  <c r="X76" i="14702" s="1"/>
  <c r="H84" i="14702" a="1"/>
  <c r="H84" i="14702" s="1"/>
  <c r="I48" i="14643"/>
  <c r="F191" i="14702" a="1"/>
  <c r="J191" i="14702" s="1"/>
  <c r="M77" i="14702" a="1"/>
  <c r="M77" i="14702" s="1"/>
  <c r="L193" i="14704"/>
  <c r="I159" i="14704"/>
  <c r="J14" i="14707"/>
  <c r="M85" i="14704"/>
  <c r="I28" i="14702"/>
  <c r="V74" i="14702" a="1"/>
  <c r="V74" i="14702" s="1"/>
  <c r="V75" i="14702" a="1"/>
  <c r="V75" i="14702" s="1"/>
  <c r="I80" i="14702" a="1"/>
  <c r="I80" i="14702" s="1"/>
  <c r="Q74" i="14702" a="1"/>
  <c r="Q74" i="14702" s="1"/>
  <c r="M166" i="14702" a="1"/>
  <c r="P166" i="14702" s="1"/>
  <c r="C212" i="14702" a="1"/>
  <c r="I212" i="14702" s="1"/>
  <c r="R130" i="14704"/>
  <c r="N132" i="14704"/>
  <c r="V132" i="14704"/>
  <c r="I190" i="14704"/>
  <c r="E194" i="14704"/>
  <c r="I194" i="14704"/>
  <c r="Q186" i="14704"/>
  <c r="R111" i="14704"/>
  <c r="J118" i="14704"/>
  <c r="M118" i="14704"/>
  <c r="R114" i="14704"/>
  <c r="O206" i="14704"/>
  <c r="M206" i="14704"/>
  <c r="M213" i="14704"/>
  <c r="O202" i="14704"/>
  <c r="V202" i="14704"/>
  <c r="V201" i="14704"/>
  <c r="K132" i="14702" a="1"/>
  <c r="V132" i="14702" s="1"/>
  <c r="E82" i="14702" a="1"/>
  <c r="E82" i="14702" s="1"/>
  <c r="I82" i="14702" a="1"/>
  <c r="I82" i="14702" s="1"/>
  <c r="N75" i="14702" a="1"/>
  <c r="N75" i="14702" s="1"/>
  <c r="H174" i="14704"/>
  <c r="I174" i="14704"/>
  <c r="P174" i="14704"/>
  <c r="K174" i="14704"/>
  <c r="F174" i="14704"/>
  <c r="D177" i="14704"/>
  <c r="C177" i="14704"/>
  <c r="O177" i="14702" s="1"/>
  <c r="V166" i="14704"/>
  <c r="X166" i="14704"/>
  <c r="W166" i="14704"/>
  <c r="K229" i="14704"/>
  <c r="Q155" i="14704"/>
  <c r="U151" i="14704"/>
  <c r="T151" i="14704"/>
  <c r="S151" i="14704"/>
  <c r="Q238" i="14704"/>
  <c r="L244" i="14704"/>
  <c r="R244" i="14704"/>
  <c r="L133" i="14704"/>
  <c r="L188" i="14704"/>
  <c r="P115" i="14704"/>
  <c r="E212" i="14704"/>
  <c r="H42" i="14643"/>
  <c r="H46" i="14643"/>
  <c r="H43" i="14643"/>
  <c r="H45" i="14643"/>
  <c r="O130" i="14704"/>
  <c r="S130" i="14704"/>
  <c r="N130" i="14704"/>
  <c r="Q132" i="14704"/>
  <c r="R132" i="14704"/>
  <c r="P132" i="14704"/>
  <c r="O190" i="14704"/>
  <c r="K190" i="14704"/>
  <c r="G190" i="14704"/>
  <c r="G194" i="14704"/>
  <c r="K194" i="14704"/>
  <c r="H194" i="14704"/>
  <c r="M186" i="14704"/>
  <c r="S186" i="14704"/>
  <c r="U186" i="14704"/>
  <c r="S111" i="14704"/>
  <c r="V111" i="14704"/>
  <c r="X111" i="14704"/>
  <c r="P118" i="14704"/>
  <c r="K118" i="14704"/>
  <c r="L118" i="14704"/>
  <c r="S114" i="14704"/>
  <c r="T114" i="14704"/>
  <c r="V114" i="14704"/>
  <c r="Q206" i="14704"/>
  <c r="S206" i="14704"/>
  <c r="R206" i="14704"/>
  <c r="I213" i="14704"/>
  <c r="L213" i="14704"/>
  <c r="E213" i="14704"/>
  <c r="T202" i="14704"/>
  <c r="Q202" i="14704"/>
  <c r="S202" i="14704"/>
  <c r="T201" i="14704"/>
  <c r="U201" i="14704"/>
  <c r="N201" i="14704"/>
  <c r="K76" i="14702" a="1"/>
  <c r="K76" i="14702" s="1"/>
  <c r="D193" i="14702" a="1"/>
  <c r="M193" i="14702" s="1"/>
  <c r="R73" i="14702" a="1"/>
  <c r="R73" i="14702" s="1"/>
  <c r="L78" i="14702" a="1"/>
  <c r="L78" i="14702" s="1"/>
  <c r="Q75" i="14702" a="1"/>
  <c r="Q75" i="14702" s="1"/>
  <c r="S171" i="14704"/>
  <c r="L177" i="14704"/>
  <c r="F177" i="14704"/>
  <c r="G177" i="14704"/>
  <c r="F229" i="14704"/>
  <c r="W220" i="14704"/>
  <c r="X220" i="14704"/>
  <c r="X232" i="14704" s="1"/>
  <c r="N238" i="14704"/>
  <c r="O238" i="14704"/>
  <c r="W238" i="14704"/>
  <c r="J244" i="14704"/>
  <c r="Q244" i="14704"/>
  <c r="M244" i="14704"/>
  <c r="U133" i="14704"/>
  <c r="I140" i="14704"/>
  <c r="M188" i="14704"/>
  <c r="Q204" i="14704"/>
  <c r="H211" i="14704"/>
  <c r="P173" i="14704"/>
  <c r="L175" i="14704"/>
  <c r="N153" i="14704"/>
  <c r="T73" i="14702" a="1"/>
  <c r="T73" i="14702" s="1"/>
  <c r="D83" i="14702" a="1"/>
  <c r="D83" i="14702" s="1"/>
  <c r="N82" i="14702" a="1"/>
  <c r="N82" i="14702" s="1"/>
  <c r="S78" i="14702" a="1"/>
  <c r="S78" i="14702" s="1"/>
  <c r="I134" i="14702" a="1"/>
  <c r="M134" i="14702" s="1"/>
  <c r="G208" i="14702" a="1"/>
  <c r="O208" i="14702" s="1"/>
  <c r="I206" i="14702" a="1"/>
  <c r="S206" i="14702" s="1"/>
  <c r="K186" i="14702" a="1"/>
  <c r="T186" i="14702" s="1"/>
  <c r="N183" i="14702" a="1"/>
  <c r="U183" i="14702" s="1"/>
  <c r="N165" i="14702" a="1"/>
  <c r="H171" i="14702" a="1"/>
  <c r="O171" i="14702" s="1"/>
  <c r="R72" i="14702" a="1"/>
  <c r="R72" i="14702" s="1"/>
  <c r="C158" i="14702" a="1"/>
  <c r="I158" i="14702" s="1"/>
  <c r="K150" i="14702" a="1"/>
  <c r="M80" i="14702" a="1"/>
  <c r="M80" i="14702" s="1"/>
  <c r="L28" i="14702"/>
  <c r="M171" i="14704"/>
  <c r="M155" i="14704"/>
  <c r="J155" i="14704"/>
  <c r="J135" i="14704"/>
  <c r="O133" i="14704"/>
  <c r="J133" i="14704"/>
  <c r="M133" i="14704"/>
  <c r="F140" i="14704"/>
  <c r="M193" i="14704"/>
  <c r="O188" i="14704"/>
  <c r="N192" i="14704"/>
  <c r="J115" i="14704"/>
  <c r="S117" i="14704"/>
  <c r="L212" i="14704"/>
  <c r="P204" i="14704"/>
  <c r="K204" i="14704"/>
  <c r="G211" i="14704"/>
  <c r="L203" i="14704"/>
  <c r="Q223" i="14704"/>
  <c r="O153" i="14704"/>
  <c r="J158" i="14704"/>
  <c r="M239" i="14704"/>
  <c r="P240" i="14704"/>
  <c r="D85" i="14704"/>
  <c r="O82" i="14702" a="1"/>
  <c r="O82" i="14702" s="1"/>
  <c r="E156" i="14702" a="1"/>
  <c r="I156" i="14702" s="1"/>
  <c r="S76" i="14702" a="1"/>
  <c r="S76" i="14702" s="1"/>
  <c r="W75" i="14702" a="1"/>
  <c r="W81" i="14702" s="1"/>
  <c r="G28" i="14702"/>
  <c r="M202" i="14702" a="1"/>
  <c r="O202" i="14702" s="1"/>
  <c r="P74" i="14702" a="1"/>
  <c r="P74" i="14702" s="1"/>
  <c r="H81" i="14702" a="1"/>
  <c r="H81" i="14702" s="1"/>
  <c r="S77" i="14702" a="1"/>
  <c r="S77" i="14702" s="1"/>
  <c r="O73" i="14702" a="1"/>
  <c r="O73" i="14702" s="1"/>
  <c r="M184" i="14702" a="1"/>
  <c r="J77" i="14702" a="1"/>
  <c r="J77" i="14702" s="1"/>
  <c r="X85" i="14704"/>
  <c r="O78" i="14702" a="1"/>
  <c r="O78" i="14702" s="1"/>
  <c r="H28" i="14702"/>
  <c r="F173" i="14702" a="1"/>
  <c r="L173" i="14702" s="1"/>
  <c r="J85" i="14704"/>
  <c r="T74" i="14702" a="1"/>
  <c r="T74" i="14702" s="1"/>
  <c r="E81" i="14702" a="1"/>
  <c r="E81" i="14702" s="1"/>
  <c r="L113" i="14702" a="1"/>
  <c r="N113" i="14702" s="1"/>
  <c r="G226" i="14702" a="1"/>
  <c r="O226" i="14702" s="1"/>
  <c r="H189" i="14704"/>
  <c r="J189" i="14704"/>
  <c r="S189" i="14704"/>
  <c r="P189" i="14704"/>
  <c r="K189" i="14704"/>
  <c r="O189" i="14704"/>
  <c r="S185" i="14704"/>
  <c r="T185" i="14704"/>
  <c r="N185" i="14704"/>
  <c r="L185" i="14704"/>
  <c r="M185" i="14704"/>
  <c r="P185" i="14704"/>
  <c r="L123" i="14704"/>
  <c r="E123" i="14704"/>
  <c r="J123" i="14704"/>
  <c r="C123" i="14704"/>
  <c r="B123" i="14704"/>
  <c r="D123" i="14704"/>
  <c r="G123" i="14704"/>
  <c r="H123" i="14704"/>
  <c r="F123" i="14704"/>
  <c r="H35" i="14704"/>
  <c r="F37" i="14704"/>
  <c r="G38" i="14704"/>
  <c r="G34" i="14704"/>
  <c r="E34" i="14704"/>
  <c r="L38" i="14704"/>
  <c r="E33" i="14704"/>
  <c r="D33" i="14704"/>
  <c r="L35" i="14704"/>
  <c r="D34" i="14704"/>
  <c r="B33" i="14704"/>
  <c r="E37" i="14704"/>
  <c r="L39" i="14704"/>
  <c r="I38" i="14704"/>
  <c r="J32" i="14704"/>
  <c r="B37" i="14704"/>
  <c r="D39" i="14704"/>
  <c r="M34" i="14704"/>
  <c r="I35" i="14704"/>
  <c r="B39" i="14704"/>
  <c r="K34" i="14704"/>
  <c r="K36" i="14704"/>
  <c r="M36" i="14704"/>
  <c r="M39" i="14704"/>
  <c r="C35" i="14704"/>
  <c r="F36" i="14704"/>
  <c r="G36" i="14704"/>
  <c r="L36" i="14704"/>
  <c r="B36" i="14704"/>
  <c r="C37" i="14704"/>
  <c r="M32" i="14704"/>
  <c r="C34" i="14704"/>
  <c r="L33" i="14704"/>
  <c r="E32" i="14704"/>
  <c r="J39" i="14704"/>
  <c r="H33" i="14704"/>
  <c r="G35" i="14704"/>
  <c r="L34" i="14704"/>
  <c r="C39" i="14704"/>
  <c r="C38" i="14704"/>
  <c r="F34" i="14704"/>
  <c r="F39" i="14704"/>
  <c r="C36" i="14704"/>
  <c r="D37" i="14704"/>
  <c r="K38" i="14704"/>
  <c r="C32" i="14704"/>
  <c r="D36" i="14704"/>
  <c r="G39" i="14704"/>
  <c r="G33" i="14704"/>
  <c r="E36" i="14704"/>
  <c r="I37" i="14704"/>
  <c r="K35" i="14704"/>
  <c r="H120" i="14704"/>
  <c r="P120" i="14704"/>
  <c r="I120" i="14704"/>
  <c r="N120" i="14704"/>
  <c r="E120" i="14704"/>
  <c r="F120" i="14704"/>
  <c r="K207" i="14704"/>
  <c r="L207" i="14704"/>
  <c r="S207" i="14704"/>
  <c r="M207" i="14704"/>
  <c r="R207" i="14704"/>
  <c r="H207" i="14704"/>
  <c r="N207" i="14704"/>
  <c r="Q207" i="14704"/>
  <c r="O207" i="14704"/>
  <c r="I210" i="14704"/>
  <c r="K210" i="14704"/>
  <c r="M210" i="14704"/>
  <c r="N210" i="14704"/>
  <c r="F210" i="14704"/>
  <c r="L210" i="14704"/>
  <c r="H210" i="14704"/>
  <c r="O210" i="14704"/>
  <c r="E210" i="14704"/>
  <c r="G138" i="14704"/>
  <c r="N138" i="14704"/>
  <c r="I138" i="14704"/>
  <c r="L138" i="14704"/>
  <c r="H138" i="14704"/>
  <c r="P138" i="14704"/>
  <c r="L134" i="14704"/>
  <c r="P134" i="14704"/>
  <c r="K134" i="14704"/>
  <c r="M134" i="14704"/>
  <c r="J134" i="14704"/>
  <c r="O134" i="14704"/>
  <c r="I141" i="14704"/>
  <c r="B141" i="14704"/>
  <c r="B142" i="14704" s="1"/>
  <c r="D141" i="14704"/>
  <c r="C141" i="14704"/>
  <c r="O141" i="14702" s="1"/>
  <c r="J141" i="14704"/>
  <c r="M141" i="14704"/>
  <c r="K121" i="14704"/>
  <c r="D121" i="14704"/>
  <c r="G121" i="14704"/>
  <c r="F121" i="14704"/>
  <c r="M121" i="14704"/>
  <c r="H121" i="14704"/>
  <c r="T85" i="14704"/>
  <c r="P172" i="14704"/>
  <c r="I172" i="14704"/>
  <c r="K172" i="14704"/>
  <c r="R172" i="14704"/>
  <c r="Q172" i="14704"/>
  <c r="P165" i="14704"/>
  <c r="R165" i="14704"/>
  <c r="W165" i="14704"/>
  <c r="N165" i="14704"/>
  <c r="T165" i="14704"/>
  <c r="E176" i="14704"/>
  <c r="G176" i="14704"/>
  <c r="H176" i="14704"/>
  <c r="N176" i="14704"/>
  <c r="H230" i="14704"/>
  <c r="J230" i="14704"/>
  <c r="C230" i="14704"/>
  <c r="O230" i="14702" s="1"/>
  <c r="E230" i="14704"/>
  <c r="F230" i="14704"/>
  <c r="O222" i="14704"/>
  <c r="T222" i="14704"/>
  <c r="M222" i="14704"/>
  <c r="Q222" i="14704"/>
  <c r="V221" i="14704"/>
  <c r="Q221" i="14704"/>
  <c r="M221" i="14704"/>
  <c r="O221" i="14704"/>
  <c r="R150" i="14704"/>
  <c r="M150" i="14704"/>
  <c r="O150" i="14704"/>
  <c r="T150" i="14704"/>
  <c r="K150" i="14704"/>
  <c r="I152" i="14704"/>
  <c r="S152" i="14704"/>
  <c r="K152" i="14704"/>
  <c r="N152" i="14704"/>
  <c r="J152" i="14704"/>
  <c r="Q245" i="14704"/>
  <c r="P245" i="14704"/>
  <c r="N245" i="14704"/>
  <c r="G245" i="14704"/>
  <c r="K245" i="14704"/>
  <c r="N243" i="14704"/>
  <c r="M243" i="14704"/>
  <c r="J243" i="14704"/>
  <c r="R243" i="14704"/>
  <c r="Q129" i="14704"/>
  <c r="T129" i="14704"/>
  <c r="V129" i="14704"/>
  <c r="P129" i="14704"/>
  <c r="U129" i="14704"/>
  <c r="W129" i="14704"/>
  <c r="L169" i="14704"/>
  <c r="R169" i="14704"/>
  <c r="N169" i="14704"/>
  <c r="U169" i="14704"/>
  <c r="Q169" i="14704"/>
  <c r="J169" i="14704"/>
  <c r="M169" i="14704"/>
  <c r="O169" i="14704"/>
  <c r="P169" i="14704"/>
  <c r="L231" i="14704"/>
  <c r="C231" i="14704"/>
  <c r="O231" i="14702" s="1"/>
  <c r="F231" i="14704"/>
  <c r="K231" i="14704"/>
  <c r="J241" i="14704"/>
  <c r="Q241" i="14704"/>
  <c r="L241" i="14704"/>
  <c r="K241" i="14704"/>
  <c r="N241" i="14704"/>
  <c r="U184" i="14704"/>
  <c r="W184" i="14704"/>
  <c r="P184" i="14704"/>
  <c r="N184" i="14704"/>
  <c r="V184" i="14704"/>
  <c r="O184" i="14704"/>
  <c r="L242" i="14704"/>
  <c r="J242" i="14704"/>
  <c r="Q242" i="14704"/>
  <c r="T242" i="14704"/>
  <c r="P242" i="14704"/>
  <c r="R242" i="14704"/>
  <c r="I249" i="14704"/>
  <c r="K249" i="14704"/>
  <c r="F249" i="14704"/>
  <c r="E249" i="14704"/>
  <c r="C249" i="14704"/>
  <c r="O249" i="14702" s="1"/>
  <c r="J8" i="14683"/>
  <c r="J12" i="14683"/>
  <c r="J10" i="14683"/>
  <c r="J13" i="14683"/>
  <c r="G247" i="14704"/>
  <c r="O247" i="14704"/>
  <c r="N247" i="14704"/>
  <c r="M247" i="14704"/>
  <c r="D247" i="14704"/>
  <c r="H247" i="14704"/>
  <c r="L248" i="14704"/>
  <c r="G248" i="14704"/>
  <c r="D248" i="14704"/>
  <c r="F248" i="14704"/>
  <c r="K248" i="14704"/>
  <c r="M248" i="14704"/>
  <c r="D139" i="14704"/>
  <c r="G139" i="14704"/>
  <c r="K139" i="14704"/>
  <c r="I139" i="14704"/>
  <c r="O139" i="14704"/>
  <c r="K137" i="14704"/>
  <c r="P137" i="14704"/>
  <c r="I137" i="14704"/>
  <c r="F137" i="14704"/>
  <c r="O137" i="14704"/>
  <c r="G136" i="14704"/>
  <c r="I136" i="14704"/>
  <c r="M136" i="14704"/>
  <c r="L136" i="14704"/>
  <c r="N136" i="14704"/>
  <c r="U131" i="14704"/>
  <c r="S131" i="14704"/>
  <c r="W131" i="14704"/>
  <c r="L131" i="14704"/>
  <c r="T131" i="14704"/>
  <c r="Q187" i="14704"/>
  <c r="O187" i="14704"/>
  <c r="S187" i="14704"/>
  <c r="M187" i="14704"/>
  <c r="N187" i="14704"/>
  <c r="R183" i="14704"/>
  <c r="S183" i="14704"/>
  <c r="V183" i="14704"/>
  <c r="O183" i="14704"/>
  <c r="U183" i="14704"/>
  <c r="B195" i="14704"/>
  <c r="K195" i="14704"/>
  <c r="M195" i="14704"/>
  <c r="J195" i="14704"/>
  <c r="G195" i="14704"/>
  <c r="L191" i="14704"/>
  <c r="F191" i="14704"/>
  <c r="O191" i="14704"/>
  <c r="Q191" i="14704"/>
  <c r="J191" i="14704"/>
  <c r="J122" i="14704"/>
  <c r="C122" i="14704"/>
  <c r="O122" i="14702" s="1"/>
  <c r="N122" i="14704"/>
  <c r="G122" i="14704"/>
  <c r="E122" i="14704"/>
  <c r="R116" i="14704"/>
  <c r="T116" i="14704"/>
  <c r="K116" i="14704"/>
  <c r="O116" i="14704"/>
  <c r="M116" i="14704"/>
  <c r="M119" i="14704"/>
  <c r="P119" i="14704"/>
  <c r="N119" i="14704"/>
  <c r="G119" i="14704"/>
  <c r="O119" i="14704"/>
  <c r="P113" i="14704"/>
  <c r="O113" i="14704"/>
  <c r="T113" i="14704"/>
  <c r="V113" i="14704"/>
  <c r="N113" i="14704"/>
  <c r="V112" i="14704"/>
  <c r="M112" i="14704"/>
  <c r="W112" i="14704"/>
  <c r="O112" i="14704"/>
  <c r="S112" i="14704"/>
  <c r="Q209" i="14704"/>
  <c r="J209" i="14704"/>
  <c r="I209" i="14704"/>
  <c r="P209" i="14704"/>
  <c r="N209" i="14704"/>
  <c r="K205" i="14704"/>
  <c r="L205" i="14704"/>
  <c r="M205" i="14704"/>
  <c r="R205" i="14704"/>
  <c r="O205" i="14704"/>
  <c r="R208" i="14704"/>
  <c r="G208" i="14704"/>
  <c r="O208" i="14704"/>
  <c r="K208" i="14704"/>
  <c r="H208" i="14704"/>
  <c r="L131" i="14702" a="1"/>
  <c r="E138" i="14702" a="1"/>
  <c r="F138" i="14702" s="1"/>
  <c r="B141" i="14702" a="1"/>
  <c r="N129" i="14702" a="1"/>
  <c r="F209" i="14702" a="1"/>
  <c r="N201" i="14702" a="1"/>
  <c r="P201" i="14702" s="1"/>
  <c r="H79" i="14702" a="1"/>
  <c r="H79" i="14702" s="1"/>
  <c r="I78" i="14702" a="1"/>
  <c r="I78" i="14702" s="1"/>
  <c r="C28" i="14702"/>
  <c r="L185" i="14702" a="1"/>
  <c r="U185" i="14702" s="1"/>
  <c r="N24" i="14702"/>
  <c r="L167" i="14702" a="1"/>
  <c r="V167" i="14702" s="1"/>
  <c r="B177" i="14702" a="1"/>
  <c r="N23" i="14702"/>
  <c r="L79" i="14702" a="1"/>
  <c r="L79" i="14702" s="1"/>
  <c r="H83" i="14702" a="1"/>
  <c r="H83" i="14702" s="1"/>
  <c r="Q72" i="14702" a="1"/>
  <c r="Q72" i="14702" s="1"/>
  <c r="K78" i="14702" a="1"/>
  <c r="K78" i="14702" s="1"/>
  <c r="G82" i="14702" a="1"/>
  <c r="G82" i="14702" s="1"/>
  <c r="F84" i="14702" a="1"/>
  <c r="F84" i="14702" s="1"/>
  <c r="K79" i="14702" a="1"/>
  <c r="K79" i="14702" s="1"/>
  <c r="I152" i="14702" a="1"/>
  <c r="I152" i="14702" s="1"/>
  <c r="D157" i="14702" a="1"/>
  <c r="H157" i="14702" s="1"/>
  <c r="J151" i="14702" a="1"/>
  <c r="P151" i="14702" s="1"/>
  <c r="N79" i="14702" a="1"/>
  <c r="N79" i="14702" s="1"/>
  <c r="S74" i="14702" a="1"/>
  <c r="S74" i="14702" s="1"/>
  <c r="P76" i="14702" a="1"/>
  <c r="P76" i="14702" s="1"/>
  <c r="M79" i="14702" a="1"/>
  <c r="M79" i="14702" s="1"/>
  <c r="N78" i="14702" a="1"/>
  <c r="N78" i="14702" s="1"/>
  <c r="L84" i="14702" a="1"/>
  <c r="L84" i="14702" s="1"/>
  <c r="U75" i="14702" a="1"/>
  <c r="U75" i="14702" s="1"/>
  <c r="U76" i="14702" a="1"/>
  <c r="U76" i="14702" s="1"/>
  <c r="K77" i="14702" a="1"/>
  <c r="K77" i="14702" s="1"/>
  <c r="M168" i="14704"/>
  <c r="T168" i="14704"/>
  <c r="P168" i="14704"/>
  <c r="L168" i="14704"/>
  <c r="V168" i="14704"/>
  <c r="Q167" i="14704"/>
  <c r="M167" i="14704"/>
  <c r="N167" i="14704"/>
  <c r="R167" i="14704"/>
  <c r="L167" i="14704"/>
  <c r="P170" i="14704"/>
  <c r="S170" i="14704"/>
  <c r="R170" i="14704"/>
  <c r="K170" i="14704"/>
  <c r="T170" i="14704"/>
  <c r="M228" i="14704"/>
  <c r="E228" i="14704"/>
  <c r="K228" i="14704"/>
  <c r="J228" i="14704"/>
  <c r="F228" i="14704"/>
  <c r="J224" i="14704"/>
  <c r="L224" i="14704"/>
  <c r="R224" i="14704"/>
  <c r="T224" i="14704"/>
  <c r="M224" i="14704"/>
  <c r="R225" i="14704"/>
  <c r="H225" i="14704"/>
  <c r="K225" i="14704"/>
  <c r="L225" i="14704"/>
  <c r="O225" i="14704"/>
  <c r="N227" i="14704"/>
  <c r="I227" i="14704"/>
  <c r="F227" i="14704"/>
  <c r="O227" i="14704"/>
  <c r="J227" i="14704"/>
  <c r="Q147" i="14704"/>
  <c r="O147" i="14704"/>
  <c r="T147" i="14704"/>
  <c r="U147" i="14704"/>
  <c r="W147" i="14704"/>
  <c r="P154" i="14704"/>
  <c r="I154" i="14704"/>
  <c r="M154" i="14704"/>
  <c r="G154" i="14704"/>
  <c r="N154" i="14704"/>
  <c r="O156" i="14704"/>
  <c r="G156" i="14704"/>
  <c r="I156" i="14704"/>
  <c r="P156" i="14704"/>
  <c r="H156" i="14704"/>
  <c r="E157" i="14704"/>
  <c r="N157" i="14704"/>
  <c r="G157" i="14704"/>
  <c r="I157" i="14704"/>
  <c r="H157" i="14704"/>
  <c r="M249" i="14704"/>
  <c r="D249" i="14704"/>
  <c r="L249" i="14704"/>
  <c r="H249" i="14704"/>
  <c r="J248" i="14704"/>
  <c r="N248" i="14704"/>
  <c r="H248" i="14704"/>
  <c r="E247" i="14704"/>
  <c r="K247" i="14704"/>
  <c r="F247" i="14704"/>
  <c r="O242" i="14704"/>
  <c r="M242" i="14704"/>
  <c r="I242" i="14704"/>
  <c r="N129" i="14704"/>
  <c r="Y129" i="14704"/>
  <c r="Y142" i="14704" s="1"/>
  <c r="R129" i="14704"/>
  <c r="I134" i="14704"/>
  <c r="S134" i="14704"/>
  <c r="N134" i="14704"/>
  <c r="L141" i="14704"/>
  <c r="H141" i="14704"/>
  <c r="E141" i="14704"/>
  <c r="K138" i="14704"/>
  <c r="M138" i="14704"/>
  <c r="F138" i="14704"/>
  <c r="R184" i="14704"/>
  <c r="X184" i="14704"/>
  <c r="T184" i="14704"/>
  <c r="V185" i="14704"/>
  <c r="Q185" i="14704"/>
  <c r="O185" i="14704"/>
  <c r="I189" i="14704"/>
  <c r="R189" i="14704"/>
  <c r="L189" i="14704"/>
  <c r="E121" i="14704"/>
  <c r="J121" i="14704"/>
  <c r="O121" i="14704"/>
  <c r="L120" i="14704"/>
  <c r="O120" i="14704"/>
  <c r="K120" i="14704"/>
  <c r="J36" i="14704"/>
  <c r="J37" i="14704"/>
  <c r="H34" i="14704"/>
  <c r="E38" i="14704"/>
  <c r="G37" i="14704"/>
  <c r="H39" i="14704"/>
  <c r="C33" i="14704"/>
  <c r="M38" i="14704"/>
  <c r="M37" i="14704"/>
  <c r="G32" i="14704"/>
  <c r="L32" i="14704"/>
  <c r="J34" i="14704"/>
  <c r="J38" i="14704"/>
  <c r="B34" i="14704"/>
  <c r="D35" i="14704"/>
  <c r="M33" i="14704"/>
  <c r="D38" i="14704"/>
  <c r="E39" i="14704"/>
  <c r="F35" i="14704"/>
  <c r="H36" i="14704"/>
  <c r="J33" i="14704"/>
  <c r="I34" i="14704"/>
  <c r="I123" i="14704"/>
  <c r="P210" i="14704"/>
  <c r="P207" i="14704"/>
  <c r="J207" i="14704"/>
  <c r="D121" i="14702" a="1"/>
  <c r="O121" i="14702" s="1"/>
  <c r="T169" i="14704"/>
  <c r="J172" i="14704"/>
  <c r="S165" i="14704"/>
  <c r="I176" i="14704"/>
  <c r="G231" i="14704"/>
  <c r="N230" i="14704"/>
  <c r="U222" i="14704"/>
  <c r="N221" i="14704"/>
  <c r="U150" i="14704"/>
  <c r="L152" i="14704"/>
  <c r="P241" i="14704"/>
  <c r="L245" i="14704"/>
  <c r="S243" i="14704"/>
  <c r="J6" i="14683"/>
  <c r="O83" i="14702" a="1"/>
  <c r="R85" i="14704"/>
  <c r="V76" i="14702" a="1"/>
  <c r="V82" i="14702" s="1"/>
  <c r="L82" i="14702" a="1"/>
  <c r="L82" i="14702" s="1"/>
  <c r="I242" i="14702" a="1"/>
  <c r="M242" i="14702" s="1"/>
  <c r="E85" i="14704"/>
  <c r="Y73" i="14702" a="1"/>
  <c r="Y73" i="14702" s="1"/>
  <c r="L81" i="14702" a="1"/>
  <c r="L81" i="14702" s="1"/>
  <c r="F227" i="14702" a="1"/>
  <c r="J227" i="14702" s="1"/>
  <c r="R78" i="14702" a="1"/>
  <c r="R78" i="14702" s="1"/>
  <c r="G190" i="14702" a="1"/>
  <c r="J190" i="14702" s="1"/>
  <c r="S85" i="14704"/>
  <c r="O85" i="14704"/>
  <c r="K85" i="14704"/>
  <c r="M112" i="14702" a="1"/>
  <c r="S112" i="14702" s="1"/>
  <c r="B28" i="14702"/>
  <c r="J79" i="14702" a="1"/>
  <c r="J79" i="14702" s="1"/>
  <c r="N77" i="14702" a="1"/>
  <c r="N77" i="14702" s="1"/>
  <c r="C84" i="14702" a="1"/>
  <c r="C84" i="14702" s="1"/>
  <c r="L203" i="14702" a="1"/>
  <c r="N203" i="14702" s="1"/>
  <c r="V73" i="14702" a="1"/>
  <c r="V73" i="14702" s="1"/>
  <c r="L85" i="14704"/>
  <c r="K168" i="14702" a="1"/>
  <c r="H82" i="14702" a="1"/>
  <c r="H82" i="14702" s="1"/>
  <c r="W74" i="14702" a="1"/>
  <c r="W74" i="14702" s="1"/>
  <c r="O77" i="14702" a="1"/>
  <c r="O77" i="14702" s="1"/>
  <c r="Q130" i="14704"/>
  <c r="P130" i="14704"/>
  <c r="V130" i="14704"/>
  <c r="T130" i="14704"/>
  <c r="M130" i="14704"/>
  <c r="S132" i="14704"/>
  <c r="K132" i="14704"/>
  <c r="U132" i="14704"/>
  <c r="L132" i="14704"/>
  <c r="O132" i="14704"/>
  <c r="P190" i="14704"/>
  <c r="J190" i="14704"/>
  <c r="H190" i="14704"/>
  <c r="L190" i="14704"/>
  <c r="M190" i="14704"/>
  <c r="L194" i="14704"/>
  <c r="J194" i="14704"/>
  <c r="F194" i="14704"/>
  <c r="D194" i="14704"/>
  <c r="M194" i="14704"/>
  <c r="O186" i="14704"/>
  <c r="P186" i="14704"/>
  <c r="T186" i="14704"/>
  <c r="V186" i="14704"/>
  <c r="R186" i="14704"/>
  <c r="Y111" i="14704"/>
  <c r="Y124" i="14704" s="1"/>
  <c r="U111" i="14704"/>
  <c r="P111" i="14704"/>
  <c r="W111" i="14704"/>
  <c r="O111" i="14704"/>
  <c r="N118" i="14704"/>
  <c r="Q118" i="14704"/>
  <c r="H118" i="14704"/>
  <c r="O118" i="14704"/>
  <c r="R118" i="14704"/>
  <c r="Q114" i="14704"/>
  <c r="L114" i="14704"/>
  <c r="N114" i="14704"/>
  <c r="M114" i="14704"/>
  <c r="K114" i="14704"/>
  <c r="P206" i="14704"/>
  <c r="N206" i="14704"/>
  <c r="T206" i="14704"/>
  <c r="I206" i="14704"/>
  <c r="L206" i="14704"/>
  <c r="K213" i="14704"/>
  <c r="J213" i="14704"/>
  <c r="F213" i="14704"/>
  <c r="G213" i="14704"/>
  <c r="H213" i="14704"/>
  <c r="N202" i="14704"/>
  <c r="P202" i="14704"/>
  <c r="U202" i="14704"/>
  <c r="X202" i="14704"/>
  <c r="X214" i="14704" s="1"/>
  <c r="W202" i="14704"/>
  <c r="R201" i="14704"/>
  <c r="W201" i="14704"/>
  <c r="O201" i="14704"/>
  <c r="Y201" i="14704"/>
  <c r="Y214" i="14704" s="1"/>
  <c r="Q201" i="14704"/>
  <c r="D139" i="14702" a="1"/>
  <c r="F139" i="14702" s="1"/>
  <c r="J133" i="14702" a="1"/>
  <c r="M133" i="14702" s="1"/>
  <c r="C140" i="14702" a="1"/>
  <c r="G140" i="14702" s="1"/>
  <c r="M130" i="14702" a="1"/>
  <c r="U130" i="14702" s="1"/>
  <c r="G136" i="14702" a="1"/>
  <c r="M136" i="14702" s="1"/>
  <c r="N21" i="14702"/>
  <c r="F137" i="14702" a="1"/>
  <c r="N137" i="14702" s="1"/>
  <c r="D211" i="14702" a="1"/>
  <c r="K211" i="14702" s="1"/>
  <c r="J205" i="14702" a="1"/>
  <c r="S205" i="14702" s="1"/>
  <c r="N25" i="14702"/>
  <c r="E210" i="14702" a="1"/>
  <c r="F210" i="14702" s="1"/>
  <c r="H207" i="14702" a="1"/>
  <c r="K207" i="14702" s="1"/>
  <c r="B213" i="14702" a="1"/>
  <c r="G80" i="14702" a="1"/>
  <c r="G80" i="14702" s="1"/>
  <c r="O72" i="14702" a="1"/>
  <c r="O72" i="14702" s="1"/>
  <c r="N73" i="14702" a="1"/>
  <c r="N73" i="14702" s="1"/>
  <c r="F81" i="14702" a="1"/>
  <c r="F81" i="14702" s="1"/>
  <c r="M74" i="14702" a="1"/>
  <c r="M74" i="14702" s="1"/>
  <c r="L75" i="14702" a="1"/>
  <c r="L75" i="14702" s="1"/>
  <c r="I188" i="14702" a="1"/>
  <c r="M188" i="14702" s="1"/>
  <c r="J187" i="14702" a="1"/>
  <c r="L187" i="14702" s="1"/>
  <c r="C194" i="14702" a="1"/>
  <c r="I194" i="14702" s="1"/>
  <c r="E192" i="14702" a="1"/>
  <c r="K192" i="14702" s="1"/>
  <c r="H189" i="14702" a="1"/>
  <c r="J189" i="14702" s="1"/>
  <c r="B195" i="14702" a="1"/>
  <c r="D195" i="14702" s="1"/>
  <c r="I170" i="14702" a="1"/>
  <c r="P170" i="14702" s="1"/>
  <c r="G172" i="14702" a="1"/>
  <c r="C176" i="14702" a="1"/>
  <c r="N176" i="14702" s="1"/>
  <c r="E174" i="14702" a="1"/>
  <c r="D175" i="14702" a="1"/>
  <c r="K175" i="14702" s="1"/>
  <c r="J169" i="14702" a="1"/>
  <c r="M169" i="14702" s="1"/>
  <c r="K80" i="14702" a="1"/>
  <c r="K80" i="14702" s="1"/>
  <c r="S72" i="14702" a="1"/>
  <c r="S72" i="14702" s="1"/>
  <c r="G84" i="14702" a="1"/>
  <c r="G84" i="14702" s="1"/>
  <c r="J81" i="14702" a="1"/>
  <c r="J81" i="14702" s="1"/>
  <c r="M78" i="14702" a="1"/>
  <c r="M78" i="14702" s="1"/>
  <c r="O76" i="14702" a="1"/>
  <c r="O76" i="14702" s="1"/>
  <c r="F83" i="14702" a="1"/>
  <c r="F83" i="14702" s="1"/>
  <c r="E28" i="14702"/>
  <c r="P73" i="14702" a="1"/>
  <c r="P73" i="14702" s="1"/>
  <c r="O74" i="14702" a="1"/>
  <c r="O74" i="14702" s="1"/>
  <c r="L77" i="14702" a="1"/>
  <c r="L77" i="14702" s="1"/>
  <c r="E84" i="14702" a="1"/>
  <c r="E84" i="14702" s="1"/>
  <c r="I81" i="14702" a="1"/>
  <c r="I81" i="14702" s="1"/>
  <c r="N76" i="14702" a="1"/>
  <c r="N76" i="14702" s="1"/>
  <c r="G83" i="14702" a="1"/>
  <c r="G83" i="14702" s="1"/>
  <c r="O75" i="14702" a="1"/>
  <c r="O75" i="14702" s="1"/>
  <c r="J80" i="14702" a="1"/>
  <c r="J80" i="14702" s="1"/>
  <c r="Q73" i="14702" a="1"/>
  <c r="Q73" i="14702" s="1"/>
  <c r="M148" i="14702" a="1"/>
  <c r="O148" i="14702" s="1"/>
  <c r="N147" i="14702" a="1"/>
  <c r="F155" i="14702" a="1"/>
  <c r="L155" i="14702" s="1"/>
  <c r="H153" i="14702" a="1"/>
  <c r="G154" i="14702" a="1"/>
  <c r="K154" i="14702" s="1"/>
  <c r="N22" i="14702"/>
  <c r="B159" i="14702" a="1"/>
  <c r="H159" i="14702" s="1"/>
  <c r="U72" i="14702" a="1"/>
  <c r="U72" i="14702" s="1"/>
  <c r="P77" i="14702" a="1"/>
  <c r="P77" i="14702" s="1"/>
  <c r="K82" i="14702" a="1"/>
  <c r="K82" i="14702" s="1"/>
  <c r="J83" i="14702" a="1"/>
  <c r="J83" i="14702" s="1"/>
  <c r="I84" i="14702" a="1"/>
  <c r="I84" i="14702" s="1"/>
  <c r="R75" i="14702" a="1"/>
  <c r="R75" i="14702" s="1"/>
  <c r="I83" i="14702" a="1"/>
  <c r="I83" i="14702" s="1"/>
  <c r="T72" i="14702" a="1"/>
  <c r="T72" i="14702" s="1"/>
  <c r="S73" i="14702" a="1"/>
  <c r="S73" i="14702" s="1"/>
  <c r="L80" i="14702" a="1"/>
  <c r="L80" i="14702" s="1"/>
  <c r="J82" i="14702" a="1"/>
  <c r="J82" i="14702" s="1"/>
  <c r="K81" i="14702" a="1"/>
  <c r="K81" i="14702" s="1"/>
  <c r="X72" i="14702" a="1"/>
  <c r="X72" i="14702" s="1"/>
  <c r="O81" i="14702" a="1"/>
  <c r="O81" i="14702" s="1"/>
  <c r="W73" i="14702" a="1"/>
  <c r="W73" i="14702" s="1"/>
  <c r="P80" i="14702" a="1"/>
  <c r="P80" i="14702" s="1"/>
  <c r="Q79" i="14702" a="1"/>
  <c r="Q79" i="14702" s="1"/>
  <c r="T76" i="14702" a="1"/>
  <c r="T76" i="14702" s="1"/>
  <c r="M28" i="14702"/>
  <c r="M84" i="14702" a="1"/>
  <c r="M84" i="14702" s="1"/>
  <c r="P81" i="14702" a="1"/>
  <c r="P81" i="14702" s="1"/>
  <c r="J78" i="14702" a="1"/>
  <c r="J78" i="14702" s="1"/>
  <c r="D28" i="14702"/>
  <c r="N74" i="14702" a="1"/>
  <c r="N74" i="14702" s="1"/>
  <c r="P171" i="14704"/>
  <c r="Q171" i="14704"/>
  <c r="B177" i="14704"/>
  <c r="N177" i="14702" s="1"/>
  <c r="H177" i="14704"/>
  <c r="E177" i="14704"/>
  <c r="M177" i="14704"/>
  <c r="J177" i="14704"/>
  <c r="T166" i="14704"/>
  <c r="O166" i="14704"/>
  <c r="N166" i="14704"/>
  <c r="U166" i="14704"/>
  <c r="P166" i="14704"/>
  <c r="M229" i="14704"/>
  <c r="I229" i="14704"/>
  <c r="O229" i="14704"/>
  <c r="U220" i="14704"/>
  <c r="M220" i="14704"/>
  <c r="H155" i="14704"/>
  <c r="L155" i="14704"/>
  <c r="K151" i="14704"/>
  <c r="J151" i="14704"/>
  <c r="M151" i="14704"/>
  <c r="Q151" i="14704"/>
  <c r="L151" i="14704"/>
  <c r="U238" i="14704"/>
  <c r="X238" i="14704"/>
  <c r="T238" i="14704"/>
  <c r="S238" i="14704"/>
  <c r="P238" i="14704"/>
  <c r="N244" i="14704"/>
  <c r="I244" i="14704"/>
  <c r="H244" i="14704"/>
  <c r="G244" i="14704"/>
  <c r="K244" i="14704"/>
  <c r="N135" i="14704"/>
  <c r="R133" i="14704"/>
  <c r="K133" i="14704"/>
  <c r="T133" i="14704"/>
  <c r="N133" i="14704"/>
  <c r="Q133" i="14704"/>
  <c r="Q188" i="14704"/>
  <c r="T188" i="14704"/>
  <c r="H192" i="14704"/>
  <c r="R117" i="14704"/>
  <c r="S204" i="14704"/>
  <c r="T204" i="14704"/>
  <c r="O211" i="14704"/>
  <c r="N211" i="14704"/>
  <c r="N203" i="14704"/>
  <c r="N111" i="14702" a="1"/>
  <c r="V111" i="14702" s="1"/>
  <c r="K175" i="14704"/>
  <c r="L226" i="14704"/>
  <c r="O223" i="14704"/>
  <c r="P153" i="14704"/>
  <c r="T148" i="14704"/>
  <c r="L158" i="14704"/>
  <c r="L239" i="14704"/>
  <c r="L246" i="14704"/>
  <c r="U240" i="14704"/>
  <c r="J16" i="14707"/>
  <c r="W85" i="14704"/>
  <c r="G172" i="14704"/>
  <c r="O172" i="14704"/>
  <c r="L172" i="14704"/>
  <c r="H172" i="14704"/>
  <c r="M172" i="14704"/>
  <c r="N172" i="14704"/>
  <c r="O165" i="14704"/>
  <c r="U165" i="14704"/>
  <c r="Q165" i="14704"/>
  <c r="Y165" i="14704"/>
  <c r="Y178" i="14704" s="1"/>
  <c r="V165" i="14704"/>
  <c r="X165" i="14704"/>
  <c r="K176" i="14704"/>
  <c r="M176" i="14704"/>
  <c r="L176" i="14704"/>
  <c r="F176" i="14704"/>
  <c r="C176" i="14704"/>
  <c r="O176" i="14702" s="1"/>
  <c r="D176" i="14704"/>
  <c r="K230" i="14704"/>
  <c r="I230" i="14704"/>
  <c r="L230" i="14704"/>
  <c r="G230" i="14704"/>
  <c r="M230" i="14704"/>
  <c r="D230" i="14704"/>
  <c r="S222" i="14704"/>
  <c r="R222" i="14704"/>
  <c r="P222" i="14704"/>
  <c r="K222" i="14704"/>
  <c r="V222" i="14704"/>
  <c r="N222" i="14704"/>
  <c r="W221" i="14704"/>
  <c r="T221" i="14704"/>
  <c r="S221" i="14704"/>
  <c r="P221" i="14704"/>
  <c r="U221" i="14704"/>
  <c r="L221" i="14704"/>
  <c r="V150" i="14704"/>
  <c r="N150" i="14704"/>
  <c r="L150" i="14704"/>
  <c r="S150" i="14704"/>
  <c r="Q150" i="14704"/>
  <c r="P150" i="14704"/>
  <c r="Q152" i="14704"/>
  <c r="O152" i="14704"/>
  <c r="P152" i="14704"/>
  <c r="T152" i="14704"/>
  <c r="R152" i="14704"/>
  <c r="M152" i="14704"/>
  <c r="I245" i="14704"/>
  <c r="M245" i="14704"/>
  <c r="O245" i="14704"/>
  <c r="H245" i="14704"/>
  <c r="J245" i="14704"/>
  <c r="F245" i="14704"/>
  <c r="P243" i="14704"/>
  <c r="K243" i="14704"/>
  <c r="I243" i="14704"/>
  <c r="H243" i="14704"/>
  <c r="L243" i="14704"/>
  <c r="O243" i="14704"/>
  <c r="H231" i="14704"/>
  <c r="E231" i="14704"/>
  <c r="M231" i="14704"/>
  <c r="D231" i="14704"/>
  <c r="B231" i="14704"/>
  <c r="N231" i="14702" s="1"/>
  <c r="J231" i="14704"/>
  <c r="O241" i="14704"/>
  <c r="R241" i="14704"/>
  <c r="M241" i="14704"/>
  <c r="S241" i="14704"/>
  <c r="T241" i="14704"/>
  <c r="U241" i="14704"/>
  <c r="C85" i="14704"/>
  <c r="V72" i="14702" a="1"/>
  <c r="V72" i="14702" s="1"/>
  <c r="U85" i="14704"/>
  <c r="H85" i="14704"/>
  <c r="F173" i="14704"/>
  <c r="G226" i="14704"/>
  <c r="I153" i="14704"/>
  <c r="S153" i="14704"/>
  <c r="N148" i="14704"/>
  <c r="C159" i="14704"/>
  <c r="O159" i="14702" s="1"/>
  <c r="H246" i="14704"/>
  <c r="J13" i="14707"/>
  <c r="L239" i="14702" a="1"/>
  <c r="T239" i="14702" s="1"/>
  <c r="E246" i="14702" a="1"/>
  <c r="N246" i="14702" s="1"/>
  <c r="C230" i="14702" a="1"/>
  <c r="L230" i="14702" s="1"/>
  <c r="E228" i="14702" a="1"/>
  <c r="L228" i="14702" s="1"/>
  <c r="P192" i="14704"/>
  <c r="J192" i="14704"/>
  <c r="F192" i="14704"/>
  <c r="N193" i="14704"/>
  <c r="H193" i="14704"/>
  <c r="I193" i="14704"/>
  <c r="M117" i="14704"/>
  <c r="H117" i="14704"/>
  <c r="L117" i="14704"/>
  <c r="F85" i="14704"/>
  <c r="U203" i="14704"/>
  <c r="W203" i="14704"/>
  <c r="V203" i="14704"/>
  <c r="J212" i="14704"/>
  <c r="N212" i="14704"/>
  <c r="G212" i="14704"/>
  <c r="N140" i="14704"/>
  <c r="L140" i="14704"/>
  <c r="K140" i="14704"/>
  <c r="I135" i="14704"/>
  <c r="M135" i="14704"/>
  <c r="L135" i="14704"/>
  <c r="R115" i="14704"/>
  <c r="U115" i="14704"/>
  <c r="M115" i="14704"/>
  <c r="H173" i="14704"/>
  <c r="J173" i="14704"/>
  <c r="K173" i="14704"/>
  <c r="G175" i="14704"/>
  <c r="J175" i="14704"/>
  <c r="H175" i="14704"/>
  <c r="O226" i="14704"/>
  <c r="P226" i="14704"/>
  <c r="J226" i="14704"/>
  <c r="P223" i="14704"/>
  <c r="L223" i="14704"/>
  <c r="S223" i="14704"/>
  <c r="R148" i="14704"/>
  <c r="X148" i="14704"/>
  <c r="M148" i="14704"/>
  <c r="E158" i="14704"/>
  <c r="H158" i="14704"/>
  <c r="N158" i="14704"/>
  <c r="L159" i="14704"/>
  <c r="F159" i="14704"/>
  <c r="B159" i="14704"/>
  <c r="V239" i="14704"/>
  <c r="Q239" i="14704"/>
  <c r="W239" i="14704"/>
  <c r="F246" i="14704"/>
  <c r="I246" i="14704"/>
  <c r="J246" i="14704"/>
  <c r="V240" i="14704"/>
  <c r="T240" i="14704"/>
  <c r="O240" i="14704"/>
  <c r="J18" i="14707"/>
  <c r="J15" i="14707"/>
  <c r="J17" i="14707"/>
  <c r="J11" i="14707"/>
  <c r="S188" i="14704"/>
  <c r="N188" i="14704"/>
  <c r="P188" i="14704"/>
  <c r="K188" i="14704"/>
  <c r="R188" i="14704"/>
  <c r="J188" i="14704"/>
  <c r="N204" i="14704"/>
  <c r="L204" i="14704"/>
  <c r="V204" i="14704"/>
  <c r="O204" i="14704"/>
  <c r="M204" i="14704"/>
  <c r="U204" i="14704"/>
  <c r="R153" i="14704"/>
  <c r="K153" i="14704"/>
  <c r="L153" i="14704"/>
  <c r="Q153" i="14704"/>
  <c r="J153" i="14704"/>
  <c r="H153" i="14704"/>
  <c r="F119" i="14702" a="1"/>
  <c r="K119" i="14702" s="1"/>
  <c r="I116" i="14702" a="1"/>
  <c r="J116" i="14702" s="1"/>
  <c r="G118" i="14702" a="1"/>
  <c r="Q118" i="14702" s="1"/>
  <c r="K114" i="14702" a="1"/>
  <c r="R114" i="14702" s="1"/>
  <c r="C83" i="14702" a="1"/>
  <c r="C83" i="14702" s="1"/>
  <c r="L74" i="14702" a="1"/>
  <c r="L74" i="14702" s="1"/>
  <c r="K84" i="14702" a="1"/>
  <c r="K84" i="14702" s="1"/>
  <c r="G155" i="14704"/>
  <c r="F155" i="14704"/>
  <c r="N155" i="14704"/>
  <c r="K155" i="14704"/>
  <c r="I155" i="14704"/>
  <c r="O155" i="14704"/>
  <c r="K211" i="14704"/>
  <c r="D211" i="14704"/>
  <c r="L211" i="14704"/>
  <c r="J211" i="14704"/>
  <c r="M211" i="14704"/>
  <c r="I211" i="14704"/>
  <c r="V85" i="14704"/>
  <c r="O171" i="14704"/>
  <c r="H171" i="14704"/>
  <c r="J171" i="14704"/>
  <c r="L171" i="14704"/>
  <c r="R171" i="14704"/>
  <c r="K171" i="14704"/>
  <c r="R220" i="14704"/>
  <c r="N220" i="14704"/>
  <c r="S220" i="14704"/>
  <c r="P220" i="14704"/>
  <c r="O220" i="14704"/>
  <c r="V220" i="14704"/>
  <c r="L229" i="14704"/>
  <c r="N229" i="14704"/>
  <c r="G229" i="14704"/>
  <c r="D229" i="14704"/>
  <c r="H229" i="14704"/>
  <c r="P82" i="14702" a="1"/>
  <c r="P82" i="14702" s="1"/>
  <c r="O80" i="14702" a="1"/>
  <c r="O80" i="14702" s="1"/>
  <c r="U74" i="14702" a="1"/>
  <c r="U74" i="14702" s="1"/>
  <c r="R77" i="14702" a="1"/>
  <c r="R77" i="14702" s="1"/>
  <c r="L83" i="14702" a="1"/>
  <c r="L83" i="14702" s="1"/>
  <c r="N80" i="14702" a="1"/>
  <c r="N80" i="14702" s="1"/>
  <c r="S75" i="14702" a="1"/>
  <c r="S75" i="14702" s="1"/>
  <c r="J84" i="14702" a="1"/>
  <c r="J84" i="14702" s="1"/>
  <c r="U73" i="14702" a="1"/>
  <c r="U73" i="14702" s="1"/>
  <c r="G244" i="14702" a="1"/>
  <c r="K244" i="14702" s="1"/>
  <c r="C248" i="14702" a="1"/>
  <c r="M248" i="14702" s="1"/>
  <c r="N27" i="14702"/>
  <c r="F245" i="14702" a="1"/>
  <c r="J245" i="14702" s="1"/>
  <c r="H225" i="14702" a="1"/>
  <c r="R225" i="14702" s="1"/>
  <c r="J223" i="14702" a="1"/>
  <c r="U223" i="14702" s="1"/>
  <c r="L221" i="14702" a="1"/>
  <c r="U221" i="14702" s="1"/>
  <c r="K75" i="14702" a="1"/>
  <c r="K75" i="14702" s="1"/>
  <c r="I77" i="14702" a="1"/>
  <c r="I77" i="14702" s="1"/>
  <c r="D82" i="14702" a="1"/>
  <c r="D82" i="14702" s="1"/>
  <c r="N85" i="14704"/>
  <c r="O192" i="14704"/>
  <c r="K192" i="14704"/>
  <c r="I192" i="14704"/>
  <c r="L192" i="14704"/>
  <c r="G192" i="14704"/>
  <c r="M192" i="14704"/>
  <c r="J193" i="14704"/>
  <c r="E193" i="14704"/>
  <c r="D193" i="14704"/>
  <c r="O193" i="14704"/>
  <c r="K193" i="14704"/>
  <c r="F193" i="14704"/>
  <c r="P117" i="14704"/>
  <c r="O117" i="14704"/>
  <c r="K117" i="14704"/>
  <c r="J117" i="14704"/>
  <c r="Q117" i="14704"/>
  <c r="I117" i="14704"/>
  <c r="R80" i="14702" a="1"/>
  <c r="R81" i="14702" s="1"/>
  <c r="I85" i="14704"/>
  <c r="S203" i="14704"/>
  <c r="P203" i="14704"/>
  <c r="Q203" i="14704"/>
  <c r="R203" i="14704"/>
  <c r="T203" i="14704"/>
  <c r="M203" i="14704"/>
  <c r="K212" i="14704"/>
  <c r="C212" i="14704"/>
  <c r="O212" i="14702" s="1"/>
  <c r="I212" i="14704"/>
  <c r="M212" i="14704"/>
  <c r="D212" i="14704"/>
  <c r="H212" i="14704"/>
  <c r="C140" i="14704"/>
  <c r="O140" i="14702" s="1"/>
  <c r="J140" i="14704"/>
  <c r="H140" i="14704"/>
  <c r="D140" i="14704"/>
  <c r="G140" i="14704"/>
  <c r="E140" i="14704"/>
  <c r="H135" i="14704"/>
  <c r="O135" i="14704"/>
  <c r="S135" i="14704"/>
  <c r="R135" i="14704"/>
  <c r="P135" i="14704"/>
  <c r="Q135" i="14704"/>
  <c r="N115" i="14704"/>
  <c r="S115" i="14704"/>
  <c r="T115" i="14704"/>
  <c r="Q115" i="14704"/>
  <c r="K115" i="14704"/>
  <c r="L115" i="14704"/>
  <c r="G85" i="14704"/>
  <c r="Q173" i="14704"/>
  <c r="G173" i="14704"/>
  <c r="M173" i="14704"/>
  <c r="L173" i="14704"/>
  <c r="O173" i="14704"/>
  <c r="I173" i="14704"/>
  <c r="F175" i="14704"/>
  <c r="O175" i="14704"/>
  <c r="N175" i="14704"/>
  <c r="I175" i="14704"/>
  <c r="D175" i="14704"/>
  <c r="M175" i="14704"/>
  <c r="H226" i="14704"/>
  <c r="N226" i="14704"/>
  <c r="M226" i="14704"/>
  <c r="R226" i="14704"/>
  <c r="Q226" i="14704"/>
  <c r="K226" i="14704"/>
  <c r="N223" i="14704"/>
  <c r="M223" i="14704"/>
  <c r="R223" i="14704"/>
  <c r="U223" i="14704"/>
  <c r="J223" i="14704"/>
  <c r="T223" i="14704"/>
  <c r="V148" i="14704"/>
  <c r="S148" i="14704"/>
  <c r="W148" i="14704"/>
  <c r="Q148" i="14704"/>
  <c r="U148" i="14704"/>
  <c r="O148" i="14704"/>
  <c r="G158" i="14704"/>
  <c r="M158" i="14704"/>
  <c r="K158" i="14704"/>
  <c r="F158" i="14704"/>
  <c r="C158" i="14704"/>
  <c r="D158" i="14704"/>
  <c r="H159" i="14704"/>
  <c r="D159" i="14704"/>
  <c r="K159" i="14704"/>
  <c r="G159" i="14704"/>
  <c r="E159" i="14704"/>
  <c r="J159" i="14704"/>
  <c r="O239" i="14704"/>
  <c r="R239" i="14704"/>
  <c r="N239" i="14704"/>
  <c r="P239" i="14704"/>
  <c r="T239" i="14704"/>
  <c r="U239" i="14704"/>
  <c r="E246" i="14704"/>
  <c r="M246" i="14704"/>
  <c r="K246" i="14704"/>
  <c r="G246" i="14704"/>
  <c r="N246" i="14704"/>
  <c r="O246" i="14704"/>
  <c r="R240" i="14704"/>
  <c r="N240" i="14704"/>
  <c r="S240" i="14704"/>
  <c r="L240" i="14704"/>
  <c r="K240" i="14704"/>
  <c r="M240" i="14704"/>
  <c r="N28" i="14704"/>
  <c r="S79" i="14702" a="1"/>
  <c r="S81" i="14702" s="1"/>
  <c r="P85" i="14704"/>
  <c r="U77" i="14702" a="1"/>
  <c r="Y72" i="14702" a="1"/>
  <c r="Y72" i="14702" s="1"/>
  <c r="X73" i="14702" a="1"/>
  <c r="X73" i="14702" s="1"/>
  <c r="N83" i="14702" a="1"/>
  <c r="N83" i="14702" s="1"/>
  <c r="T77" i="14702" a="1"/>
  <c r="T77" i="14702" s="1"/>
  <c r="Q80" i="14702" a="1"/>
  <c r="Q80" i="14702" s="1"/>
  <c r="R79" i="14702" a="1"/>
  <c r="R79" i="14702" s="1"/>
  <c r="P78" i="14702" a="1"/>
  <c r="P78" i="14702" s="1"/>
  <c r="O79" i="14702" a="1"/>
  <c r="O79" i="14702" s="1"/>
  <c r="M81" i="14702" a="1"/>
  <c r="M81" i="14702" s="1"/>
  <c r="K83" i="14702" a="1"/>
  <c r="K83" i="14702" s="1"/>
  <c r="Q77" i="14702" a="1"/>
  <c r="Q77" i="14702" s="1"/>
  <c r="J28" i="14702"/>
  <c r="R76" i="14702" a="1"/>
  <c r="R76" i="14702" s="1"/>
  <c r="J241" i="14702" a="1"/>
  <c r="R241" i="14702" s="1"/>
  <c r="N237" i="14702" a="1"/>
  <c r="H243" i="14702" a="1"/>
  <c r="M243" i="14702" s="1"/>
  <c r="M238" i="14702" a="1"/>
  <c r="V238" i="14702" s="1"/>
  <c r="K240" i="14702" a="1"/>
  <c r="B249" i="14702" a="1"/>
  <c r="H249" i="14702" s="1"/>
  <c r="D247" i="14702" a="1"/>
  <c r="H247" i="14702" s="1"/>
  <c r="H78" i="14702" a="1"/>
  <c r="H78" i="14702" s="1"/>
  <c r="F80" i="14702" a="1"/>
  <c r="F80" i="14702" s="1"/>
  <c r="J115" i="14702" a="1"/>
  <c r="C122" i="14702" a="1"/>
  <c r="K122" i="14702" s="1"/>
  <c r="N20" i="14702"/>
  <c r="E120" i="14702" a="1"/>
  <c r="O120" i="14702" s="1"/>
  <c r="M73" i="14702" a="1"/>
  <c r="M73" i="14702" s="1"/>
  <c r="B123" i="14702" a="1"/>
  <c r="N72" i="14702" a="1"/>
  <c r="N72" i="14702" s="1"/>
  <c r="H117" i="14702" a="1"/>
  <c r="L117" i="14702" s="1"/>
  <c r="B84" i="14702" a="1"/>
  <c r="B84" i="14702" s="1"/>
  <c r="N84" i="14701" s="1"/>
  <c r="N85" i="14701" s="1"/>
  <c r="G79" i="14702" a="1"/>
  <c r="G79" i="14702" s="1"/>
  <c r="J76" i="14702" a="1"/>
  <c r="J76" i="14702" s="1"/>
  <c r="B32" i="14702" a="1"/>
  <c r="B231" i="14702" a="1"/>
  <c r="E231" i="14702" s="1"/>
  <c r="I224" i="14702" a="1"/>
  <c r="J224" i="14702" s="1"/>
  <c r="K222" i="14702" a="1"/>
  <c r="N219" i="14702" a="1"/>
  <c r="R219" i="14702" s="1"/>
  <c r="D229" i="14702" a="1"/>
  <c r="G229" i="14702" s="1"/>
  <c r="M220" i="14702" a="1"/>
  <c r="R220" i="14702" s="1"/>
  <c r="N26" i="14702"/>
  <c r="H80" i="14702" a="1"/>
  <c r="H80" i="14702" s="1"/>
  <c r="L76" i="14702" a="1"/>
  <c r="L76" i="14702" s="1"/>
  <c r="G81" i="14702" a="1"/>
  <c r="G81" i="14702" s="1"/>
  <c r="E83" i="14702" a="1"/>
  <c r="E83" i="14702" s="1"/>
  <c r="F82" i="14702" a="1"/>
  <c r="F82" i="14702" s="1"/>
  <c r="D84" i="14702" a="1"/>
  <c r="D84" i="14702" s="1"/>
  <c r="I79" i="14702" a="1"/>
  <c r="I79" i="14702" s="1"/>
  <c r="T75" i="14702" a="1"/>
  <c r="T75" i="14702" s="1"/>
  <c r="W72" i="14702" a="1"/>
  <c r="W72" i="14702" s="1"/>
  <c r="K28" i="14702"/>
  <c r="N81" i="14702" a="1"/>
  <c r="N81" i="14702" s="1"/>
  <c r="P79" i="14702" a="1"/>
  <c r="P79" i="14702" s="1"/>
  <c r="M82" i="14702" a="1"/>
  <c r="M82" i="14702" s="1"/>
  <c r="Q78" i="14702" a="1"/>
  <c r="Q78" i="14702" s="1"/>
  <c r="T78" i="14702" a="1"/>
  <c r="T78" i="14702" s="1"/>
  <c r="Q85" i="14704"/>
  <c r="B87" i="14707" a="1"/>
  <c r="B87" i="14707" s="1"/>
  <c r="B69" i="14707" a="1"/>
  <c r="B69" i="14707" s="1"/>
  <c r="B35" i="14622" a="1"/>
  <c r="B74" i="14649" a="1"/>
  <c r="B74" i="14649" s="1"/>
  <c r="B46" i="14686" a="1"/>
  <c r="B46" i="14686" s="1"/>
  <c r="B17" i="14665" a="1"/>
  <c r="B92" i="14649" a="1"/>
  <c r="B108" i="14707" a="1"/>
  <c r="C37" i="14665" a="1"/>
  <c r="C37" i="14665" s="1"/>
  <c r="A53" i="14665" s="1"/>
  <c r="B98" i="14707" a="1"/>
  <c r="T5" i="14655" a="1"/>
  <c r="B4" i="14689" a="1"/>
  <c r="B36" i="14686" a="1"/>
  <c r="B36" i="14686" s="1"/>
  <c r="C5" i="14696" a="1"/>
  <c r="C5" i="14696" s="1"/>
  <c r="B83" i="14649" a="1"/>
  <c r="D6" i="14643" a="1"/>
  <c r="A70" i="14684" a="1"/>
  <c r="C7" i="14657" a="1"/>
  <c r="C7" i="14657" s="1"/>
  <c r="K19" i="14657" a="1"/>
  <c r="K19" i="14657" s="1"/>
  <c r="C70" i="14689" a="1"/>
  <c r="B37" i="14707" a="1"/>
  <c r="B37" i="14707" s="1"/>
  <c r="C4" i="14684" a="1"/>
  <c r="C4" i="14684" s="1"/>
  <c r="B38" i="14649" a="1"/>
  <c r="B52" i="14686" a="1"/>
  <c r="B52" i="14686" s="1"/>
  <c r="B18" i="14686" a="1"/>
  <c r="B18" i="14686" s="1"/>
  <c r="B28" i="14686" s="1"/>
  <c r="B20" i="14682" a="1"/>
  <c r="B4" i="14682" a="1"/>
  <c r="B4" i="14682" s="1"/>
  <c r="C12" i="14684" a="1"/>
  <c r="C41" i="14665" a="1"/>
  <c r="B43" i="14707" a="1"/>
  <c r="B43" i="14707" s="1"/>
  <c r="B28" i="14682" a="1"/>
  <c r="B28" i="14682" s="1"/>
  <c r="A63" i="14684" a="1"/>
  <c r="B15" i="14682" a="1"/>
  <c r="B15" i="14682" s="1"/>
  <c r="A56" i="14649" a="1"/>
  <c r="A56" i="14649" s="1"/>
  <c r="D48" i="14690" a="1"/>
  <c r="B5" i="14693" a="1"/>
  <c r="B5" i="14693" s="1"/>
  <c r="B5" i="14686" a="1"/>
  <c r="B5" i="14686" s="1"/>
  <c r="C14" i="14649" a="1"/>
  <c r="C14" i="14649" s="1"/>
  <c r="B6" i="14678" a="1"/>
  <c r="B58" i="14700" a="1"/>
  <c r="B16" i="14669" a="1"/>
  <c r="C36" i="14648" a="1"/>
  <c r="B71" i="14703" a="1"/>
  <c r="B34" i="14679" a="1"/>
  <c r="B45" i="14704" a="1"/>
  <c r="C51" i="14648" a="1"/>
  <c r="B19" i="14702" a="1"/>
  <c r="B4" i="8" a="1"/>
  <c r="B44" i="14653" a="1"/>
  <c r="C66" i="14648" a="1"/>
  <c r="B26" i="14681" a="1"/>
  <c r="C4" i="14639" a="1"/>
  <c r="B4" i="14671" a="1"/>
  <c r="C18" i="14628" a="1"/>
  <c r="B6" i="14679" a="1"/>
  <c r="C18" i="14634" a="1"/>
  <c r="B6" i="14632" a="1"/>
  <c r="C4" i="14676" a="1"/>
  <c r="B5" i="14653" a="1"/>
  <c r="B62" i="14684" a="1"/>
  <c r="B7" i="14702" a="1"/>
  <c r="C18" i="14639" a="1"/>
  <c r="B4" i="14669" a="1"/>
  <c r="B16" i="14637" a="1"/>
  <c r="B6" i="14638" a="1"/>
  <c r="B7" i="14701" a="1"/>
  <c r="C19" i="14687" a="1"/>
  <c r="B4" i="14630" a="1"/>
  <c r="C28" i="14625" a="1"/>
  <c r="B45" i="14700" a="1"/>
  <c r="B32" i="14636" a="1"/>
  <c r="B35" i="14681" a="1"/>
  <c r="C8" i="14687" a="1"/>
  <c r="B4" i="14637" a="1"/>
  <c r="B31" i="14637" a="1"/>
  <c r="C30" i="14634" a="1"/>
  <c r="B31" i="14630" a="1"/>
  <c r="B4" i="14670" a="1"/>
  <c r="B4" i="14629" a="1"/>
  <c r="B31" i="14700" a="1"/>
  <c r="C84" i="14687" a="1"/>
  <c r="B16" i="14630" a="1"/>
  <c r="B4" i="7" a="1"/>
  <c r="C46" i="14687" a="1"/>
  <c r="C4" i="14677" a="1"/>
  <c r="B34" i="14678" a="1"/>
  <c r="C30" i="14639" a="1"/>
  <c r="B58" i="14698" a="1"/>
  <c r="B8" i="14681" a="1"/>
  <c r="C4" i="14674" a="1"/>
  <c r="B31" i="14704" a="1"/>
  <c r="B31" i="14653" a="1"/>
  <c r="B31" i="14698" a="1"/>
  <c r="B44" i="14681" a="1"/>
  <c r="B19" i="14704" a="1"/>
  <c r="B4" i="14672" a="1"/>
  <c r="C57" i="14687" a="1"/>
  <c r="B52" i="14665" a="1"/>
  <c r="C76" i="14687" a="1"/>
  <c r="B31" i="14703" a="1"/>
  <c r="B70" i="14653" a="1"/>
  <c r="C28" i="14676" a="1"/>
  <c r="C18" i="14674" a="1"/>
  <c r="B45" i="14702" a="1"/>
  <c r="B32" i="14672" a="1"/>
  <c r="B34" i="14632" a="1"/>
  <c r="B32" i="14673" a="1"/>
  <c r="C27" i="14687" a="1"/>
  <c r="B34" i="14638" a="1"/>
  <c r="C4" i="14634" a="1"/>
  <c r="C30" i="14628" a="1"/>
  <c r="B31" i="14701" a="1"/>
  <c r="C4" i="14625" a="1"/>
  <c r="B17" i="14681" a="1"/>
  <c r="C28" i="14641" a="1"/>
  <c r="C104" i="14648" a="1"/>
  <c r="B4" i="14673" a="1"/>
  <c r="C4" i="14641" a="1"/>
  <c r="C4" i="14628" a="1"/>
  <c r="C89" i="14648" a="1"/>
  <c r="B31" i="14669" a="1"/>
  <c r="C95" i="14687" a="1"/>
  <c r="C84" i="14648" a="1"/>
  <c r="C30" i="14675" a="1"/>
  <c r="B34" i="14623" a="1"/>
  <c r="C6" i="14648" a="1"/>
  <c r="C28" i="14633" a="1"/>
  <c r="B58" i="14703" a="1"/>
  <c r="B4" i="14636" a="1"/>
  <c r="B45" i="14698" a="1"/>
  <c r="C4" i="14633" a="1"/>
  <c r="B16" i="7" a="1"/>
  <c r="C4" i="14675" a="1"/>
  <c r="B32" i="14624" a="1"/>
  <c r="B58" i="14701" a="1"/>
  <c r="B31" i="7" a="1"/>
  <c r="C18" i="14647"/>
  <c r="C66" i="14647" s="1" a="1"/>
  <c r="B4" i="14668" a="1"/>
  <c r="B7" i="14700" a="1"/>
  <c r="C99" i="14648" a="1"/>
  <c r="B57" i="14653" a="1"/>
  <c r="B4" i="14640" a="1"/>
  <c r="B6" i="14623" a="1"/>
  <c r="C28" i="14677" a="1"/>
  <c r="C38" i="14687" a="1"/>
  <c r="B4" i="14624" a="1"/>
  <c r="B58" i="14704" a="1"/>
  <c r="C30" i="14674" a="1"/>
  <c r="B19" i="14700" a="1"/>
  <c r="B45" i="14703" a="1"/>
  <c r="B31" i="14702" a="1"/>
  <c r="B19" i="14701" a="1"/>
  <c r="B31" i="14668" a="1"/>
  <c r="C65" i="14687" a="1"/>
  <c r="B58" i="14702" a="1"/>
  <c r="B19" i="14703" a="1"/>
  <c r="C18" i="14675" a="1"/>
  <c r="B16" i="14668" a="1"/>
  <c r="B32" i="14629" a="1"/>
  <c r="B45" i="14701" a="1"/>
  <c r="C21" i="14648" a="1"/>
  <c r="B7" i="14698" a="1"/>
  <c r="B4" i="14631" a="1"/>
  <c r="C94" i="14648" a="1"/>
  <c r="B7" i="14704" a="1"/>
  <c r="B7" i="14703" a="1"/>
  <c r="B19" i="14698" a="1"/>
  <c r="B18" i="14653" a="1"/>
  <c r="E5" i="14655" a="1"/>
  <c r="K17" i="14677"/>
  <c r="M17" i="14677"/>
  <c r="E17" i="14677"/>
  <c r="C17" i="14677"/>
  <c r="F17" i="14677"/>
  <c r="J17" i="14677"/>
  <c r="N17" i="14677"/>
  <c r="I17" i="14677"/>
  <c r="G17" i="14677"/>
  <c r="L17" i="14677"/>
  <c r="H17" i="14677"/>
  <c r="D17" i="14677"/>
  <c r="J8" i="14634"/>
  <c r="I8" i="14634"/>
  <c r="H8" i="14634"/>
  <c r="N8" i="14634"/>
  <c r="F8" i="14634"/>
  <c r="L8" i="14634"/>
  <c r="G8" i="14634"/>
  <c r="D8" i="14634"/>
  <c r="K8" i="14634"/>
  <c r="E8" i="14634"/>
  <c r="M8" i="14634"/>
  <c r="C8" i="14634"/>
  <c r="I8" i="14639"/>
  <c r="M8" i="14639"/>
  <c r="J8" i="14639"/>
  <c r="C8" i="14639"/>
  <c r="D8" i="14639"/>
  <c r="E8" i="14639"/>
  <c r="N8" i="14639"/>
  <c r="G8" i="14639"/>
  <c r="H8" i="14639"/>
  <c r="L8" i="14639"/>
  <c r="K8" i="14639"/>
  <c r="F8" i="14639"/>
  <c r="F17" i="14625"/>
  <c r="J17" i="14625"/>
  <c r="C17" i="14625"/>
  <c r="M17" i="14625"/>
  <c r="N17" i="14625"/>
  <c r="D17" i="14625"/>
  <c r="K17" i="14625"/>
  <c r="L17" i="14625"/>
  <c r="G17" i="14625"/>
  <c r="H17" i="14625"/>
  <c r="I17" i="14625"/>
  <c r="E17" i="14625"/>
  <c r="I17" i="14676"/>
  <c r="K17" i="14676"/>
  <c r="L17" i="14676"/>
  <c r="G17" i="14676"/>
  <c r="D17" i="14676"/>
  <c r="H17" i="14676"/>
  <c r="F17" i="14676"/>
  <c r="N17" i="14676"/>
  <c r="J17" i="14676"/>
  <c r="E17" i="14676"/>
  <c r="C17" i="14676"/>
  <c r="M17" i="14676"/>
  <c r="E8" i="14675"/>
  <c r="H8" i="14675"/>
  <c r="F8" i="14675"/>
  <c r="J8" i="14675"/>
  <c r="K8" i="14675"/>
  <c r="G8" i="14675"/>
  <c r="I8" i="14675"/>
  <c r="L8" i="14675"/>
  <c r="N8" i="14675"/>
  <c r="D8" i="14675"/>
  <c r="C8" i="14675"/>
  <c r="M8" i="14675"/>
  <c r="D17" i="14633"/>
  <c r="F17" i="14633"/>
  <c r="K17" i="14633"/>
  <c r="J17" i="14633"/>
  <c r="G17" i="14633"/>
  <c r="C17" i="14633"/>
  <c r="E17" i="14633"/>
  <c r="H17" i="14633"/>
  <c r="M17" i="14633"/>
  <c r="N17" i="14633"/>
  <c r="L17" i="14633"/>
  <c r="I17" i="14633"/>
  <c r="K8" i="14674"/>
  <c r="M8" i="14674"/>
  <c r="F8" i="14674"/>
  <c r="J8" i="14674"/>
  <c r="E8" i="14674"/>
  <c r="C8" i="14674"/>
  <c r="N8" i="14674"/>
  <c r="D8" i="14674"/>
  <c r="H8" i="14674"/>
  <c r="I8" i="14674"/>
  <c r="L8" i="14674"/>
  <c r="G8" i="14674"/>
  <c r="M17" i="14641"/>
  <c r="H17" i="14641"/>
  <c r="E17" i="14641"/>
  <c r="C17" i="14641"/>
  <c r="I17" i="14641"/>
  <c r="J17" i="14641"/>
  <c r="L17" i="14641"/>
  <c r="K17" i="14641"/>
  <c r="D17" i="14641"/>
  <c r="N17" i="14641"/>
  <c r="F17" i="14641"/>
  <c r="G17" i="14641"/>
  <c r="J8" i="14628"/>
  <c r="H8" i="14628"/>
  <c r="C8" i="14628"/>
  <c r="G8" i="14628"/>
  <c r="N8" i="14628"/>
  <c r="D8" i="14628"/>
  <c r="M8" i="14628"/>
  <c r="E8" i="14628"/>
  <c r="I8" i="14628"/>
  <c r="L8" i="14628"/>
  <c r="K8" i="14628"/>
  <c r="F8" i="14628"/>
  <c r="A52" i="14647"/>
  <c r="A20" i="14692"/>
  <c r="E1" i="14624"/>
  <c r="F1" i="14625"/>
  <c r="C30" i="14690"/>
  <c r="D30" i="14690" s="1"/>
  <c r="C5" i="14645"/>
  <c r="B4" i="14617"/>
  <c r="A36" i="14617" s="1"/>
  <c r="I1" i="8"/>
  <c r="A63" i="14684"/>
  <c r="E5" i="14708"/>
  <c r="A4" i="14647"/>
  <c r="E6" i="14687"/>
  <c r="B54" i="14707"/>
  <c r="E1" i="14623"/>
  <c r="D5" i="14690"/>
  <c r="D13" i="14690" s="1" a="1"/>
  <c r="D13" i="14690" s="1"/>
  <c r="F1" i="14628"/>
  <c r="A19" i="14694"/>
  <c r="E4" i="14653"/>
  <c r="B4" i="14683"/>
  <c r="B9" i="14707"/>
  <c r="C56" i="14690"/>
  <c r="B6" i="14652"/>
  <c r="K1" i="14703"/>
  <c r="B20" i="14682"/>
  <c r="B38" i="14649"/>
  <c r="C70" i="14689"/>
  <c r="C41" i="14665"/>
  <c r="D48" i="14690"/>
  <c r="B92" i="14649"/>
  <c r="T5" i="14655"/>
  <c r="E1" i="7"/>
  <c r="D28" i="7" s="1"/>
  <c r="C38" i="14643"/>
  <c r="A19" i="14695"/>
  <c r="C12" i="14684"/>
  <c r="J3" i="14706"/>
  <c r="J3" i="14667"/>
  <c r="N40" i="14637"/>
  <c r="O83" i="14700" a="1"/>
  <c r="O84" i="14700" s="1"/>
  <c r="W240" i="14698" a="1"/>
  <c r="K250" i="14700"/>
  <c r="P175" i="14698" a="1"/>
  <c r="D178" i="14700"/>
  <c r="V169" i="14698" a="1"/>
  <c r="J178" i="14700"/>
  <c r="N177" i="14698"/>
  <c r="N178" i="14698" s="1"/>
  <c r="B178" i="14700"/>
  <c r="S190" i="14698" a="1"/>
  <c r="G196" i="14700"/>
  <c r="M130" i="14701"/>
  <c r="R130" i="14701"/>
  <c r="P130" i="14701"/>
  <c r="V130" i="14701"/>
  <c r="W130" i="14701"/>
  <c r="U130" i="14701"/>
  <c r="N130" i="14701"/>
  <c r="Q130" i="14701"/>
  <c r="S130" i="14701"/>
  <c r="T130" i="14701"/>
  <c r="O130" i="14701"/>
  <c r="X130" i="14701"/>
  <c r="Q187" i="14701"/>
  <c r="O187" i="14701"/>
  <c r="L187" i="14701"/>
  <c r="S187" i="14701"/>
  <c r="P187" i="14701"/>
  <c r="U187" i="14701"/>
  <c r="K187" i="14701"/>
  <c r="T187" i="14701"/>
  <c r="M187" i="14701"/>
  <c r="J187" i="14701"/>
  <c r="N187" i="14701"/>
  <c r="R187" i="14701"/>
  <c r="Q189" i="14701"/>
  <c r="N189" i="14701"/>
  <c r="P189" i="14701"/>
  <c r="L189" i="14701"/>
  <c r="H189" i="14701"/>
  <c r="M189" i="14701"/>
  <c r="J189" i="14701"/>
  <c r="O189" i="14701"/>
  <c r="K189" i="14701"/>
  <c r="S189" i="14701"/>
  <c r="R189" i="14701"/>
  <c r="I189" i="14701"/>
  <c r="P183" i="14701"/>
  <c r="N183" i="14701"/>
  <c r="V183" i="14701"/>
  <c r="X183" i="14701"/>
  <c r="R183" i="14701"/>
  <c r="O183" i="14701"/>
  <c r="W183" i="14701"/>
  <c r="S183" i="14701"/>
  <c r="Q183" i="14701"/>
  <c r="T183" i="14701"/>
  <c r="Y183" i="14701"/>
  <c r="U183" i="14701"/>
  <c r="C195" i="14701"/>
  <c r="O195" i="14700" s="1"/>
  <c r="H195" i="14701"/>
  <c r="K195" i="14701"/>
  <c r="F195" i="14701"/>
  <c r="E195" i="14701"/>
  <c r="M195" i="14701"/>
  <c r="G195" i="14701"/>
  <c r="B195" i="14701"/>
  <c r="L195" i="14701"/>
  <c r="D195" i="14701"/>
  <c r="I195" i="14701"/>
  <c r="J195" i="14701"/>
  <c r="V113" i="14701"/>
  <c r="N113" i="14701"/>
  <c r="P113" i="14701"/>
  <c r="U113" i="14701"/>
  <c r="O113" i="14701"/>
  <c r="M113" i="14701"/>
  <c r="R113" i="14701"/>
  <c r="T113" i="14701"/>
  <c r="Q113" i="14701"/>
  <c r="W113" i="14701"/>
  <c r="S113" i="14701"/>
  <c r="L113" i="14701"/>
  <c r="Q81" i="14700" a="1"/>
  <c r="E85" i="14701"/>
  <c r="N114" i="14701"/>
  <c r="K114" i="14701"/>
  <c r="T114" i="14701"/>
  <c r="M114" i="14701"/>
  <c r="V114" i="14701"/>
  <c r="O114" i="14701"/>
  <c r="U114" i="14701"/>
  <c r="S114" i="14701"/>
  <c r="Q114" i="14701"/>
  <c r="P114" i="14701"/>
  <c r="R114" i="14701"/>
  <c r="L114" i="14701"/>
  <c r="G34" i="14683" a="1"/>
  <c r="E79" i="14643" a="1"/>
  <c r="N84" i="14700"/>
  <c r="N85" i="14700" s="1"/>
  <c r="B85" i="14701"/>
  <c r="L122" i="14701"/>
  <c r="C122" i="14701"/>
  <c r="N122" i="14701"/>
  <c r="G122" i="14701"/>
  <c r="K122" i="14701"/>
  <c r="H122" i="14701"/>
  <c r="I122" i="14701"/>
  <c r="F122" i="14701"/>
  <c r="M122" i="14701"/>
  <c r="D122" i="14701"/>
  <c r="E122" i="14701"/>
  <c r="J122" i="14701"/>
  <c r="U77" i="14700" a="1"/>
  <c r="I85" i="14701"/>
  <c r="L41" i="14639"/>
  <c r="F41" i="14639"/>
  <c r="I41" i="14639"/>
  <c r="M41" i="14639"/>
  <c r="H41" i="14639"/>
  <c r="G41" i="14639"/>
  <c r="E41" i="14639"/>
  <c r="C41" i="14639"/>
  <c r="K41" i="14639"/>
  <c r="D41" i="14639"/>
  <c r="J41" i="14639"/>
  <c r="N41" i="14639"/>
  <c r="E24" i="14678"/>
  <c r="E26" i="14678"/>
  <c r="E25" i="14678"/>
  <c r="E250" i="14700"/>
  <c r="Q246" i="14698" a="1"/>
  <c r="I250" i="14700"/>
  <c r="U242" i="14698" a="1"/>
  <c r="S244" i="14698" a="1"/>
  <c r="G250" i="14700"/>
  <c r="F250" i="14700"/>
  <c r="R245" i="14698" a="1"/>
  <c r="T243" i="14698" a="1"/>
  <c r="H250" i="14700"/>
  <c r="F178" i="14700"/>
  <c r="R173" i="14698" a="1"/>
  <c r="T171" i="14698" a="1"/>
  <c r="H178" i="14700"/>
  <c r="I178" i="14700"/>
  <c r="U170" i="14698" a="1"/>
  <c r="R191" i="14698" a="1"/>
  <c r="F196" i="14700"/>
  <c r="Y184" i="14698" a="1"/>
  <c r="M196" i="14700"/>
  <c r="Q192" i="14698" a="1"/>
  <c r="E196" i="14700"/>
  <c r="B23" i="14678"/>
  <c r="B24" i="14678"/>
  <c r="B25" i="14678"/>
  <c r="B26" i="14678"/>
  <c r="B21" i="14678"/>
  <c r="B22" i="14678"/>
  <c r="F25" i="14678"/>
  <c r="F26" i="14678"/>
  <c r="D67" i="14643"/>
  <c r="D73" i="14643"/>
  <c r="D71" i="14643"/>
  <c r="D68" i="14643"/>
  <c r="D70" i="14643"/>
  <c r="D66" i="14643"/>
  <c r="F14" i="14643"/>
  <c r="D69" i="14643"/>
  <c r="D72" i="14643"/>
  <c r="G175" i="14701"/>
  <c r="N175" i="14701"/>
  <c r="F175" i="14701"/>
  <c r="I175" i="14701"/>
  <c r="M175" i="14701"/>
  <c r="D175" i="14701"/>
  <c r="E175" i="14701"/>
  <c r="K175" i="14701"/>
  <c r="L175" i="14701"/>
  <c r="J175" i="14701"/>
  <c r="O175" i="14701"/>
  <c r="H175" i="14701"/>
  <c r="I172" i="14701"/>
  <c r="J172" i="14701"/>
  <c r="L172" i="14701"/>
  <c r="R172" i="14701"/>
  <c r="H172" i="14701"/>
  <c r="G172" i="14701"/>
  <c r="P172" i="14701"/>
  <c r="K172" i="14701"/>
  <c r="M172" i="14701"/>
  <c r="N172" i="14701"/>
  <c r="Q172" i="14701"/>
  <c r="O172" i="14701"/>
  <c r="O167" i="14701"/>
  <c r="V167" i="14701"/>
  <c r="W167" i="14701"/>
  <c r="T167" i="14701"/>
  <c r="S167" i="14701"/>
  <c r="N167" i="14701"/>
  <c r="P167" i="14701"/>
  <c r="R167" i="14701"/>
  <c r="Q167" i="14701"/>
  <c r="M167" i="14701"/>
  <c r="U167" i="14701"/>
  <c r="L167" i="14701"/>
  <c r="L173" i="14701"/>
  <c r="N173" i="14701"/>
  <c r="Q173" i="14701"/>
  <c r="J173" i="14701"/>
  <c r="F173" i="14701"/>
  <c r="H173" i="14701"/>
  <c r="M173" i="14701"/>
  <c r="G173" i="14701"/>
  <c r="I173" i="14701"/>
  <c r="P173" i="14701"/>
  <c r="O173" i="14701"/>
  <c r="K173" i="14701"/>
  <c r="D177" i="14701"/>
  <c r="F177" i="14701"/>
  <c r="K177" i="14701"/>
  <c r="E177" i="14701"/>
  <c r="H177" i="14701"/>
  <c r="J177" i="14701"/>
  <c r="B177" i="14701"/>
  <c r="L177" i="14701"/>
  <c r="G177" i="14701"/>
  <c r="C177" i="14701"/>
  <c r="O177" i="14700" s="1"/>
  <c r="M177" i="14701"/>
  <c r="I177" i="14701"/>
  <c r="E176" i="14701"/>
  <c r="K176" i="14701"/>
  <c r="C176" i="14701"/>
  <c r="M176" i="14701"/>
  <c r="D176" i="14701"/>
  <c r="H176" i="14701"/>
  <c r="N176" i="14701"/>
  <c r="J176" i="14701"/>
  <c r="L176" i="14701"/>
  <c r="G176" i="14701"/>
  <c r="I176" i="14701"/>
  <c r="F176" i="14701"/>
  <c r="T224" i="14701"/>
  <c r="R224" i="14701"/>
  <c r="S224" i="14701"/>
  <c r="N224" i="14701"/>
  <c r="K224" i="14701"/>
  <c r="J224" i="14701"/>
  <c r="I224" i="14701"/>
  <c r="Q224" i="14701"/>
  <c r="L224" i="14701"/>
  <c r="O224" i="14701"/>
  <c r="P224" i="14701"/>
  <c r="M224" i="14701"/>
  <c r="G230" i="14701"/>
  <c r="K230" i="14701"/>
  <c r="D230" i="14701"/>
  <c r="E230" i="14701"/>
  <c r="J230" i="14701"/>
  <c r="F230" i="14701"/>
  <c r="L230" i="14701"/>
  <c r="C230" i="14701"/>
  <c r="I230" i="14701"/>
  <c r="H230" i="14701"/>
  <c r="N230" i="14701"/>
  <c r="M230" i="14701"/>
  <c r="U221" i="14701"/>
  <c r="S221" i="14701"/>
  <c r="T221" i="14701"/>
  <c r="R221" i="14701"/>
  <c r="O221" i="14701"/>
  <c r="V221" i="14701"/>
  <c r="L221" i="14701"/>
  <c r="W221" i="14701"/>
  <c r="P221" i="14701"/>
  <c r="M221" i="14701"/>
  <c r="Q221" i="14701"/>
  <c r="N221" i="14701"/>
  <c r="O228" i="14701"/>
  <c r="M228" i="14701"/>
  <c r="J228" i="14701"/>
  <c r="G228" i="14701"/>
  <c r="I228" i="14701"/>
  <c r="H228" i="14701"/>
  <c r="E228" i="14701"/>
  <c r="F228" i="14701"/>
  <c r="P228" i="14701"/>
  <c r="L228" i="14701"/>
  <c r="K228" i="14701"/>
  <c r="N228" i="14701"/>
  <c r="N226" i="14701"/>
  <c r="H226" i="14701"/>
  <c r="I226" i="14701"/>
  <c r="O226" i="14701"/>
  <c r="G226" i="14701"/>
  <c r="R226" i="14701"/>
  <c r="P226" i="14701"/>
  <c r="K226" i="14701"/>
  <c r="J226" i="14701"/>
  <c r="M226" i="14701"/>
  <c r="Q226" i="14701"/>
  <c r="L226" i="14701"/>
  <c r="P220" i="14701"/>
  <c r="S220" i="14701"/>
  <c r="T220" i="14701"/>
  <c r="X220" i="14701"/>
  <c r="N220" i="14701"/>
  <c r="U220" i="14701"/>
  <c r="R220" i="14701"/>
  <c r="Q220" i="14701"/>
  <c r="V220" i="14701"/>
  <c r="O220" i="14701"/>
  <c r="M220" i="14701"/>
  <c r="W220" i="14701"/>
  <c r="Q152" i="14701"/>
  <c r="K152" i="14701"/>
  <c r="J152" i="14701"/>
  <c r="T152" i="14701"/>
  <c r="L152" i="14701"/>
  <c r="N152" i="14701"/>
  <c r="I152" i="14701"/>
  <c r="P152" i="14701"/>
  <c r="R152" i="14701"/>
  <c r="S152" i="14701"/>
  <c r="M152" i="14701"/>
  <c r="O152" i="14701"/>
  <c r="L155" i="14701"/>
  <c r="N155" i="14701"/>
  <c r="I155" i="14701"/>
  <c r="J155" i="14701"/>
  <c r="O155" i="14701"/>
  <c r="P155" i="14701"/>
  <c r="H155" i="14701"/>
  <c r="M155" i="14701"/>
  <c r="K155" i="14701"/>
  <c r="G155" i="14701"/>
  <c r="F155" i="14701"/>
  <c r="Q155" i="14701"/>
  <c r="L149" i="14701"/>
  <c r="V149" i="14701"/>
  <c r="P149" i="14701"/>
  <c r="N149" i="14701"/>
  <c r="S149" i="14701"/>
  <c r="M149" i="14701"/>
  <c r="W149" i="14701"/>
  <c r="U149" i="14701"/>
  <c r="O149" i="14701"/>
  <c r="R149" i="14701"/>
  <c r="T149" i="14701"/>
  <c r="Q149" i="14701"/>
  <c r="R153" i="14701"/>
  <c r="K153" i="14701"/>
  <c r="L153" i="14701"/>
  <c r="H153" i="14701"/>
  <c r="P153" i="14701"/>
  <c r="M153" i="14701"/>
  <c r="N153" i="14701"/>
  <c r="O153" i="14701"/>
  <c r="J153" i="14701"/>
  <c r="I153" i="14701"/>
  <c r="S153" i="14701"/>
  <c r="Q153" i="14701"/>
  <c r="U151" i="14701"/>
  <c r="M151" i="14701"/>
  <c r="N151" i="14701"/>
  <c r="L151" i="14701"/>
  <c r="T151" i="14701"/>
  <c r="O151" i="14701"/>
  <c r="K151" i="14701"/>
  <c r="S151" i="14701"/>
  <c r="R151" i="14701"/>
  <c r="J151" i="14701"/>
  <c r="Q151" i="14701"/>
  <c r="P151" i="14701"/>
  <c r="V147" i="14701"/>
  <c r="O147" i="14701"/>
  <c r="P147" i="14701"/>
  <c r="Y147" i="14701"/>
  <c r="R147" i="14701"/>
  <c r="Q147" i="14701"/>
  <c r="T147" i="14701"/>
  <c r="N147" i="14701"/>
  <c r="X147" i="14701"/>
  <c r="U147" i="14701"/>
  <c r="W147" i="14701"/>
  <c r="S147" i="14701"/>
  <c r="H158" i="14701"/>
  <c r="D158" i="14701"/>
  <c r="I158" i="14701"/>
  <c r="C158" i="14701"/>
  <c r="K158" i="14701"/>
  <c r="F158" i="14701"/>
  <c r="L158" i="14701"/>
  <c r="G158" i="14701"/>
  <c r="M158" i="14701"/>
  <c r="N158" i="14701"/>
  <c r="E158" i="14701"/>
  <c r="J158" i="14701"/>
  <c r="G137" i="14701"/>
  <c r="Q137" i="14701"/>
  <c r="J137" i="14701"/>
  <c r="M137" i="14701"/>
  <c r="F137" i="14701"/>
  <c r="L137" i="14701"/>
  <c r="H137" i="14701"/>
  <c r="K137" i="14701"/>
  <c r="P137" i="14701"/>
  <c r="I137" i="14701"/>
  <c r="O137" i="14701"/>
  <c r="N137" i="14701"/>
  <c r="E140" i="14701"/>
  <c r="N140" i="14701"/>
  <c r="M140" i="14701"/>
  <c r="J140" i="14701"/>
  <c r="L140" i="14701"/>
  <c r="H140" i="14701"/>
  <c r="F140" i="14701"/>
  <c r="G140" i="14701"/>
  <c r="C140" i="14701"/>
  <c r="D140" i="14701"/>
  <c r="K140" i="14701"/>
  <c r="I140" i="14701"/>
  <c r="T131" i="14701"/>
  <c r="Q131" i="14701"/>
  <c r="L131" i="14701"/>
  <c r="W131" i="14701"/>
  <c r="S131" i="14701"/>
  <c r="R131" i="14701"/>
  <c r="O131" i="14701"/>
  <c r="N131" i="14701"/>
  <c r="U131" i="14701"/>
  <c r="V131" i="14701"/>
  <c r="P131" i="14701"/>
  <c r="M131" i="14701"/>
  <c r="T129" i="14701"/>
  <c r="O129" i="14701"/>
  <c r="V129" i="14701"/>
  <c r="S129" i="14701"/>
  <c r="W129" i="14701"/>
  <c r="R129" i="14701"/>
  <c r="U129" i="14701"/>
  <c r="P129" i="14701"/>
  <c r="X129" i="14701"/>
  <c r="N129" i="14701"/>
  <c r="Y129" i="14701"/>
  <c r="Q129" i="14701"/>
  <c r="G136" i="14701"/>
  <c r="H136" i="14701"/>
  <c r="J136" i="14701"/>
  <c r="M136" i="14701"/>
  <c r="N136" i="14701"/>
  <c r="I136" i="14701"/>
  <c r="L136" i="14701"/>
  <c r="O136" i="14701"/>
  <c r="R136" i="14701"/>
  <c r="P136" i="14701"/>
  <c r="K136" i="14701"/>
  <c r="Q136" i="14701"/>
  <c r="Q135" i="14701"/>
  <c r="P135" i="14701"/>
  <c r="R135" i="14701"/>
  <c r="N135" i="14701"/>
  <c r="M135" i="14701"/>
  <c r="J135" i="14701"/>
  <c r="H135" i="14701"/>
  <c r="I135" i="14701"/>
  <c r="L135" i="14701"/>
  <c r="S135" i="14701"/>
  <c r="K135" i="14701"/>
  <c r="O135" i="14701"/>
  <c r="N192" i="14701"/>
  <c r="L192" i="14701"/>
  <c r="P192" i="14701"/>
  <c r="E192" i="14701"/>
  <c r="F192" i="14701"/>
  <c r="M192" i="14701"/>
  <c r="G192" i="14701"/>
  <c r="K192" i="14701"/>
  <c r="I192" i="14701"/>
  <c r="H192" i="14701"/>
  <c r="J192" i="14701"/>
  <c r="O192" i="14701"/>
  <c r="G191" i="14701"/>
  <c r="N191" i="14701"/>
  <c r="K191" i="14701"/>
  <c r="L191" i="14701"/>
  <c r="H191" i="14701"/>
  <c r="I191" i="14701"/>
  <c r="J191" i="14701"/>
  <c r="O191" i="14701"/>
  <c r="M191" i="14701"/>
  <c r="P191" i="14701"/>
  <c r="F191" i="14701"/>
  <c r="Q191" i="14701"/>
  <c r="O193" i="14701"/>
  <c r="N193" i="14701"/>
  <c r="L193" i="14701"/>
  <c r="G193" i="14701"/>
  <c r="E193" i="14701"/>
  <c r="M193" i="14701"/>
  <c r="K193" i="14701"/>
  <c r="J193" i="14701"/>
  <c r="H193" i="14701"/>
  <c r="I193" i="14701"/>
  <c r="D193" i="14701"/>
  <c r="F193" i="14701"/>
  <c r="L188" i="14701"/>
  <c r="J188" i="14701"/>
  <c r="N188" i="14701"/>
  <c r="T188" i="14701"/>
  <c r="S188" i="14701"/>
  <c r="O188" i="14701"/>
  <c r="M188" i="14701"/>
  <c r="P188" i="14701"/>
  <c r="R188" i="14701"/>
  <c r="Q188" i="14701"/>
  <c r="K188" i="14701"/>
  <c r="I188" i="14701"/>
  <c r="W184" i="14701"/>
  <c r="P184" i="14701"/>
  <c r="N184" i="14701"/>
  <c r="V184" i="14701"/>
  <c r="R184" i="14701"/>
  <c r="U184" i="14701"/>
  <c r="Q184" i="14701"/>
  <c r="S184" i="14701"/>
  <c r="T184" i="14701"/>
  <c r="O184" i="14701"/>
  <c r="M184" i="14701"/>
  <c r="X184" i="14701"/>
  <c r="L186" i="14701"/>
  <c r="N186" i="14701"/>
  <c r="K186" i="14701"/>
  <c r="T186" i="14701"/>
  <c r="P186" i="14701"/>
  <c r="R186" i="14701"/>
  <c r="M186" i="14701"/>
  <c r="V186" i="14701"/>
  <c r="S186" i="14701"/>
  <c r="O186" i="14701"/>
  <c r="Q186" i="14701"/>
  <c r="U186" i="14701"/>
  <c r="W111" i="14701"/>
  <c r="V111" i="14701"/>
  <c r="P111" i="14701"/>
  <c r="Q111" i="14701"/>
  <c r="S111" i="14701"/>
  <c r="T111" i="14701"/>
  <c r="Y111" i="14701"/>
  <c r="U111" i="14701"/>
  <c r="R111" i="14701"/>
  <c r="N111" i="14701"/>
  <c r="O111" i="14701"/>
  <c r="X111" i="14701"/>
  <c r="W75" i="14700" a="1"/>
  <c r="K85" i="14701"/>
  <c r="M120" i="14701"/>
  <c r="K120" i="14701"/>
  <c r="G120" i="14701"/>
  <c r="I120" i="14701"/>
  <c r="E120" i="14701"/>
  <c r="F120" i="14701"/>
  <c r="N120" i="14701"/>
  <c r="L120" i="14701"/>
  <c r="J120" i="14701"/>
  <c r="H120" i="14701"/>
  <c r="O120" i="14701"/>
  <c r="P120" i="14701"/>
  <c r="P82" i="14700" a="1"/>
  <c r="D85" i="14701"/>
  <c r="B9" i="14670" a="1"/>
  <c r="N28" i="14701"/>
  <c r="F13" i="14657" s="1"/>
  <c r="I117" i="14701"/>
  <c r="M117" i="14701"/>
  <c r="L117" i="14701"/>
  <c r="H117" i="14701"/>
  <c r="O117" i="14701"/>
  <c r="J117" i="14701"/>
  <c r="Q117" i="14701"/>
  <c r="R117" i="14701"/>
  <c r="K117" i="14701"/>
  <c r="P117" i="14701"/>
  <c r="S117" i="14701"/>
  <c r="N117" i="14701"/>
  <c r="H85" i="14701"/>
  <c r="T78" i="14700" a="1"/>
  <c r="P115" i="14701"/>
  <c r="T115" i="14701"/>
  <c r="M115" i="14701"/>
  <c r="L115" i="14701"/>
  <c r="Q115" i="14701"/>
  <c r="O115" i="14701"/>
  <c r="U115" i="14701"/>
  <c r="R115" i="14701"/>
  <c r="N115" i="14701"/>
  <c r="J115" i="14701"/>
  <c r="K115" i="14701"/>
  <c r="S115" i="14701"/>
  <c r="Y73" i="14700" a="1"/>
  <c r="M85" i="14701"/>
  <c r="H119" i="14701"/>
  <c r="K119" i="14701"/>
  <c r="O119" i="14701"/>
  <c r="L119" i="14701"/>
  <c r="J119" i="14701"/>
  <c r="M119" i="14701"/>
  <c r="I119" i="14701"/>
  <c r="Q119" i="14701"/>
  <c r="G119" i="14701"/>
  <c r="P119" i="14701"/>
  <c r="N119" i="14701"/>
  <c r="F119" i="14701"/>
  <c r="S79" i="14700" a="1"/>
  <c r="G85" i="14701"/>
  <c r="K37" i="14701"/>
  <c r="J36" i="14701"/>
  <c r="E38" i="14701"/>
  <c r="B39" i="14701"/>
  <c r="C34" i="14701"/>
  <c r="C36" i="14701"/>
  <c r="M39" i="14701"/>
  <c r="C33" i="14701"/>
  <c r="J38" i="14701"/>
  <c r="L36" i="14701"/>
  <c r="D39" i="14701"/>
  <c r="I37" i="14701"/>
  <c r="C32" i="14701"/>
  <c r="L35" i="14701"/>
  <c r="K32" i="14701"/>
  <c r="I34" i="14701"/>
  <c r="D37" i="14701"/>
  <c r="H35" i="14701"/>
  <c r="F35" i="14701"/>
  <c r="D35" i="14701"/>
  <c r="D38" i="14701"/>
  <c r="J35" i="14701"/>
  <c r="K34" i="14701"/>
  <c r="C39" i="14701"/>
  <c r="L34" i="14701"/>
  <c r="B34" i="14701"/>
  <c r="K38" i="14701"/>
  <c r="K33" i="14701"/>
  <c r="B32" i="14701"/>
  <c r="G35" i="14701"/>
  <c r="J39" i="14701"/>
  <c r="L32" i="14701"/>
  <c r="M37" i="14701"/>
  <c r="J32" i="14701"/>
  <c r="F34" i="14701"/>
  <c r="D33" i="14701"/>
  <c r="B36" i="14701"/>
  <c r="I36" i="14701"/>
  <c r="H34" i="14701"/>
  <c r="G33" i="14701"/>
  <c r="F32" i="14701"/>
  <c r="H37" i="14701"/>
  <c r="C35" i="14701"/>
  <c r="C38" i="14701"/>
  <c r="J34" i="14701"/>
  <c r="J33" i="14701"/>
  <c r="I35" i="14701"/>
  <c r="K36" i="14701"/>
  <c r="M38" i="14701"/>
  <c r="M36" i="14701"/>
  <c r="E34" i="14701"/>
  <c r="F39" i="14701"/>
  <c r="E37" i="14701"/>
  <c r="E32" i="14701"/>
  <c r="C37" i="14701"/>
  <c r="L33" i="14701"/>
  <c r="L38" i="14701"/>
  <c r="B37" i="14701"/>
  <c r="I39" i="14701"/>
  <c r="M35" i="14701"/>
  <c r="L37" i="14701"/>
  <c r="H32" i="14701"/>
  <c r="E39" i="14701"/>
  <c r="D32" i="14701"/>
  <c r="I32" i="14701"/>
  <c r="G32" i="14701"/>
  <c r="E36" i="14701"/>
  <c r="F37" i="14701"/>
  <c r="G37" i="14701"/>
  <c r="F36" i="14701"/>
  <c r="B33" i="14701"/>
  <c r="K35" i="14701"/>
  <c r="M33" i="14701"/>
  <c r="K39" i="14701"/>
  <c r="H38" i="14701"/>
  <c r="G38" i="14701"/>
  <c r="G34" i="14701"/>
  <c r="B38" i="14701"/>
  <c r="M32" i="14701"/>
  <c r="M34" i="14701"/>
  <c r="G39" i="14701"/>
  <c r="F33" i="14701"/>
  <c r="B35" i="14701"/>
  <c r="H33" i="14701"/>
  <c r="I33" i="14701"/>
  <c r="E35" i="14701"/>
  <c r="H36" i="14701"/>
  <c r="E33" i="14701"/>
  <c r="F38" i="14701"/>
  <c r="L39" i="14701"/>
  <c r="I38" i="14701"/>
  <c r="D34" i="14701"/>
  <c r="D36" i="14701"/>
  <c r="H39" i="14701"/>
  <c r="G36" i="14701"/>
  <c r="J37" i="14701"/>
  <c r="M116" i="14701"/>
  <c r="P116" i="14701"/>
  <c r="I116" i="14701"/>
  <c r="O116" i="14701"/>
  <c r="R116" i="14701"/>
  <c r="S116" i="14701"/>
  <c r="K116" i="14701"/>
  <c r="L116" i="14701"/>
  <c r="N116" i="14701"/>
  <c r="T116" i="14701"/>
  <c r="Q116" i="14701"/>
  <c r="J116" i="14701"/>
  <c r="U134" i="14698" a="1"/>
  <c r="I142" i="14700"/>
  <c r="M142" i="14700"/>
  <c r="Y130" i="14698" a="1"/>
  <c r="F142" i="14700"/>
  <c r="R137" i="14698" a="1"/>
  <c r="R227" i="14698" a="1"/>
  <c r="F232" i="14700"/>
  <c r="X221" i="14698" a="1"/>
  <c r="L232" i="14700"/>
  <c r="W222" i="14698" a="1"/>
  <c r="K232" i="14700"/>
  <c r="Y202" i="14698" a="1"/>
  <c r="M214" i="14700"/>
  <c r="E214" i="14700"/>
  <c r="Q210" i="14698" a="1"/>
  <c r="R119" i="14698" a="1"/>
  <c r="F124" i="14700"/>
  <c r="N33" i="14700"/>
  <c r="N36" i="14700"/>
  <c r="N39" i="14700"/>
  <c r="N34" i="14700"/>
  <c r="C103" i="14700" a="1"/>
  <c r="C103" i="14700" s="1"/>
  <c r="O103" i="14698" s="1"/>
  <c r="F100" i="14700" a="1"/>
  <c r="F100" i="14700" s="1"/>
  <c r="D102" i="14700" a="1"/>
  <c r="D102" i="14700" s="1"/>
  <c r="C40" i="14700"/>
  <c r="L94" i="14700" a="1"/>
  <c r="L94" i="14700" s="1"/>
  <c r="O91" i="14700" a="1"/>
  <c r="O91" i="14700" s="1"/>
  <c r="E101" i="14700" a="1"/>
  <c r="E101" i="14700" s="1"/>
  <c r="G99" i="14700" a="1"/>
  <c r="G99" i="14700" s="1"/>
  <c r="N92" i="14700" a="1"/>
  <c r="N92" i="14700" s="1"/>
  <c r="M93" i="14700" a="1"/>
  <c r="M93" i="14700" s="1"/>
  <c r="H98" i="14700" a="1"/>
  <c r="H98" i="14700" s="1"/>
  <c r="K95" i="14700" a="1"/>
  <c r="K95" i="14700" s="1"/>
  <c r="J96" i="14700" a="1"/>
  <c r="J96" i="14700" s="1"/>
  <c r="I97" i="14700" a="1"/>
  <c r="I97" i="14700" s="1"/>
  <c r="N37" i="14700"/>
  <c r="S94" i="14700" a="1"/>
  <c r="S94" i="14700" s="1"/>
  <c r="M100" i="14700" a="1"/>
  <c r="M100" i="14700" s="1"/>
  <c r="K102" i="14700" a="1"/>
  <c r="K102" i="14700" s="1"/>
  <c r="J103" i="14700" a="1"/>
  <c r="J103" i="14700" s="1"/>
  <c r="P97" i="14700" a="1"/>
  <c r="P97" i="14700" s="1"/>
  <c r="N99" i="14700" a="1"/>
  <c r="N99" i="14700" s="1"/>
  <c r="Q96" i="14700" a="1"/>
  <c r="Q96" i="14700" s="1"/>
  <c r="R95" i="14700" a="1"/>
  <c r="R95" i="14700" s="1"/>
  <c r="L101" i="14700" a="1"/>
  <c r="L101" i="14700" s="1"/>
  <c r="U92" i="14700" a="1"/>
  <c r="U92" i="14700" s="1"/>
  <c r="O98" i="14700" a="1"/>
  <c r="O98" i="14700" s="1"/>
  <c r="V91" i="14700" a="1"/>
  <c r="V91" i="14700" s="1"/>
  <c r="T93" i="14700" a="1"/>
  <c r="T93" i="14700" s="1"/>
  <c r="J40" i="14700"/>
  <c r="K98" i="14700" a="1"/>
  <c r="K98" i="14700" s="1"/>
  <c r="O94" i="14700" a="1"/>
  <c r="O94" i="14700" s="1"/>
  <c r="G102" i="14700" a="1"/>
  <c r="G102" i="14700" s="1"/>
  <c r="I100" i="14700" a="1"/>
  <c r="I100" i="14700" s="1"/>
  <c r="H101" i="14700" a="1"/>
  <c r="H101" i="14700" s="1"/>
  <c r="R91" i="14700" a="1"/>
  <c r="R91" i="14700" s="1"/>
  <c r="M96" i="14700" a="1"/>
  <c r="M96" i="14700" s="1"/>
  <c r="J99" i="14700" a="1"/>
  <c r="J99" i="14700" s="1"/>
  <c r="L97" i="14700" a="1"/>
  <c r="L97" i="14700" s="1"/>
  <c r="P93" i="14700" a="1"/>
  <c r="P93" i="14700" s="1"/>
  <c r="N95" i="14700" a="1"/>
  <c r="N95" i="14700" s="1"/>
  <c r="Q92" i="14700" a="1"/>
  <c r="Q92" i="14700" s="1"/>
  <c r="F103" i="14700" a="1"/>
  <c r="F103" i="14700" s="1"/>
  <c r="F40" i="14700"/>
  <c r="G100" i="14700" a="1"/>
  <c r="G100" i="14700" s="1"/>
  <c r="H99" i="14700" a="1"/>
  <c r="H99" i="14700" s="1"/>
  <c r="I98" i="14700" a="1"/>
  <c r="I98" i="14700" s="1"/>
  <c r="L95" i="14700" a="1"/>
  <c r="L95" i="14700" s="1"/>
  <c r="N93" i="14700" a="1"/>
  <c r="N93" i="14700" s="1"/>
  <c r="F101" i="14700" a="1"/>
  <c r="F101" i="14700" s="1"/>
  <c r="P91" i="14700" a="1"/>
  <c r="P91" i="14700" s="1"/>
  <c r="J97" i="14700" a="1"/>
  <c r="J97" i="14700" s="1"/>
  <c r="M94" i="14700" a="1"/>
  <c r="M94" i="14700" s="1"/>
  <c r="D103" i="14700" a="1"/>
  <c r="D103" i="14700" s="1"/>
  <c r="D40" i="14700"/>
  <c r="O92" i="14700" a="1"/>
  <c r="O92" i="14700" s="1"/>
  <c r="E102" i="14700" a="1"/>
  <c r="E102" i="14700" s="1"/>
  <c r="K96" i="14700" a="1"/>
  <c r="K96" i="14700" s="1"/>
  <c r="M97" i="14700" a="1"/>
  <c r="M97" i="14700" s="1"/>
  <c r="P94" i="14700" a="1"/>
  <c r="P94" i="14700" s="1"/>
  <c r="R92" i="14700" a="1"/>
  <c r="R92" i="14700" s="1"/>
  <c r="G40" i="14700"/>
  <c r="G103" i="14700" a="1"/>
  <c r="G103" i="14700" s="1"/>
  <c r="O95" i="14700" a="1"/>
  <c r="O95" i="14700" s="1"/>
  <c r="N96" i="14700" a="1"/>
  <c r="N96" i="14700" s="1"/>
  <c r="J100" i="14700" a="1"/>
  <c r="J100" i="14700" s="1"/>
  <c r="H102" i="14700" a="1"/>
  <c r="H102" i="14700" s="1"/>
  <c r="S91" i="14700" a="1"/>
  <c r="S91" i="14700" s="1"/>
  <c r="L98" i="14700" a="1"/>
  <c r="L98" i="14700" s="1"/>
  <c r="K99" i="14700" a="1"/>
  <c r="K99" i="14700" s="1"/>
  <c r="Q93" i="14700" a="1"/>
  <c r="Q93" i="14700" s="1"/>
  <c r="I101" i="14700" a="1"/>
  <c r="I101" i="14700" s="1"/>
  <c r="N38" i="14700"/>
  <c r="S81" i="14698"/>
  <c r="S82" i="14698"/>
  <c r="S79" i="14698"/>
  <c r="S84" i="14698"/>
  <c r="S80" i="14698"/>
  <c r="S83" i="14698"/>
  <c r="W83" i="14698"/>
  <c r="W75" i="14698"/>
  <c r="W77" i="14698"/>
  <c r="W84" i="14698"/>
  <c r="W81" i="14698"/>
  <c r="W78" i="14698"/>
  <c r="W79" i="14698"/>
  <c r="W80" i="14698"/>
  <c r="W82" i="14698"/>
  <c r="W76" i="14698"/>
  <c r="T81" i="14698"/>
  <c r="T80" i="14698"/>
  <c r="T79" i="14698"/>
  <c r="T82" i="14698"/>
  <c r="T78" i="14698"/>
  <c r="T84" i="14698"/>
  <c r="T83" i="14698"/>
  <c r="E124" i="14700"/>
  <c r="Q120" i="14698" a="1"/>
  <c r="U78" i="14698"/>
  <c r="U81" i="14698"/>
  <c r="U83" i="14698"/>
  <c r="U77" i="14698"/>
  <c r="U80" i="14698"/>
  <c r="U84" i="14698"/>
  <c r="U79" i="14698"/>
  <c r="U82" i="14698"/>
  <c r="P121" i="14698" a="1"/>
  <c r="D124" i="14700"/>
  <c r="D160" i="14700"/>
  <c r="P157" i="14698" a="1"/>
  <c r="H160" i="14700"/>
  <c r="T153" i="14698" a="1"/>
  <c r="O248" i="14698"/>
  <c r="O250" i="14698" s="1"/>
  <c r="C250" i="14700"/>
  <c r="N249" i="14698"/>
  <c r="N250" i="14698" s="1"/>
  <c r="B250" i="14700"/>
  <c r="X239" i="14698" a="1"/>
  <c r="L250" i="14700"/>
  <c r="D250" i="14700"/>
  <c r="P247" i="14698" a="1"/>
  <c r="V241" i="14698" a="1"/>
  <c r="J250" i="14700"/>
  <c r="Y238" i="14698" a="1"/>
  <c r="M250" i="14700"/>
  <c r="Q174" i="14698" a="1"/>
  <c r="E178" i="14700"/>
  <c r="K178" i="14700"/>
  <c r="W168" i="14698" a="1"/>
  <c r="O176" i="14698"/>
  <c r="O178" i="14698" s="1"/>
  <c r="C178" i="14700"/>
  <c r="D196" i="14700"/>
  <c r="P193" i="14698" a="1"/>
  <c r="H196" i="14700"/>
  <c r="T189" i="14698" a="1"/>
  <c r="D28" i="14638"/>
  <c r="I28" i="14638"/>
  <c r="F28" i="14638"/>
  <c r="C28" i="14638"/>
  <c r="C85" i="14701"/>
  <c r="S204" i="14701"/>
  <c r="K204" i="14701"/>
  <c r="O204" i="14701"/>
  <c r="V204" i="14701"/>
  <c r="U204" i="14701"/>
  <c r="R204" i="14701"/>
  <c r="T204" i="14701"/>
  <c r="Q204" i="14701"/>
  <c r="M204" i="14701"/>
  <c r="L204" i="14701"/>
  <c r="P204" i="14701"/>
  <c r="N204" i="14701"/>
  <c r="G209" i="14701"/>
  <c r="F209" i="14701"/>
  <c r="P209" i="14701"/>
  <c r="Q209" i="14701"/>
  <c r="J209" i="14701"/>
  <c r="I209" i="14701"/>
  <c r="N209" i="14701"/>
  <c r="L209" i="14701"/>
  <c r="K209" i="14701"/>
  <c r="O209" i="14701"/>
  <c r="H209" i="14701"/>
  <c r="M209" i="14701"/>
  <c r="O206" i="14701"/>
  <c r="Q206" i="14701"/>
  <c r="T206" i="14701"/>
  <c r="K206" i="14701"/>
  <c r="J206" i="14701"/>
  <c r="L206" i="14701"/>
  <c r="I206" i="14701"/>
  <c r="P206" i="14701"/>
  <c r="S206" i="14701"/>
  <c r="N206" i="14701"/>
  <c r="M206" i="14701"/>
  <c r="R206" i="14701"/>
  <c r="K213" i="14701"/>
  <c r="B213" i="14701"/>
  <c r="D213" i="14701"/>
  <c r="E213" i="14701"/>
  <c r="M213" i="14701"/>
  <c r="L213" i="14701"/>
  <c r="C213" i="14701"/>
  <c r="O213" i="14700" s="1"/>
  <c r="J213" i="14701"/>
  <c r="F213" i="14701"/>
  <c r="H213" i="14701"/>
  <c r="I213" i="14701"/>
  <c r="G213" i="14701"/>
  <c r="G208" i="14701"/>
  <c r="R208" i="14701"/>
  <c r="K208" i="14701"/>
  <c r="N208" i="14701"/>
  <c r="O208" i="14701"/>
  <c r="J208" i="14701"/>
  <c r="I208" i="14701"/>
  <c r="P208" i="14701"/>
  <c r="H208" i="14701"/>
  <c r="L208" i="14701"/>
  <c r="M208" i="14701"/>
  <c r="Q208" i="14701"/>
  <c r="L212" i="14701"/>
  <c r="F212" i="14701"/>
  <c r="G212" i="14701"/>
  <c r="N212" i="14701"/>
  <c r="C212" i="14701"/>
  <c r="I212" i="14701"/>
  <c r="D212" i="14701"/>
  <c r="K212" i="14701"/>
  <c r="H212" i="14701"/>
  <c r="J212" i="14701"/>
  <c r="E212" i="14701"/>
  <c r="M212" i="14701"/>
  <c r="U240" i="14701"/>
  <c r="K240" i="14701"/>
  <c r="M240" i="14701"/>
  <c r="P240" i="14701"/>
  <c r="S240" i="14701"/>
  <c r="R240" i="14701"/>
  <c r="N240" i="14701"/>
  <c r="T240" i="14701"/>
  <c r="O240" i="14701"/>
  <c r="V240" i="14701"/>
  <c r="L240" i="14701"/>
  <c r="Q240" i="14701"/>
  <c r="P243" i="14701"/>
  <c r="K243" i="14701"/>
  <c r="N243" i="14701"/>
  <c r="S243" i="14701"/>
  <c r="R243" i="14701"/>
  <c r="H243" i="14701"/>
  <c r="I243" i="14701"/>
  <c r="J243" i="14701"/>
  <c r="O243" i="14701"/>
  <c r="Q243" i="14701"/>
  <c r="L243" i="14701"/>
  <c r="M243" i="14701"/>
  <c r="Q237" i="14701"/>
  <c r="Y237" i="14701"/>
  <c r="P237" i="14701"/>
  <c r="X237" i="14701"/>
  <c r="O237" i="14701"/>
  <c r="N237" i="14701"/>
  <c r="V237" i="14701"/>
  <c r="R237" i="14701"/>
  <c r="S237" i="14701"/>
  <c r="T237" i="14701"/>
  <c r="W237" i="14701"/>
  <c r="U237" i="14701"/>
  <c r="V239" i="14701"/>
  <c r="T239" i="14701"/>
  <c r="S239" i="14701"/>
  <c r="R239" i="14701"/>
  <c r="N239" i="14701"/>
  <c r="M239" i="14701"/>
  <c r="W239" i="14701"/>
  <c r="P239" i="14701"/>
  <c r="U239" i="14701"/>
  <c r="Q239" i="14701"/>
  <c r="O239" i="14701"/>
  <c r="L239" i="14701"/>
  <c r="F245" i="14701"/>
  <c r="P245" i="14701"/>
  <c r="K245" i="14701"/>
  <c r="M245" i="14701"/>
  <c r="H245" i="14701"/>
  <c r="L245" i="14701"/>
  <c r="O245" i="14701"/>
  <c r="J245" i="14701"/>
  <c r="N245" i="14701"/>
  <c r="I245" i="14701"/>
  <c r="Q245" i="14701"/>
  <c r="G245" i="14701"/>
  <c r="K242" i="14701"/>
  <c r="S242" i="14701"/>
  <c r="T242" i="14701"/>
  <c r="M242" i="14701"/>
  <c r="P242" i="14701"/>
  <c r="Q242" i="14701"/>
  <c r="J242" i="14701"/>
  <c r="L242" i="14701"/>
  <c r="O242" i="14701"/>
  <c r="R242" i="14701"/>
  <c r="N242" i="14701"/>
  <c r="I242" i="14701"/>
  <c r="Q244" i="14701"/>
  <c r="P244" i="14701"/>
  <c r="L244" i="14701"/>
  <c r="N244" i="14701"/>
  <c r="O244" i="14701"/>
  <c r="R244" i="14701"/>
  <c r="G244" i="14701"/>
  <c r="J244" i="14701"/>
  <c r="H244" i="14701"/>
  <c r="K244" i="14701"/>
  <c r="M244" i="14701"/>
  <c r="I244" i="14701"/>
  <c r="S136" i="14698" a="1"/>
  <c r="G142" i="14700"/>
  <c r="E142" i="14700"/>
  <c r="Q138" i="14698" a="1"/>
  <c r="H142" i="14700"/>
  <c r="T135" i="14698" a="1"/>
  <c r="V223" i="14698" a="1"/>
  <c r="J232" i="14700"/>
  <c r="P229" i="14698" a="1"/>
  <c r="D232" i="14700"/>
  <c r="D214" i="14700"/>
  <c r="P211" i="14698" a="1"/>
  <c r="R209" i="14698" a="1"/>
  <c r="F214" i="14700"/>
  <c r="W204" i="14698" a="1"/>
  <c r="K214" i="14700"/>
  <c r="N213" i="14698"/>
  <c r="N214" i="14698" s="1"/>
  <c r="B214" i="14700"/>
  <c r="T117" i="14698" a="1"/>
  <c r="H124" i="14700"/>
  <c r="X74" i="14698"/>
  <c r="X83" i="14698"/>
  <c r="X81" i="14698"/>
  <c r="X78" i="14698"/>
  <c r="X80" i="14698"/>
  <c r="X77" i="14698"/>
  <c r="X75" i="14698"/>
  <c r="X79" i="14698"/>
  <c r="X82" i="14698"/>
  <c r="X76" i="14698"/>
  <c r="X84" i="14698"/>
  <c r="M124" i="14700"/>
  <c r="Y112" i="14698" a="1"/>
  <c r="V115" i="14698" a="1"/>
  <c r="J124" i="14700"/>
  <c r="B124" i="14700"/>
  <c r="N123" i="14698"/>
  <c r="N124" i="14698" s="1"/>
  <c r="R81" i="14698"/>
  <c r="R80" i="14698"/>
  <c r="R82" i="14698"/>
  <c r="R84" i="14698"/>
  <c r="R83" i="14698"/>
  <c r="E37" i="14683"/>
  <c r="E36" i="14683"/>
  <c r="E34" i="14683"/>
  <c r="E39" i="14683"/>
  <c r="E35" i="14683"/>
  <c r="E38" i="14683"/>
  <c r="E40" i="14683"/>
  <c r="E41" i="14683"/>
  <c r="Q81" i="14698"/>
  <c r="Q84" i="14698"/>
  <c r="Q82" i="14698"/>
  <c r="Q83" i="14698"/>
  <c r="O158" i="14698"/>
  <c r="O160" i="14698" s="1"/>
  <c r="C160" i="14700"/>
  <c r="K160" i="14700"/>
  <c r="W150" i="14698" a="1"/>
  <c r="X149" i="14698" a="1"/>
  <c r="L160" i="14700"/>
  <c r="K7" i="14640"/>
  <c r="H13" i="14690"/>
  <c r="I196" i="14700"/>
  <c r="U188" i="14698" a="1"/>
  <c r="B196" i="14700"/>
  <c r="N195" i="14698"/>
  <c r="N196" i="14698" s="1"/>
  <c r="C26" i="14678"/>
  <c r="B214" i="14704"/>
  <c r="N213" i="14702"/>
  <c r="F174" i="14701"/>
  <c r="J174" i="14701"/>
  <c r="P174" i="14701"/>
  <c r="I174" i="14701"/>
  <c r="O174" i="14701"/>
  <c r="E174" i="14701"/>
  <c r="G174" i="14701"/>
  <c r="N174" i="14701"/>
  <c r="K174" i="14701"/>
  <c r="H174" i="14701"/>
  <c r="M174" i="14701"/>
  <c r="L174" i="14701"/>
  <c r="O165" i="14701"/>
  <c r="S165" i="14701"/>
  <c r="U165" i="14701"/>
  <c r="Y165" i="14701"/>
  <c r="W165" i="14701"/>
  <c r="Q165" i="14701"/>
  <c r="N165" i="14701"/>
  <c r="V165" i="14701"/>
  <c r="T165" i="14701"/>
  <c r="X165" i="14701"/>
  <c r="R165" i="14701"/>
  <c r="P165" i="14701"/>
  <c r="M168" i="14701"/>
  <c r="O168" i="14701"/>
  <c r="L168" i="14701"/>
  <c r="T168" i="14701"/>
  <c r="Q168" i="14701"/>
  <c r="N168" i="14701"/>
  <c r="U168" i="14701"/>
  <c r="S168" i="14701"/>
  <c r="K168" i="14701"/>
  <c r="V168" i="14701"/>
  <c r="P168" i="14701"/>
  <c r="R168" i="14701"/>
  <c r="N169" i="14701"/>
  <c r="M169" i="14701"/>
  <c r="T169" i="14701"/>
  <c r="R169" i="14701"/>
  <c r="O169" i="14701"/>
  <c r="S169" i="14701"/>
  <c r="P169" i="14701"/>
  <c r="U169" i="14701"/>
  <c r="Q169" i="14701"/>
  <c r="L169" i="14701"/>
  <c r="K169" i="14701"/>
  <c r="J169" i="14701"/>
  <c r="N166" i="14701"/>
  <c r="U166" i="14701"/>
  <c r="T166" i="14701"/>
  <c r="Q166" i="14701"/>
  <c r="R166" i="14701"/>
  <c r="M166" i="14701"/>
  <c r="P166" i="14701"/>
  <c r="O166" i="14701"/>
  <c r="W166" i="14701"/>
  <c r="S166" i="14701"/>
  <c r="V166" i="14701"/>
  <c r="X166" i="14701"/>
  <c r="Q170" i="14701"/>
  <c r="R170" i="14701"/>
  <c r="I170" i="14701"/>
  <c r="T170" i="14701"/>
  <c r="L170" i="14701"/>
  <c r="S170" i="14701"/>
  <c r="N170" i="14701"/>
  <c r="K170" i="14701"/>
  <c r="J170" i="14701"/>
  <c r="P170" i="14701"/>
  <c r="M170" i="14701"/>
  <c r="O170" i="14701"/>
  <c r="H171" i="14701"/>
  <c r="O171" i="14701"/>
  <c r="N171" i="14701"/>
  <c r="K171" i="14701"/>
  <c r="Q171" i="14701"/>
  <c r="R171" i="14701"/>
  <c r="P171" i="14701"/>
  <c r="J171" i="14701"/>
  <c r="M171" i="14701"/>
  <c r="I171" i="14701"/>
  <c r="L171" i="14701"/>
  <c r="S171" i="14701"/>
  <c r="D229" i="14701"/>
  <c r="H229" i="14701"/>
  <c r="F229" i="14701"/>
  <c r="I229" i="14701"/>
  <c r="E229" i="14701"/>
  <c r="M229" i="14701"/>
  <c r="K229" i="14701"/>
  <c r="J229" i="14701"/>
  <c r="L229" i="14701"/>
  <c r="O229" i="14701"/>
  <c r="G229" i="14701"/>
  <c r="N229" i="14701"/>
  <c r="S225" i="14701"/>
  <c r="O225" i="14701"/>
  <c r="L225" i="14701"/>
  <c r="Q225" i="14701"/>
  <c r="P225" i="14701"/>
  <c r="J225" i="14701"/>
  <c r="R225" i="14701"/>
  <c r="M225" i="14701"/>
  <c r="K225" i="14701"/>
  <c r="H225" i="14701"/>
  <c r="I225" i="14701"/>
  <c r="N225" i="14701"/>
  <c r="R222" i="14701"/>
  <c r="T222" i="14701"/>
  <c r="N222" i="14701"/>
  <c r="M222" i="14701"/>
  <c r="O222" i="14701"/>
  <c r="Q222" i="14701"/>
  <c r="K222" i="14701"/>
  <c r="S222" i="14701"/>
  <c r="P222" i="14701"/>
  <c r="L222" i="14701"/>
  <c r="V222" i="14701"/>
  <c r="U222" i="14701"/>
  <c r="X219" i="14701"/>
  <c r="O219" i="14701"/>
  <c r="T219" i="14701"/>
  <c r="U219" i="14701"/>
  <c r="W219" i="14701"/>
  <c r="V219" i="14701"/>
  <c r="R219" i="14701"/>
  <c r="P219" i="14701"/>
  <c r="N219" i="14701"/>
  <c r="Q219" i="14701"/>
  <c r="Y219" i="14701"/>
  <c r="S219" i="14701"/>
  <c r="P227" i="14701"/>
  <c r="J227" i="14701"/>
  <c r="H227" i="14701"/>
  <c r="K227" i="14701"/>
  <c r="I227" i="14701"/>
  <c r="N227" i="14701"/>
  <c r="M227" i="14701"/>
  <c r="F227" i="14701"/>
  <c r="G227" i="14701"/>
  <c r="Q227" i="14701"/>
  <c r="L227" i="14701"/>
  <c r="O227" i="14701"/>
  <c r="K223" i="14701"/>
  <c r="N223" i="14701"/>
  <c r="T223" i="14701"/>
  <c r="M223" i="14701"/>
  <c r="P223" i="14701"/>
  <c r="O223" i="14701"/>
  <c r="U223" i="14701"/>
  <c r="J223" i="14701"/>
  <c r="R223" i="14701"/>
  <c r="L223" i="14701"/>
  <c r="S223" i="14701"/>
  <c r="Q223" i="14701"/>
  <c r="H231" i="14701"/>
  <c r="B231" i="14701"/>
  <c r="C231" i="14701"/>
  <c r="O231" i="14700" s="1"/>
  <c r="G231" i="14701"/>
  <c r="I231" i="14701"/>
  <c r="D231" i="14701"/>
  <c r="K231" i="14701"/>
  <c r="L231" i="14701"/>
  <c r="M231" i="14701"/>
  <c r="E231" i="14701"/>
  <c r="F231" i="14701"/>
  <c r="J231" i="14701"/>
  <c r="N157" i="14701"/>
  <c r="J157" i="14701"/>
  <c r="E157" i="14701"/>
  <c r="L157" i="14701"/>
  <c r="H157" i="14701"/>
  <c r="O157" i="14701"/>
  <c r="F157" i="14701"/>
  <c r="G157" i="14701"/>
  <c r="M157" i="14701"/>
  <c r="D157" i="14701"/>
  <c r="I157" i="14701"/>
  <c r="K157" i="14701"/>
  <c r="D159" i="14701"/>
  <c r="F159" i="14701"/>
  <c r="B159" i="14701"/>
  <c r="J159" i="14701"/>
  <c r="L159" i="14701"/>
  <c r="E159" i="14701"/>
  <c r="I159" i="14701"/>
  <c r="K159" i="14701"/>
  <c r="H159" i="14701"/>
  <c r="M159" i="14701"/>
  <c r="G159" i="14701"/>
  <c r="C159" i="14701"/>
  <c r="O159" i="14700" s="1"/>
  <c r="R148" i="14701"/>
  <c r="U148" i="14701"/>
  <c r="Q148" i="14701"/>
  <c r="V148" i="14701"/>
  <c r="P148" i="14701"/>
  <c r="S148" i="14701"/>
  <c r="X148" i="14701"/>
  <c r="M148" i="14701"/>
  <c r="W148" i="14701"/>
  <c r="O148" i="14701"/>
  <c r="T148" i="14701"/>
  <c r="N148" i="14701"/>
  <c r="Q154" i="14701"/>
  <c r="I154" i="14701"/>
  <c r="P154" i="14701"/>
  <c r="K154" i="14701"/>
  <c r="R154" i="14701"/>
  <c r="J154" i="14701"/>
  <c r="M154" i="14701"/>
  <c r="O154" i="14701"/>
  <c r="G154" i="14701"/>
  <c r="N154" i="14701"/>
  <c r="L154" i="14701"/>
  <c r="H154" i="14701"/>
  <c r="U150" i="14701"/>
  <c r="S150" i="14701"/>
  <c r="R150" i="14701"/>
  <c r="M150" i="14701"/>
  <c r="L150" i="14701"/>
  <c r="K150" i="14701"/>
  <c r="T150" i="14701"/>
  <c r="N150" i="14701"/>
  <c r="V150" i="14701"/>
  <c r="O150" i="14701"/>
  <c r="P150" i="14701"/>
  <c r="Q150" i="14701"/>
  <c r="J156" i="14701"/>
  <c r="L156" i="14701"/>
  <c r="F156" i="14701"/>
  <c r="E156" i="14701"/>
  <c r="H156" i="14701"/>
  <c r="M156" i="14701"/>
  <c r="G156" i="14701"/>
  <c r="O156" i="14701"/>
  <c r="K156" i="14701"/>
  <c r="N156" i="14701"/>
  <c r="I156" i="14701"/>
  <c r="P156" i="14701"/>
  <c r="N134" i="14701"/>
  <c r="I134" i="14701"/>
  <c r="L134" i="14701"/>
  <c r="M134" i="14701"/>
  <c r="J134" i="14701"/>
  <c r="S134" i="14701"/>
  <c r="R134" i="14701"/>
  <c r="P134" i="14701"/>
  <c r="Q134" i="14701"/>
  <c r="T134" i="14701"/>
  <c r="O134" i="14701"/>
  <c r="K134" i="14701"/>
  <c r="P133" i="14701"/>
  <c r="S133" i="14701"/>
  <c r="M133" i="14701"/>
  <c r="T133" i="14701"/>
  <c r="O133" i="14701"/>
  <c r="L133" i="14701"/>
  <c r="Q133" i="14701"/>
  <c r="R133" i="14701"/>
  <c r="J133" i="14701"/>
  <c r="K133" i="14701"/>
  <c r="N133" i="14701"/>
  <c r="U133" i="14701"/>
  <c r="F138" i="14701"/>
  <c r="L138" i="14701"/>
  <c r="H138" i="14701"/>
  <c r="E138" i="14701"/>
  <c r="G138" i="14701"/>
  <c r="M138" i="14701"/>
  <c r="I138" i="14701"/>
  <c r="J138" i="14701"/>
  <c r="K138" i="14701"/>
  <c r="O138" i="14701"/>
  <c r="P138" i="14701"/>
  <c r="N138" i="14701"/>
  <c r="D141" i="14701"/>
  <c r="L141" i="14701"/>
  <c r="K141" i="14701"/>
  <c r="F141" i="14701"/>
  <c r="J141" i="14701"/>
  <c r="I141" i="14701"/>
  <c r="M141" i="14701"/>
  <c r="B141" i="14701"/>
  <c r="G141" i="14701"/>
  <c r="C141" i="14701"/>
  <c r="O141" i="14700" s="1"/>
  <c r="H141" i="14701"/>
  <c r="E141" i="14701"/>
  <c r="H139" i="14701"/>
  <c r="D139" i="14701"/>
  <c r="K139" i="14701"/>
  <c r="F139" i="14701"/>
  <c r="L139" i="14701"/>
  <c r="N139" i="14701"/>
  <c r="O139" i="14701"/>
  <c r="E139" i="14701"/>
  <c r="M139" i="14701"/>
  <c r="G139" i="14701"/>
  <c r="J139" i="14701"/>
  <c r="I139" i="14701"/>
  <c r="R132" i="14701"/>
  <c r="Q132" i="14701"/>
  <c r="N132" i="14701"/>
  <c r="V132" i="14701"/>
  <c r="S132" i="14701"/>
  <c r="O132" i="14701"/>
  <c r="U132" i="14701"/>
  <c r="P132" i="14701"/>
  <c r="K132" i="14701"/>
  <c r="L132" i="14701"/>
  <c r="T132" i="14701"/>
  <c r="M132" i="14701"/>
  <c r="E194" i="14701"/>
  <c r="F194" i="14701"/>
  <c r="H194" i="14701"/>
  <c r="G194" i="14701"/>
  <c r="C194" i="14701"/>
  <c r="M194" i="14701"/>
  <c r="D194" i="14701"/>
  <c r="I194" i="14701"/>
  <c r="J194" i="14701"/>
  <c r="K194" i="14701"/>
  <c r="L194" i="14701"/>
  <c r="N194" i="14701"/>
  <c r="H190" i="14701"/>
  <c r="K190" i="14701"/>
  <c r="P190" i="14701"/>
  <c r="O190" i="14701"/>
  <c r="J190" i="14701"/>
  <c r="M190" i="14701"/>
  <c r="Q190" i="14701"/>
  <c r="I190" i="14701"/>
  <c r="G190" i="14701"/>
  <c r="R190" i="14701"/>
  <c r="N190" i="14701"/>
  <c r="L190" i="14701"/>
  <c r="T185" i="14701"/>
  <c r="M185" i="14701"/>
  <c r="O185" i="14701"/>
  <c r="Q185" i="14701"/>
  <c r="U185" i="14701"/>
  <c r="N185" i="14701"/>
  <c r="S185" i="14701"/>
  <c r="P185" i="14701"/>
  <c r="L185" i="14701"/>
  <c r="W185" i="14701"/>
  <c r="R185" i="14701"/>
  <c r="V185" i="14701"/>
  <c r="E123" i="14701"/>
  <c r="H123" i="14701"/>
  <c r="F123" i="14701"/>
  <c r="I123" i="14701"/>
  <c r="L123" i="14701"/>
  <c r="J123" i="14701"/>
  <c r="K123" i="14701"/>
  <c r="C123" i="14701"/>
  <c r="O123" i="14700" s="1"/>
  <c r="B123" i="14701"/>
  <c r="G123" i="14701"/>
  <c r="D123" i="14701"/>
  <c r="M123" i="14701"/>
  <c r="F85" i="14701"/>
  <c r="R80" i="14700" a="1"/>
  <c r="V76" i="14700" a="1"/>
  <c r="J85" i="14701"/>
  <c r="M121" i="14701"/>
  <c r="G121" i="14701"/>
  <c r="I121" i="14701"/>
  <c r="D121" i="14701"/>
  <c r="E121" i="14701"/>
  <c r="J121" i="14701"/>
  <c r="K121" i="14701"/>
  <c r="F121" i="14701"/>
  <c r="L121" i="14701"/>
  <c r="O121" i="14701"/>
  <c r="H121" i="14701"/>
  <c r="N121" i="14701"/>
  <c r="S112" i="14701"/>
  <c r="N112" i="14701"/>
  <c r="M112" i="14701"/>
  <c r="V112" i="14701"/>
  <c r="R112" i="14701"/>
  <c r="O112" i="14701"/>
  <c r="P112" i="14701"/>
  <c r="X112" i="14701"/>
  <c r="Q112" i="14701"/>
  <c r="U112" i="14701"/>
  <c r="W112" i="14701"/>
  <c r="T112" i="14701"/>
  <c r="X74" i="14700" a="1"/>
  <c r="L85" i="14701"/>
  <c r="I118" i="14701"/>
  <c r="P118" i="14701"/>
  <c r="M118" i="14701"/>
  <c r="G118" i="14701"/>
  <c r="K118" i="14701"/>
  <c r="L118" i="14701"/>
  <c r="J118" i="14701"/>
  <c r="O118" i="14701"/>
  <c r="H118" i="14701"/>
  <c r="N118" i="14701"/>
  <c r="R118" i="14701"/>
  <c r="Q118" i="14701"/>
  <c r="K142" i="14700"/>
  <c r="W132" i="14698" a="1"/>
  <c r="D142" i="14700"/>
  <c r="P139" i="14698" a="1"/>
  <c r="X131" i="14698" a="1"/>
  <c r="L142" i="14700"/>
  <c r="T225" i="14698" a="1"/>
  <c r="H232" i="14700"/>
  <c r="C232" i="14700"/>
  <c r="O230" i="14698"/>
  <c r="O232" i="14698" s="1"/>
  <c r="Y220" i="14698" a="1"/>
  <c r="M232" i="14700"/>
  <c r="U224" i="14698" a="1"/>
  <c r="I232" i="14700"/>
  <c r="J214" i="14700"/>
  <c r="V205" i="14698" a="1"/>
  <c r="T207" i="14698" a="1"/>
  <c r="H214" i="14700"/>
  <c r="S208" i="14698" a="1"/>
  <c r="G214" i="14700"/>
  <c r="I214" i="14700"/>
  <c r="U206" i="14698" a="1"/>
  <c r="L99" i="14700" a="1"/>
  <c r="L99" i="14700" s="1"/>
  <c r="M98" i="14700" a="1"/>
  <c r="M98" i="14700" s="1"/>
  <c r="K100" i="14700" a="1"/>
  <c r="K100" i="14700" s="1"/>
  <c r="O96" i="14700" a="1"/>
  <c r="O96" i="14700" s="1"/>
  <c r="J101" i="14700" a="1"/>
  <c r="J101" i="14700" s="1"/>
  <c r="H40" i="14700"/>
  <c r="N97" i="14700" a="1"/>
  <c r="N97" i="14700" s="1"/>
  <c r="Q94" i="14700" a="1"/>
  <c r="Q94" i="14700" s="1"/>
  <c r="R93" i="14700" a="1"/>
  <c r="R93" i="14700" s="1"/>
  <c r="I102" i="14700" a="1"/>
  <c r="I102" i="14700" s="1"/>
  <c r="S92" i="14700" a="1"/>
  <c r="S92" i="14700" s="1"/>
  <c r="H103" i="14700" a="1"/>
  <c r="H103" i="14700" s="1"/>
  <c r="P95" i="14700" a="1"/>
  <c r="P95" i="14700" s="1"/>
  <c r="T91" i="14700" a="1"/>
  <c r="T91" i="14700" s="1"/>
  <c r="N35" i="14700"/>
  <c r="K94" i="14700" a="1"/>
  <c r="K94" i="14700" s="1"/>
  <c r="I96" i="14700" a="1"/>
  <c r="I96" i="14700" s="1"/>
  <c r="H97" i="14700" a="1"/>
  <c r="H97" i="14700" s="1"/>
  <c r="G98" i="14700" a="1"/>
  <c r="G98" i="14700" s="1"/>
  <c r="N91" i="14700" a="1"/>
  <c r="N91" i="14700" s="1"/>
  <c r="C102" i="14700" a="1"/>
  <c r="C102" i="14700" s="1"/>
  <c r="J95" i="14700" a="1"/>
  <c r="J95" i="14700" s="1"/>
  <c r="L93" i="14700" a="1"/>
  <c r="L93" i="14700" s="1"/>
  <c r="E100" i="14700" a="1"/>
  <c r="E100" i="14700" s="1"/>
  <c r="D101" i="14700" a="1"/>
  <c r="D101" i="14700" s="1"/>
  <c r="M92" i="14700" a="1"/>
  <c r="M92" i="14700" s="1"/>
  <c r="B103" i="14700" a="1"/>
  <c r="B103" i="14700" s="1"/>
  <c r="N32" i="14700"/>
  <c r="F99" i="14700" a="1"/>
  <c r="F99" i="14700" s="1"/>
  <c r="B40" i="14700"/>
  <c r="F102" i="14700" a="1"/>
  <c r="F102" i="14700" s="1"/>
  <c r="N94" i="14700" a="1"/>
  <c r="N94" i="14700" s="1"/>
  <c r="O93" i="14700" a="1"/>
  <c r="O93" i="14700" s="1"/>
  <c r="L96" i="14700" a="1"/>
  <c r="L96" i="14700" s="1"/>
  <c r="E103" i="14700" a="1"/>
  <c r="E103" i="14700" s="1"/>
  <c r="H100" i="14700" a="1"/>
  <c r="H100" i="14700" s="1"/>
  <c r="J98" i="14700" a="1"/>
  <c r="J98" i="14700" s="1"/>
  <c r="M95" i="14700" a="1"/>
  <c r="M95" i="14700" s="1"/>
  <c r="P92" i="14700" a="1"/>
  <c r="P92" i="14700" s="1"/>
  <c r="Q91" i="14700" a="1"/>
  <c r="Q91" i="14700" s="1"/>
  <c r="E40" i="14700"/>
  <c r="K97" i="14700" a="1"/>
  <c r="K97" i="14700" s="1"/>
  <c r="G101" i="14700" a="1"/>
  <c r="G101" i="14700" s="1"/>
  <c r="I99" i="14700" a="1"/>
  <c r="I99" i="14700" s="1"/>
  <c r="O101" i="14700" a="1"/>
  <c r="O101" i="14700" s="1"/>
  <c r="X92" i="14700" a="1"/>
  <c r="X92" i="14700" s="1"/>
  <c r="Y91" i="14700" a="1"/>
  <c r="Y91" i="14700" s="1"/>
  <c r="M40" i="14700"/>
  <c r="S97" i="14700" a="1"/>
  <c r="S97" i="14700" s="1"/>
  <c r="N102" i="14700" a="1"/>
  <c r="N102" i="14700" s="1"/>
  <c r="Q99" i="14700" a="1"/>
  <c r="Q99" i="14700" s="1"/>
  <c r="M103" i="14700" a="1"/>
  <c r="M103" i="14700" s="1"/>
  <c r="U95" i="14700" a="1"/>
  <c r="U95" i="14700" s="1"/>
  <c r="W93" i="14700" a="1"/>
  <c r="W93" i="14700" s="1"/>
  <c r="V94" i="14700" a="1"/>
  <c r="V94" i="14700" s="1"/>
  <c r="P100" i="14700" a="1"/>
  <c r="P100" i="14700" s="1"/>
  <c r="R98" i="14700" a="1"/>
  <c r="R98" i="14700" s="1"/>
  <c r="T96" i="14700" a="1"/>
  <c r="T96" i="14700" s="1"/>
  <c r="N101" i="14700" a="1"/>
  <c r="N101" i="14700" s="1"/>
  <c r="P99" i="14700" a="1"/>
  <c r="P99" i="14700" s="1"/>
  <c r="X91" i="14700" a="1"/>
  <c r="X91" i="14700" s="1"/>
  <c r="R97" i="14700" a="1"/>
  <c r="R97" i="14700" s="1"/>
  <c r="W92" i="14700" a="1"/>
  <c r="W92" i="14700" s="1"/>
  <c r="U94" i="14700" a="1"/>
  <c r="U94" i="14700" s="1"/>
  <c r="T95" i="14700" a="1"/>
  <c r="T95" i="14700" s="1"/>
  <c r="L103" i="14700" a="1"/>
  <c r="L103" i="14700" s="1"/>
  <c r="Q98" i="14700" a="1"/>
  <c r="Q98" i="14700" s="1"/>
  <c r="V93" i="14700" a="1"/>
  <c r="V93" i="14700" s="1"/>
  <c r="L40" i="14700"/>
  <c r="M102" i="14700" a="1"/>
  <c r="M102" i="14700" s="1"/>
  <c r="O100" i="14700" a="1"/>
  <c r="O100" i="14700" s="1"/>
  <c r="S96" i="14700" a="1"/>
  <c r="S96" i="14700" s="1"/>
  <c r="O99" i="14700" a="1"/>
  <c r="O99" i="14700" s="1"/>
  <c r="P98" i="14700" a="1"/>
  <c r="P98" i="14700" s="1"/>
  <c r="T94" i="14700" a="1"/>
  <c r="T94" i="14700" s="1"/>
  <c r="Q97" i="14700" a="1"/>
  <c r="Q97" i="14700" s="1"/>
  <c r="N100" i="14700" a="1"/>
  <c r="N100" i="14700" s="1"/>
  <c r="K103" i="14700" a="1"/>
  <c r="K103" i="14700" s="1"/>
  <c r="R96" i="14700" a="1"/>
  <c r="R96" i="14700" s="1"/>
  <c r="M101" i="14700" a="1"/>
  <c r="M101" i="14700" s="1"/>
  <c r="W91" i="14700" a="1"/>
  <c r="W91" i="14700" s="1"/>
  <c r="S95" i="14700" a="1"/>
  <c r="S95" i="14700" s="1"/>
  <c r="U93" i="14700" a="1"/>
  <c r="U93" i="14700" s="1"/>
  <c r="V92" i="14700" a="1"/>
  <c r="V92" i="14700" s="1"/>
  <c r="L102" i="14700" a="1"/>
  <c r="L102" i="14700" s="1"/>
  <c r="K40" i="14700"/>
  <c r="I103" i="14700" a="1"/>
  <c r="I103" i="14700" s="1"/>
  <c r="N98" i="14700" a="1"/>
  <c r="N98" i="14700" s="1"/>
  <c r="S93" i="14700" a="1"/>
  <c r="S93" i="14700" s="1"/>
  <c r="L100" i="14700" a="1"/>
  <c r="L100" i="14700" s="1"/>
  <c r="M99" i="14700" a="1"/>
  <c r="M99" i="14700" s="1"/>
  <c r="U91" i="14700" a="1"/>
  <c r="U91" i="14700" s="1"/>
  <c r="Q95" i="14700" a="1"/>
  <c r="Q95" i="14700" s="1"/>
  <c r="K101" i="14700" a="1"/>
  <c r="K101" i="14700" s="1"/>
  <c r="R94" i="14700" a="1"/>
  <c r="R94" i="14700" s="1"/>
  <c r="J102" i="14700" a="1"/>
  <c r="J102" i="14700" s="1"/>
  <c r="I40" i="14700"/>
  <c r="P96" i="14700" a="1"/>
  <c r="P96" i="14700" s="1"/>
  <c r="O97" i="14700" a="1"/>
  <c r="O97" i="14700" s="1"/>
  <c r="T92" i="14700" a="1"/>
  <c r="T92" i="14700" s="1"/>
  <c r="S118" i="14698" a="1"/>
  <c r="G124" i="14700"/>
  <c r="P82" i="14698"/>
  <c r="P84" i="14698"/>
  <c r="P83" i="14698"/>
  <c r="Y81" i="14698"/>
  <c r="Y82" i="14698"/>
  <c r="Y80" i="14698"/>
  <c r="Y76" i="14698"/>
  <c r="Y75" i="14698"/>
  <c r="Y84" i="14698"/>
  <c r="Y83" i="14698"/>
  <c r="Y79" i="14698"/>
  <c r="Y74" i="14698"/>
  <c r="Y73" i="14698"/>
  <c r="Y77" i="14698"/>
  <c r="Y78" i="14698"/>
  <c r="X113" i="14698" a="1"/>
  <c r="L124" i="14700"/>
  <c r="N159" i="14698"/>
  <c r="N160" i="14698" s="1"/>
  <c r="B160" i="14700"/>
  <c r="Q156" i="14698" a="1"/>
  <c r="E160" i="14700"/>
  <c r="V151" i="14698" a="1"/>
  <c r="J160" i="14700"/>
  <c r="F160" i="14700"/>
  <c r="R155" i="14698" a="1"/>
  <c r="L178" i="14700"/>
  <c r="X167" i="14698" a="1"/>
  <c r="Y166" i="14698" a="1"/>
  <c r="M178" i="14700"/>
  <c r="S172" i="14698" a="1"/>
  <c r="G178" i="14700"/>
  <c r="O194" i="14698"/>
  <c r="O196" i="14698" s="1"/>
  <c r="C196" i="14700"/>
  <c r="L196" i="14700"/>
  <c r="X185" i="14698" a="1"/>
  <c r="J196" i="14700"/>
  <c r="V187" i="14698" a="1"/>
  <c r="W186" i="14698" a="1"/>
  <c r="K196" i="14700"/>
  <c r="J8" i="14708"/>
  <c r="V24" i="14655" s="1"/>
  <c r="J7" i="14708"/>
  <c r="V22" i="14655" s="1"/>
  <c r="I211" i="14701"/>
  <c r="J211" i="14701"/>
  <c r="G211" i="14701"/>
  <c r="M211" i="14701"/>
  <c r="O211" i="14701"/>
  <c r="L211" i="14701"/>
  <c r="N211" i="14701"/>
  <c r="E211" i="14701"/>
  <c r="F211" i="14701"/>
  <c r="H211" i="14701"/>
  <c r="K211" i="14701"/>
  <c r="D211" i="14701"/>
  <c r="P210" i="14701"/>
  <c r="J210" i="14701"/>
  <c r="F210" i="14701"/>
  <c r="K210" i="14701"/>
  <c r="H210" i="14701"/>
  <c r="N210" i="14701"/>
  <c r="G210" i="14701"/>
  <c r="L210" i="14701"/>
  <c r="O210" i="14701"/>
  <c r="M210" i="14701"/>
  <c r="I210" i="14701"/>
  <c r="E210" i="14701"/>
  <c r="S207" i="14701"/>
  <c r="L207" i="14701"/>
  <c r="I207" i="14701"/>
  <c r="J207" i="14701"/>
  <c r="N207" i="14701"/>
  <c r="P207" i="14701"/>
  <c r="H207" i="14701"/>
  <c r="Q207" i="14701"/>
  <c r="M207" i="14701"/>
  <c r="R207" i="14701"/>
  <c r="O207" i="14701"/>
  <c r="K207" i="14701"/>
  <c r="V202" i="14701"/>
  <c r="M202" i="14701"/>
  <c r="U202" i="14701"/>
  <c r="Q202" i="14701"/>
  <c r="O202" i="14701"/>
  <c r="R202" i="14701"/>
  <c r="T202" i="14701"/>
  <c r="X202" i="14701"/>
  <c r="W202" i="14701"/>
  <c r="N202" i="14701"/>
  <c r="S202" i="14701"/>
  <c r="P202" i="14701"/>
  <c r="N203" i="14701"/>
  <c r="W203" i="14701"/>
  <c r="O203" i="14701"/>
  <c r="U203" i="14701"/>
  <c r="P203" i="14701"/>
  <c r="T203" i="14701"/>
  <c r="Q203" i="14701"/>
  <c r="S203" i="14701"/>
  <c r="R203" i="14701"/>
  <c r="M203" i="14701"/>
  <c r="V203" i="14701"/>
  <c r="L203" i="14701"/>
  <c r="S205" i="14701"/>
  <c r="O205" i="14701"/>
  <c r="R205" i="14701"/>
  <c r="N205" i="14701"/>
  <c r="M205" i="14701"/>
  <c r="J205" i="14701"/>
  <c r="L205" i="14701"/>
  <c r="U205" i="14701"/>
  <c r="K205" i="14701"/>
  <c r="T205" i="14701"/>
  <c r="P205" i="14701"/>
  <c r="Q205" i="14701"/>
  <c r="S201" i="14701"/>
  <c r="Q201" i="14701"/>
  <c r="V201" i="14701"/>
  <c r="P201" i="14701"/>
  <c r="T201" i="14701"/>
  <c r="U201" i="14701"/>
  <c r="N201" i="14701"/>
  <c r="X201" i="14701"/>
  <c r="O201" i="14701"/>
  <c r="R201" i="14701"/>
  <c r="Y201" i="14701"/>
  <c r="W201" i="14701"/>
  <c r="F248" i="14701"/>
  <c r="M248" i="14701"/>
  <c r="C248" i="14701"/>
  <c r="D248" i="14701"/>
  <c r="E248" i="14701"/>
  <c r="L248" i="14701"/>
  <c r="K248" i="14701"/>
  <c r="G248" i="14701"/>
  <c r="I248" i="14701"/>
  <c r="N248" i="14701"/>
  <c r="J248" i="14701"/>
  <c r="H248" i="14701"/>
  <c r="L241" i="14701"/>
  <c r="U241" i="14701"/>
  <c r="O241" i="14701"/>
  <c r="Q241" i="14701"/>
  <c r="R241" i="14701"/>
  <c r="S241" i="14701"/>
  <c r="K241" i="14701"/>
  <c r="M241" i="14701"/>
  <c r="N241" i="14701"/>
  <c r="T241" i="14701"/>
  <c r="J241" i="14701"/>
  <c r="P241" i="14701"/>
  <c r="W238" i="14701"/>
  <c r="U238" i="14701"/>
  <c r="Q238" i="14701"/>
  <c r="X238" i="14701"/>
  <c r="N238" i="14701"/>
  <c r="V238" i="14701"/>
  <c r="M238" i="14701"/>
  <c r="O238" i="14701"/>
  <c r="R238" i="14701"/>
  <c r="T238" i="14701"/>
  <c r="P238" i="14701"/>
  <c r="S238" i="14701"/>
  <c r="J246" i="14701"/>
  <c r="O246" i="14701"/>
  <c r="M246" i="14701"/>
  <c r="L246" i="14701"/>
  <c r="H246" i="14701"/>
  <c r="N246" i="14701"/>
  <c r="F246" i="14701"/>
  <c r="K246" i="14701"/>
  <c r="E246" i="14701"/>
  <c r="I246" i="14701"/>
  <c r="P246" i="14701"/>
  <c r="G246" i="14701"/>
  <c r="G249" i="14701"/>
  <c r="E249" i="14701"/>
  <c r="F249" i="14701"/>
  <c r="B249" i="14701"/>
  <c r="J249" i="14701"/>
  <c r="I249" i="14701"/>
  <c r="K249" i="14701"/>
  <c r="M249" i="14701"/>
  <c r="D249" i="14701"/>
  <c r="L249" i="14701"/>
  <c r="H249" i="14701"/>
  <c r="C249" i="14701"/>
  <c r="O249" i="14700" s="1"/>
  <c r="O247" i="14701"/>
  <c r="K247" i="14701"/>
  <c r="J247" i="14701"/>
  <c r="I247" i="14701"/>
  <c r="N247" i="14701"/>
  <c r="G247" i="14701"/>
  <c r="F247" i="14701"/>
  <c r="E247" i="14701"/>
  <c r="D247" i="14701"/>
  <c r="L247" i="14701"/>
  <c r="H247" i="14701"/>
  <c r="M247" i="14701"/>
  <c r="C142" i="14700"/>
  <c r="O140" i="14698"/>
  <c r="O142" i="14698" s="1"/>
  <c r="V133" i="14698" a="1"/>
  <c r="J142" i="14700"/>
  <c r="B142" i="14700"/>
  <c r="N141" i="14698"/>
  <c r="N142" i="14698" s="1"/>
  <c r="E232" i="14700"/>
  <c r="Q228" i="14698" a="1"/>
  <c r="N231" i="14698"/>
  <c r="N232" i="14698" s="1"/>
  <c r="B232" i="14700"/>
  <c r="S226" i="14698" a="1"/>
  <c r="G232" i="14700"/>
  <c r="O212" i="14698"/>
  <c r="O214" i="14698" s="1"/>
  <c r="C214" i="14700"/>
  <c r="L214" i="14700"/>
  <c r="X203" i="14698" a="1"/>
  <c r="C124" i="14700"/>
  <c r="O122" i="14698"/>
  <c r="O124" i="14698" s="1"/>
  <c r="O83" i="14698"/>
  <c r="O84" i="14698"/>
  <c r="D42" i="14622"/>
  <c r="B87" i="14700"/>
  <c r="K124" i="14700"/>
  <c r="W114" i="14698" a="1"/>
  <c r="U116" i="14698" a="1"/>
  <c r="I124" i="14700"/>
  <c r="M9" i="14640"/>
  <c r="B9" i="14640"/>
  <c r="G9" i="14640"/>
  <c r="F9" i="14640"/>
  <c r="H9" i="14640"/>
  <c r="E9" i="14640"/>
  <c r="D9" i="14640"/>
  <c r="L9" i="14640"/>
  <c r="C9" i="14640"/>
  <c r="I9" i="14640"/>
  <c r="K9" i="14640"/>
  <c r="J9" i="14640"/>
  <c r="V78" i="14698"/>
  <c r="V79" i="14698"/>
  <c r="V84" i="14698"/>
  <c r="V81" i="14698"/>
  <c r="V83" i="14698"/>
  <c r="V82" i="14698"/>
  <c r="V77" i="14698"/>
  <c r="V80" i="14698"/>
  <c r="V76" i="14698"/>
  <c r="E73" i="14643"/>
  <c r="E72" i="14643"/>
  <c r="E70" i="14643"/>
  <c r="E68" i="14643"/>
  <c r="E69" i="14643"/>
  <c r="E71" i="14643"/>
  <c r="E67" i="14643"/>
  <c r="E66" i="14643"/>
  <c r="G160" i="14700"/>
  <c r="S154" i="14698" a="1"/>
  <c r="M160" i="14700"/>
  <c r="Y148" i="14698" a="1"/>
  <c r="I160" i="14700"/>
  <c r="U152" i="14698" a="1"/>
  <c r="F30" i="14707"/>
  <c r="F29" i="14707"/>
  <c r="F32" i="14707"/>
  <c r="F24" i="14707"/>
  <c r="F27" i="14707"/>
  <c r="F31" i="14707"/>
  <c r="F26" i="14707"/>
  <c r="F28" i="14707"/>
  <c r="F25" i="14707"/>
  <c r="G6" i="14617"/>
  <c r="G5" i="14617"/>
  <c r="C26" i="11"/>
  <c r="G11" i="14622"/>
  <c r="I15" i="14622"/>
  <c r="T27" i="14655"/>
  <c r="T28" i="14655" s="1"/>
  <c r="U27" i="14655"/>
  <c r="B33" i="14629" s="1" a="1"/>
  <c r="Q28" i="14655"/>
  <c r="R6" i="14655" s="1" a="1"/>
  <c r="C42" i="14622"/>
  <c r="L28" i="14638" l="1"/>
  <c r="G28" i="14638"/>
  <c r="E28" i="14638"/>
  <c r="J28" i="14638"/>
  <c r="H28" i="14638"/>
  <c r="F24" i="14683"/>
  <c r="F26" i="14683"/>
  <c r="F20" i="14683"/>
  <c r="F23" i="14683"/>
  <c r="F21" i="14683"/>
  <c r="F22" i="14683"/>
  <c r="F19" i="14683"/>
  <c r="F25" i="14683"/>
  <c r="F27" i="14683"/>
  <c r="C25" i="14678"/>
  <c r="C24" i="14678"/>
  <c r="C22" i="14678"/>
  <c r="C7" i="14640"/>
  <c r="M7" i="14640"/>
  <c r="H7" i="14640"/>
  <c r="L7" i="14640"/>
  <c r="D7" i="14640"/>
  <c r="G7" i="14640"/>
  <c r="F7" i="14640"/>
  <c r="I7" i="14640"/>
  <c r="J7" i="14640"/>
  <c r="E7" i="14640"/>
  <c r="D23" i="14678"/>
  <c r="D24" i="14678"/>
  <c r="D25" i="14678"/>
  <c r="S30" i="14638"/>
  <c r="J16" i="14667" s="1"/>
  <c r="K28" i="14638"/>
  <c r="B33" i="14629"/>
  <c r="B34" i="14629"/>
  <c r="B35" i="14629"/>
  <c r="B36" i="14629"/>
  <c r="B37" i="14629"/>
  <c r="B38" i="14629"/>
  <c r="B39" i="14629"/>
  <c r="B40" i="14629"/>
  <c r="B41" i="14629"/>
  <c r="B42" i="14629"/>
  <c r="B43" i="14629"/>
  <c r="B44" i="14629"/>
  <c r="B45" i="14629"/>
  <c r="B46" i="14629"/>
  <c r="B47" i="14629"/>
  <c r="B48" i="14629"/>
  <c r="B49" i="14629"/>
  <c r="B50" i="14629"/>
  <c r="B51" i="14629"/>
  <c r="B52" i="14629"/>
  <c r="B53" i="14629"/>
  <c r="B54" i="14629"/>
  <c r="I50" i="14629"/>
  <c r="K54" i="14629"/>
  <c r="L41" i="14629"/>
  <c r="L43" i="14629"/>
  <c r="L52" i="14629"/>
  <c r="M33" i="14629"/>
  <c r="M49" i="14629"/>
  <c r="C33" i="14629"/>
  <c r="C34" i="14629"/>
  <c r="C35" i="14629"/>
  <c r="C36" i="14629"/>
  <c r="C37" i="14629"/>
  <c r="C38" i="14629"/>
  <c r="C39" i="14629"/>
  <c r="C40" i="14629"/>
  <c r="C41" i="14629"/>
  <c r="C42" i="14629"/>
  <c r="C43" i="14629"/>
  <c r="C44" i="14629"/>
  <c r="C45" i="14629"/>
  <c r="C46" i="14629"/>
  <c r="C47" i="14629"/>
  <c r="C48" i="14629"/>
  <c r="C49" i="14629"/>
  <c r="C50" i="14629"/>
  <c r="C51" i="14629"/>
  <c r="C52" i="14629"/>
  <c r="C53" i="14629"/>
  <c r="C54" i="14629"/>
  <c r="I48" i="14629"/>
  <c r="K50" i="14629"/>
  <c r="L34" i="14629"/>
  <c r="L47" i="14629"/>
  <c r="M38" i="14629"/>
  <c r="M48" i="14629"/>
  <c r="D33" i="14629"/>
  <c r="D34" i="14629"/>
  <c r="D35" i="14629"/>
  <c r="D36" i="14629"/>
  <c r="D37" i="14629"/>
  <c r="D38" i="14629"/>
  <c r="D39" i="14629"/>
  <c r="D40" i="14629"/>
  <c r="D41" i="14629"/>
  <c r="D42" i="14629"/>
  <c r="D43" i="14629"/>
  <c r="D44" i="14629"/>
  <c r="D45" i="14629"/>
  <c r="D46" i="14629"/>
  <c r="D47" i="14629"/>
  <c r="D48" i="14629"/>
  <c r="D49" i="14629"/>
  <c r="D50" i="14629"/>
  <c r="D51" i="14629"/>
  <c r="D52" i="14629"/>
  <c r="D53" i="14629"/>
  <c r="D54" i="14629"/>
  <c r="I47" i="14629"/>
  <c r="I54" i="14629"/>
  <c r="K51" i="14629"/>
  <c r="L40" i="14629"/>
  <c r="L45" i="14629"/>
  <c r="L54" i="14629"/>
  <c r="M39" i="14629"/>
  <c r="M50" i="14629"/>
  <c r="E33" i="14629"/>
  <c r="E34" i="14629"/>
  <c r="E35" i="14629"/>
  <c r="E36" i="14629"/>
  <c r="E37" i="14629"/>
  <c r="E38" i="14629"/>
  <c r="E39" i="14629"/>
  <c r="E40" i="14629"/>
  <c r="E41" i="14629"/>
  <c r="E42" i="14629"/>
  <c r="E43" i="14629"/>
  <c r="E44" i="14629"/>
  <c r="E45" i="14629"/>
  <c r="E46" i="14629"/>
  <c r="E47" i="14629"/>
  <c r="E48" i="14629"/>
  <c r="E49" i="14629"/>
  <c r="E50" i="14629"/>
  <c r="E51" i="14629"/>
  <c r="E52" i="14629"/>
  <c r="E53" i="14629"/>
  <c r="E54" i="14629"/>
  <c r="I46" i="14629"/>
  <c r="K53" i="14629"/>
  <c r="L37" i="14629"/>
  <c r="L46" i="14629"/>
  <c r="M36" i="14629"/>
  <c r="M44" i="14629"/>
  <c r="M53" i="14629"/>
  <c r="F33" i="14629"/>
  <c r="F34" i="14629"/>
  <c r="F35" i="14629"/>
  <c r="F36" i="14629"/>
  <c r="F37" i="14629"/>
  <c r="F38" i="14629"/>
  <c r="F39" i="14629"/>
  <c r="F40" i="14629"/>
  <c r="F41" i="14629"/>
  <c r="F42" i="14629"/>
  <c r="F43" i="14629"/>
  <c r="F44" i="14629"/>
  <c r="F45" i="14629"/>
  <c r="F46" i="14629"/>
  <c r="F47" i="14629"/>
  <c r="F48" i="14629"/>
  <c r="F49" i="14629"/>
  <c r="F50" i="14629"/>
  <c r="F51" i="14629"/>
  <c r="F52" i="14629"/>
  <c r="F53" i="14629"/>
  <c r="F54" i="14629"/>
  <c r="I45" i="14629"/>
  <c r="I53" i="14629"/>
  <c r="L36" i="14629"/>
  <c r="L50" i="14629"/>
  <c r="M41" i="14629"/>
  <c r="M51" i="14629"/>
  <c r="G33" i="14629"/>
  <c r="G34" i="14629"/>
  <c r="G35" i="14629"/>
  <c r="G36" i="14629"/>
  <c r="G37" i="14629"/>
  <c r="G38" i="14629"/>
  <c r="G39" i="14629"/>
  <c r="G40" i="14629"/>
  <c r="G41" i="14629"/>
  <c r="G42" i="14629"/>
  <c r="G43" i="14629"/>
  <c r="G44" i="14629"/>
  <c r="G45" i="14629"/>
  <c r="G46" i="14629"/>
  <c r="G47" i="14629"/>
  <c r="G48" i="14629"/>
  <c r="G49" i="14629"/>
  <c r="G50" i="14629"/>
  <c r="G51" i="14629"/>
  <c r="G52" i="14629"/>
  <c r="G53" i="14629"/>
  <c r="G54" i="14629"/>
  <c r="I44" i="14629"/>
  <c r="I52" i="14629"/>
  <c r="K52" i="14629"/>
  <c r="L38" i="14629"/>
  <c r="L51" i="14629"/>
  <c r="M37" i="14629"/>
  <c r="M47" i="14629"/>
  <c r="H33" i="14629"/>
  <c r="H34" i="14629"/>
  <c r="H35" i="14629"/>
  <c r="H36" i="14629"/>
  <c r="H37" i="14629"/>
  <c r="H38" i="14629"/>
  <c r="H39" i="14629"/>
  <c r="H40" i="14629"/>
  <c r="H41" i="14629"/>
  <c r="H42" i="14629"/>
  <c r="H43" i="14629"/>
  <c r="H44" i="14629"/>
  <c r="H45" i="14629"/>
  <c r="H46" i="14629"/>
  <c r="H47" i="14629"/>
  <c r="H48" i="14629"/>
  <c r="H49" i="14629"/>
  <c r="H50" i="14629"/>
  <c r="H51" i="14629"/>
  <c r="H52" i="14629"/>
  <c r="H53" i="14629"/>
  <c r="H54" i="14629"/>
  <c r="I42" i="14629"/>
  <c r="I51" i="14629"/>
  <c r="L33" i="14629"/>
  <c r="L44" i="14629"/>
  <c r="M40" i="14629"/>
  <c r="M46" i="14629"/>
  <c r="M54" i="14629"/>
  <c r="I33" i="14629"/>
  <c r="I34" i="14629"/>
  <c r="I35" i="14629"/>
  <c r="I36" i="14629"/>
  <c r="I37" i="14629"/>
  <c r="I38" i="14629"/>
  <c r="I39" i="14629"/>
  <c r="I40" i="14629"/>
  <c r="I41" i="14629"/>
  <c r="I43" i="14629"/>
  <c r="I49" i="14629"/>
  <c r="L35" i="14629"/>
  <c r="L53" i="14629"/>
  <c r="M42" i="14629"/>
  <c r="J33" i="14629"/>
  <c r="J34" i="14629"/>
  <c r="J35" i="14629"/>
  <c r="J36" i="14629"/>
  <c r="J37" i="14629"/>
  <c r="J38" i="14629"/>
  <c r="J39" i="14629"/>
  <c r="J40" i="14629"/>
  <c r="J41" i="14629"/>
  <c r="J42" i="14629"/>
  <c r="J43" i="14629"/>
  <c r="J44" i="14629"/>
  <c r="J45" i="14629"/>
  <c r="J46" i="14629"/>
  <c r="J47" i="14629"/>
  <c r="J48" i="14629"/>
  <c r="J49" i="14629"/>
  <c r="J50" i="14629"/>
  <c r="J51" i="14629"/>
  <c r="J52" i="14629"/>
  <c r="J53" i="14629"/>
  <c r="J54" i="14629"/>
  <c r="K48" i="14629"/>
  <c r="L39" i="14629"/>
  <c r="L48" i="14629"/>
  <c r="M35" i="14629"/>
  <c r="M45" i="14629"/>
  <c r="K33" i="14629"/>
  <c r="K34" i="14629"/>
  <c r="K35" i="14629"/>
  <c r="K36" i="14629"/>
  <c r="K37" i="14629"/>
  <c r="K38" i="14629"/>
  <c r="K39" i="14629"/>
  <c r="K40" i="14629"/>
  <c r="K41" i="14629"/>
  <c r="K42" i="14629"/>
  <c r="K43" i="14629"/>
  <c r="K44" i="14629"/>
  <c r="K45" i="14629"/>
  <c r="K46" i="14629"/>
  <c r="K47" i="14629"/>
  <c r="K49" i="14629"/>
  <c r="L42" i="14629"/>
  <c r="L49" i="14629"/>
  <c r="M34" i="14629"/>
  <c r="M43" i="14629"/>
  <c r="M52" i="14629"/>
  <c r="S31" i="14638"/>
  <c r="H20" i="14711"/>
  <c r="D20" i="14711"/>
  <c r="E20" i="14711"/>
  <c r="G20" i="14711"/>
  <c r="F20" i="14711"/>
  <c r="D5" i="14711"/>
  <c r="H5" i="14711"/>
  <c r="G5" i="14711"/>
  <c r="F5" i="14711"/>
  <c r="E5" i="14711"/>
  <c r="H40" i="14711"/>
  <c r="D40" i="14711"/>
  <c r="E40" i="14711"/>
  <c r="F40" i="14711"/>
  <c r="G40" i="14711"/>
  <c r="X160" i="14704"/>
  <c r="W124" i="14704"/>
  <c r="Q174" i="14702" a="1"/>
  <c r="Q177" i="14702" s="1"/>
  <c r="X124" i="14704"/>
  <c r="M60" i="14624"/>
  <c r="I60" i="14624"/>
  <c r="G55" i="14624"/>
  <c r="H214" i="14704"/>
  <c r="N12" i="14678"/>
  <c r="J25" i="14669"/>
  <c r="J45" i="14681" s="1"/>
  <c r="N20" i="14669"/>
  <c r="C160" i="14704"/>
  <c r="Q210" i="14702" a="1"/>
  <c r="Q211" i="14702" s="1"/>
  <c r="U232" i="14704"/>
  <c r="M55" i="14624"/>
  <c r="E55" i="14624"/>
  <c r="E25" i="14669"/>
  <c r="E45" i="14681" s="1"/>
  <c r="F60" i="14624"/>
  <c r="G20" i="14683"/>
  <c r="G23" i="14683"/>
  <c r="G22" i="14683"/>
  <c r="G21" i="14683"/>
  <c r="G26" i="14683"/>
  <c r="G24" i="14683"/>
  <c r="G25" i="14683"/>
  <c r="G19" i="14683"/>
  <c r="I19" i="14674" a="1"/>
  <c r="I19" i="14674" s="1"/>
  <c r="I39" i="14674"/>
  <c r="F9" i="14657"/>
  <c r="B40" i="14668" a="1"/>
  <c r="N23" i="14669"/>
  <c r="D60" i="14624"/>
  <c r="G27" i="14707"/>
  <c r="G26" i="14707"/>
  <c r="G29" i="14707"/>
  <c r="G28" i="14707"/>
  <c r="G25" i="14707"/>
  <c r="G31" i="14707"/>
  <c r="G24" i="14707"/>
  <c r="G30" i="14707"/>
  <c r="M24" i="14678" a="1"/>
  <c r="M24" i="14678" s="1"/>
  <c r="J21" i="14678" a="1"/>
  <c r="J21" i="14678" s="1"/>
  <c r="N25" i="14678" a="1"/>
  <c r="N25" i="14678" s="1"/>
  <c r="O26" i="14678" a="1"/>
  <c r="O26" i="14678" s="1"/>
  <c r="L23" i="14678" a="1"/>
  <c r="L23" i="14678" s="1"/>
  <c r="I15" i="14678"/>
  <c r="I20" i="14678" a="1"/>
  <c r="I20" i="14678" s="1"/>
  <c r="K22" i="14678" a="1"/>
  <c r="K22" i="14678" s="1"/>
  <c r="F21" i="14678" a="1"/>
  <c r="F21" i="14678" s="1"/>
  <c r="E20" i="14678" a="1"/>
  <c r="E20" i="14678" s="1"/>
  <c r="I24" i="14678" a="1"/>
  <c r="I24" i="14678" s="1"/>
  <c r="H23" i="14678" a="1"/>
  <c r="H23" i="14678" s="1"/>
  <c r="G22" i="14678" a="1"/>
  <c r="G22" i="14678" s="1"/>
  <c r="K26" i="14678" a="1"/>
  <c r="K26" i="14678" s="1"/>
  <c r="E15" i="14678"/>
  <c r="J25" i="14678" a="1"/>
  <c r="J25" i="14678" s="1"/>
  <c r="O38" i="14674"/>
  <c r="N22" i="14669"/>
  <c r="I55" i="14624"/>
  <c r="F55" i="14624"/>
  <c r="C81" i="14643"/>
  <c r="C85" i="14643"/>
  <c r="C80" i="14643"/>
  <c r="C86" i="14643"/>
  <c r="C83" i="14643"/>
  <c r="C82" i="14643"/>
  <c r="C79" i="14643"/>
  <c r="C84" i="14643"/>
  <c r="N8" i="14678"/>
  <c r="E39" i="14674"/>
  <c r="E19" i="14674" a="1"/>
  <c r="E19" i="14674" s="1"/>
  <c r="H39" i="14674"/>
  <c r="H19" i="14674" a="1"/>
  <c r="H19" i="14674" s="1"/>
  <c r="K5" i="14670"/>
  <c r="K39" i="14710" s="1"/>
  <c r="L5" i="14670"/>
  <c r="L39" i="14710" s="1"/>
  <c r="F5" i="14670"/>
  <c r="F39" i="14710" s="1"/>
  <c r="B5" i="14670"/>
  <c r="I5" i="14670"/>
  <c r="I39" i="14710" s="1"/>
  <c r="E5" i="14670"/>
  <c r="E39" i="14710" s="1"/>
  <c r="G5" i="14670"/>
  <c r="G39" i="14710" s="1"/>
  <c r="C5" i="14670"/>
  <c r="C39" i="14710" s="1"/>
  <c r="D5" i="14670"/>
  <c r="D39" i="14710" s="1"/>
  <c r="H5" i="14670"/>
  <c r="H39" i="14710" s="1"/>
  <c r="M5" i="14670"/>
  <c r="M39" i="14710" s="1"/>
  <c r="J5" i="14670"/>
  <c r="J39" i="14710" s="1"/>
  <c r="F25" i="14669"/>
  <c r="F45" i="14681" s="1"/>
  <c r="K33" i="14652" a="1"/>
  <c r="P229" i="14702" a="1"/>
  <c r="P230" i="14702" s="1"/>
  <c r="B37" i="14668"/>
  <c r="L35" i="14668"/>
  <c r="G39" i="14668"/>
  <c r="C39" i="14668"/>
  <c r="B33" i="14668"/>
  <c r="I36" i="14668"/>
  <c r="H38" i="14668"/>
  <c r="I35" i="14668"/>
  <c r="C34" i="14668"/>
  <c r="D37" i="14668"/>
  <c r="L34" i="14668"/>
  <c r="J33" i="14668"/>
  <c r="K38" i="14668"/>
  <c r="F38" i="14668"/>
  <c r="E39" i="14668"/>
  <c r="F39" i="14668"/>
  <c r="G34" i="14668"/>
  <c r="H39" i="14668"/>
  <c r="H33" i="14668"/>
  <c r="I33" i="14668"/>
  <c r="F35" i="14668"/>
  <c r="G35" i="14668"/>
  <c r="F32" i="14668"/>
  <c r="D33" i="14668"/>
  <c r="C33" i="14668"/>
  <c r="E36" i="14668"/>
  <c r="H34" i="14668"/>
  <c r="G32" i="14668"/>
  <c r="E32" i="14668"/>
  <c r="G36" i="14668"/>
  <c r="C36" i="14668"/>
  <c r="B38" i="14668"/>
  <c r="F36" i="14668"/>
  <c r="D38" i="14668"/>
  <c r="E34" i="14668"/>
  <c r="E33" i="14668"/>
  <c r="L39" i="14668"/>
  <c r="D36" i="14668"/>
  <c r="G33" i="14668"/>
  <c r="M33" i="14668"/>
  <c r="I32" i="14668"/>
  <c r="M37" i="14668"/>
  <c r="C37" i="14668"/>
  <c r="K37" i="14668"/>
  <c r="M39" i="14668"/>
  <c r="J37" i="14668"/>
  <c r="E37" i="14668"/>
  <c r="J38" i="14668"/>
  <c r="K36" i="14668"/>
  <c r="H37" i="14668"/>
  <c r="G37" i="14668"/>
  <c r="L36" i="14668"/>
  <c r="D34" i="14668"/>
  <c r="G38" i="14668"/>
  <c r="I37" i="14668"/>
  <c r="L37" i="14668"/>
  <c r="J32" i="14668"/>
  <c r="M38" i="14668"/>
  <c r="M36" i="14668"/>
  <c r="E38" i="14668"/>
  <c r="M32" i="14668"/>
  <c r="E35" i="14668"/>
  <c r="M34" i="14668"/>
  <c r="J35" i="14668"/>
  <c r="K34" i="14668"/>
  <c r="L32" i="14668"/>
  <c r="C32" i="14668"/>
  <c r="F34" i="14668"/>
  <c r="J39" i="14668"/>
  <c r="C35" i="14668"/>
  <c r="I38" i="14668"/>
  <c r="M35" i="14668"/>
  <c r="H35" i="14668"/>
  <c r="J34" i="14668"/>
  <c r="D32" i="14668"/>
  <c r="H36" i="14668"/>
  <c r="I34" i="14668"/>
  <c r="L33" i="14668"/>
  <c r="L38" i="14668"/>
  <c r="F33" i="14668"/>
  <c r="K35" i="14668"/>
  <c r="B39" i="14668"/>
  <c r="D35" i="14668"/>
  <c r="H32" i="14668"/>
  <c r="C38" i="14668"/>
  <c r="D39" i="14668"/>
  <c r="F37" i="14668"/>
  <c r="K32" i="14668"/>
  <c r="B35" i="14668"/>
  <c r="K39" i="14668"/>
  <c r="K33" i="14668"/>
  <c r="I39" i="14668"/>
  <c r="B34" i="14668"/>
  <c r="J36" i="14668"/>
  <c r="B32" i="14668"/>
  <c r="B36" i="14668"/>
  <c r="R26" i="14678" a="1"/>
  <c r="R26" i="14678" s="1"/>
  <c r="Q25" i="14678" a="1"/>
  <c r="Q25" i="14678" s="1"/>
  <c r="M21" i="14678" a="1"/>
  <c r="M21" i="14678" s="1"/>
  <c r="L15" i="14678"/>
  <c r="P24" i="14678" a="1"/>
  <c r="P24" i="14678" s="1"/>
  <c r="O23" i="14678" a="1"/>
  <c r="O23" i="14678" s="1"/>
  <c r="L20" i="14678" a="1"/>
  <c r="L20" i="14678" s="1"/>
  <c r="N22" i="14678" a="1"/>
  <c r="N22" i="14678" s="1"/>
  <c r="N14" i="14678"/>
  <c r="K39" i="14674"/>
  <c r="K19" i="14674" a="1"/>
  <c r="K19" i="14674" s="1"/>
  <c r="D39" i="14674"/>
  <c r="D19" i="14674" a="1"/>
  <c r="D19" i="14674" s="1"/>
  <c r="O36" i="14674"/>
  <c r="K25" i="14669"/>
  <c r="K45" i="14681" s="1"/>
  <c r="I25" i="14669"/>
  <c r="I45" i="14681" s="1"/>
  <c r="P26" i="14678" a="1"/>
  <c r="P26" i="14678" s="1"/>
  <c r="J15" i="14678"/>
  <c r="J20" i="14678" a="1"/>
  <c r="J20" i="14678" s="1"/>
  <c r="K21" i="14678" a="1"/>
  <c r="K21" i="14678" s="1"/>
  <c r="L22" i="14678" a="1"/>
  <c r="L22" i="14678" s="1"/>
  <c r="O25" i="14678" a="1"/>
  <c r="O25" i="14678" s="1"/>
  <c r="N24" i="14678" a="1"/>
  <c r="N24" i="14678" s="1"/>
  <c r="M23" i="14678" a="1"/>
  <c r="M23" i="14678" s="1"/>
  <c r="N9" i="14678"/>
  <c r="N7" i="14678"/>
  <c r="B15" i="14678"/>
  <c r="G25" i="14678" a="1"/>
  <c r="G25" i="14678" s="1"/>
  <c r="C21" i="14678" a="1"/>
  <c r="C21" i="14678" s="1"/>
  <c r="H26" i="14678" a="1"/>
  <c r="H26" i="14678" s="1"/>
  <c r="E23" i="14678" a="1"/>
  <c r="E23" i="14678" s="1"/>
  <c r="B20" i="14678" a="1"/>
  <c r="B20" i="14678" s="1"/>
  <c r="B27" i="14678" s="1"/>
  <c r="B28" i="14678" s="1"/>
  <c r="D22" i="14678" a="1"/>
  <c r="D22" i="14678" s="1"/>
  <c r="F24" i="14678" a="1"/>
  <c r="F24" i="14678" s="1"/>
  <c r="O33" i="14674"/>
  <c r="F39" i="14674"/>
  <c r="F19" i="14674" a="1"/>
  <c r="F19" i="14674" s="1"/>
  <c r="N18" i="14669"/>
  <c r="L25" i="14669"/>
  <c r="L45" i="14681" s="1"/>
  <c r="G39" i="14674"/>
  <c r="G19" i="14674" a="1"/>
  <c r="G19" i="14674" s="1"/>
  <c r="L19" i="14674" a="1"/>
  <c r="L19" i="14674" s="1"/>
  <c r="L39" i="14674"/>
  <c r="J19" i="14674" a="1"/>
  <c r="J19" i="14674" s="1"/>
  <c r="J39" i="14674"/>
  <c r="O35" i="14674"/>
  <c r="G25" i="14669"/>
  <c r="G45" i="14681" s="1"/>
  <c r="N11" i="14678"/>
  <c r="O34" i="14674"/>
  <c r="O31" i="14674"/>
  <c r="C19" i="14674" a="1"/>
  <c r="C19" i="14674" s="1"/>
  <c r="C39" i="14674"/>
  <c r="C25" i="14669"/>
  <c r="C45" i="14681" s="1"/>
  <c r="N17" i="14669"/>
  <c r="B7" i="14679" a="1"/>
  <c r="C31" i="14675" a="1"/>
  <c r="B25" i="14669"/>
  <c r="N19" i="14669"/>
  <c r="F20" i="14678" a="1"/>
  <c r="F20" i="14678" s="1"/>
  <c r="I23" i="14678" a="1"/>
  <c r="I23" i="14678" s="1"/>
  <c r="F15" i="14678"/>
  <c r="J24" i="14678" a="1"/>
  <c r="J24" i="14678" s="1"/>
  <c r="H22" i="14678" a="1"/>
  <c r="H22" i="14678" s="1"/>
  <c r="K25" i="14678" a="1"/>
  <c r="K25" i="14678" s="1"/>
  <c r="G21" i="14678" a="1"/>
  <c r="G21" i="14678" s="1"/>
  <c r="L26" i="14678" a="1"/>
  <c r="L26" i="14678" s="1"/>
  <c r="S26" i="14678" a="1"/>
  <c r="S26" i="14678" s="1"/>
  <c r="M20" i="14678" a="1"/>
  <c r="M20" i="14678" s="1"/>
  <c r="O22" i="14678" a="1"/>
  <c r="O22" i="14678" s="1"/>
  <c r="N21" i="14678" a="1"/>
  <c r="N21" i="14678" s="1"/>
  <c r="R25" i="14678" a="1"/>
  <c r="R25" i="14678" s="1"/>
  <c r="P23" i="14678" a="1"/>
  <c r="P23" i="14678" s="1"/>
  <c r="Q24" i="14678" a="1"/>
  <c r="Q24" i="14678" s="1"/>
  <c r="M15" i="14678"/>
  <c r="N13" i="14678"/>
  <c r="M19" i="14674" a="1"/>
  <c r="M19" i="14674" s="1"/>
  <c r="M39" i="14674"/>
  <c r="J26" i="14678" a="1"/>
  <c r="J26" i="14678" s="1"/>
  <c r="F22" i="14678" a="1"/>
  <c r="F22" i="14678" s="1"/>
  <c r="I25" i="14678" a="1"/>
  <c r="I25" i="14678" s="1"/>
  <c r="H24" i="14678" a="1"/>
  <c r="H24" i="14678" s="1"/>
  <c r="D15" i="14678"/>
  <c r="G23" i="14678" a="1"/>
  <c r="G23" i="14678" s="1"/>
  <c r="D20" i="14678" a="1"/>
  <c r="D20" i="14678" s="1"/>
  <c r="E21" i="14678" a="1"/>
  <c r="E21" i="14678" s="1"/>
  <c r="Q26" i="14678" a="1"/>
  <c r="Q26" i="14678" s="1"/>
  <c r="L21" i="14678" a="1"/>
  <c r="L21" i="14678" s="1"/>
  <c r="P25" i="14678" a="1"/>
  <c r="P25" i="14678" s="1"/>
  <c r="O24" i="14678" a="1"/>
  <c r="O24" i="14678" s="1"/>
  <c r="N23" i="14678" a="1"/>
  <c r="N23" i="14678" s="1"/>
  <c r="K20" i="14678" a="1"/>
  <c r="K20" i="14678" s="1"/>
  <c r="M22" i="14678" a="1"/>
  <c r="M22" i="14678" s="1"/>
  <c r="K15" i="14678"/>
  <c r="G24" i="14678" a="1"/>
  <c r="G24" i="14678" s="1"/>
  <c r="C20" i="14678" a="1"/>
  <c r="C20" i="14678" s="1"/>
  <c r="H25" i="14678" a="1"/>
  <c r="H25" i="14678" s="1"/>
  <c r="E22" i="14678" a="1"/>
  <c r="E22" i="14678" s="1"/>
  <c r="I26" i="14678" a="1"/>
  <c r="I26" i="14678" s="1"/>
  <c r="C15" i="14678"/>
  <c r="F23" i="14678" a="1"/>
  <c r="F23" i="14678" s="1"/>
  <c r="D21" i="14678" a="1"/>
  <c r="D21" i="14678" s="1"/>
  <c r="I21" i="14678" a="1"/>
  <c r="I21" i="14678" s="1"/>
  <c r="J22" i="14678" a="1"/>
  <c r="J22" i="14678" s="1"/>
  <c r="H15" i="14678"/>
  <c r="N26" i="14678" a="1"/>
  <c r="N26" i="14678" s="1"/>
  <c r="L24" i="14678" a="1"/>
  <c r="L24" i="14678" s="1"/>
  <c r="K23" i="14678" a="1"/>
  <c r="K23" i="14678" s="1"/>
  <c r="H20" i="14678" a="1"/>
  <c r="H20" i="14678" s="1"/>
  <c r="M25" i="14678" a="1"/>
  <c r="M25" i="14678" s="1"/>
  <c r="N21" i="14669"/>
  <c r="N24" i="14669"/>
  <c r="N52" i="14624"/>
  <c r="G60" i="14624"/>
  <c r="O37" i="14674"/>
  <c r="M25" i="14669"/>
  <c r="M45" i="14681" s="1"/>
  <c r="N10" i="14678"/>
  <c r="K24" i="14678" a="1"/>
  <c r="K24" i="14678" s="1"/>
  <c r="J23" i="14678" a="1"/>
  <c r="J23" i="14678" s="1"/>
  <c r="H21" i="14678" a="1"/>
  <c r="H21" i="14678" s="1"/>
  <c r="G15" i="14678"/>
  <c r="I22" i="14678" a="1"/>
  <c r="I22" i="14678" s="1"/>
  <c r="L25" i="14678" a="1"/>
  <c r="L25" i="14678" s="1"/>
  <c r="G20" i="14678" a="1"/>
  <c r="G20" i="14678" s="1"/>
  <c r="M26" i="14678" a="1"/>
  <c r="M26" i="14678" s="1"/>
  <c r="O32" i="14674"/>
  <c r="N39" i="14674"/>
  <c r="N19" i="14674" a="1"/>
  <c r="N19" i="14674" s="1"/>
  <c r="D25" i="14669"/>
  <c r="D45" i="14681" s="1"/>
  <c r="H25" i="14669"/>
  <c r="H45" i="14681" s="1"/>
  <c r="E60" i="14624"/>
  <c r="B55" i="14624"/>
  <c r="H60" i="14624"/>
  <c r="J55" i="14624"/>
  <c r="B60" i="14624"/>
  <c r="J60" i="14624"/>
  <c r="C55" i="14624"/>
  <c r="D55" i="14624"/>
  <c r="L55" i="14624"/>
  <c r="N54" i="14624"/>
  <c r="K55" i="14624"/>
  <c r="L60" i="14624"/>
  <c r="C60" i="14624"/>
  <c r="K60" i="14624"/>
  <c r="H55" i="14624"/>
  <c r="N53" i="14624"/>
  <c r="N249" i="14702"/>
  <c r="P175" i="14702" a="1"/>
  <c r="P177" i="14702" s="1"/>
  <c r="D196" i="14704"/>
  <c r="D49" i="14683"/>
  <c r="D51" i="14683"/>
  <c r="D52" i="14683"/>
  <c r="D55" i="14683"/>
  <c r="D50" i="14683"/>
  <c r="D54" i="14683"/>
  <c r="D53" i="14683"/>
  <c r="D56" i="14683"/>
  <c r="D57" i="14683"/>
  <c r="G13" i="14690"/>
  <c r="E67" i="14690" s="1" a="1"/>
  <c r="T7" i="14657"/>
  <c r="S7" i="14657"/>
  <c r="U7" i="14657"/>
  <c r="V7" i="14657"/>
  <c r="R7" i="14657"/>
  <c r="J34" i="14706"/>
  <c r="L35" i="14706"/>
  <c r="L29" i="14710"/>
  <c r="E29" i="14710"/>
  <c r="G29" i="14710"/>
  <c r="H29" i="14710"/>
  <c r="I29" i="14710"/>
  <c r="K29" i="14710"/>
  <c r="J29" i="14710"/>
  <c r="M29" i="14710"/>
  <c r="B29" i="14710"/>
  <c r="D29" i="14710"/>
  <c r="C29" i="14710"/>
  <c r="F29" i="14710"/>
  <c r="L20" i="14710"/>
  <c r="I20" i="14710"/>
  <c r="G20" i="14710"/>
  <c r="F20" i="14710"/>
  <c r="M20" i="14710"/>
  <c r="K20" i="14710"/>
  <c r="H20" i="14710"/>
  <c r="B20" i="14710"/>
  <c r="J20" i="14710"/>
  <c r="E20" i="14710"/>
  <c r="C20" i="14710"/>
  <c r="D20" i="14710"/>
  <c r="E13" i="14690"/>
  <c r="M47" i="14710"/>
  <c r="H47" i="14710"/>
  <c r="G47" i="14710"/>
  <c r="J47" i="14710"/>
  <c r="B47" i="14710"/>
  <c r="I47" i="14710"/>
  <c r="D47" i="14710"/>
  <c r="L47" i="14710"/>
  <c r="C47" i="14710"/>
  <c r="K47" i="14710"/>
  <c r="F47" i="14710"/>
  <c r="E47" i="14710"/>
  <c r="L38" i="14710"/>
  <c r="B38" i="14710"/>
  <c r="M38" i="14710"/>
  <c r="F38" i="14710"/>
  <c r="C38" i="14710"/>
  <c r="H38" i="14710"/>
  <c r="K38" i="14710"/>
  <c r="G38" i="14710"/>
  <c r="E38" i="14710"/>
  <c r="J38" i="14710"/>
  <c r="I38" i="14710"/>
  <c r="D38" i="14710"/>
  <c r="F13" i="14690"/>
  <c r="B5" i="14710"/>
  <c r="D5" i="14710"/>
  <c r="C5" i="14710"/>
  <c r="F5" i="14710"/>
  <c r="E5" i="14710"/>
  <c r="J32" i="14667"/>
  <c r="L33" i="14667"/>
  <c r="L11" i="14710"/>
  <c r="C11" i="14710"/>
  <c r="I11" i="14710"/>
  <c r="F11" i="14710"/>
  <c r="K11" i="14710"/>
  <c r="M11" i="14710"/>
  <c r="H11" i="14710"/>
  <c r="J11" i="14710"/>
  <c r="G11" i="14710"/>
  <c r="B11" i="14710"/>
  <c r="E11" i="14710"/>
  <c r="D11" i="14710"/>
  <c r="O8" i="14634"/>
  <c r="O166" i="14702"/>
  <c r="N30" i="14710"/>
  <c r="X196" i="14704"/>
  <c r="S84" i="14702"/>
  <c r="L212" i="14702"/>
  <c r="R244" i="14702"/>
  <c r="X84" i="14702"/>
  <c r="M113" i="14702"/>
  <c r="J155" i="14702"/>
  <c r="E121" i="14702"/>
  <c r="S149" i="14702"/>
  <c r="N206" i="14702"/>
  <c r="P134" i="14702"/>
  <c r="H54" i="14703"/>
  <c r="U112" i="14702"/>
  <c r="L190" i="14702"/>
  <c r="E158" i="14702"/>
  <c r="T183" i="14702"/>
  <c r="N49" i="14703"/>
  <c r="N53" i="14703"/>
  <c r="N47" i="14703"/>
  <c r="B64" i="14703" a="1"/>
  <c r="L64" i="14703" s="1"/>
  <c r="N230" i="14702"/>
  <c r="M191" i="14702"/>
  <c r="X142" i="14704"/>
  <c r="Q226" i="14702"/>
  <c r="G54" i="14703"/>
  <c r="O225" i="14702"/>
  <c r="L226" i="14702"/>
  <c r="Q242" i="14702"/>
  <c r="H119" i="14702"/>
  <c r="P118" i="14702"/>
  <c r="S111" i="14702"/>
  <c r="P193" i="14702" a="1"/>
  <c r="P193" i="14702" s="1"/>
  <c r="M249" i="14702"/>
  <c r="K157" i="14702"/>
  <c r="Q191" i="14702"/>
  <c r="U204" i="14702"/>
  <c r="J135" i="14702"/>
  <c r="X75" i="14702"/>
  <c r="N51" i="14703"/>
  <c r="I227" i="14702"/>
  <c r="L175" i="14702"/>
  <c r="S188" i="14702"/>
  <c r="L207" i="14702"/>
  <c r="H211" i="14702"/>
  <c r="L132" i="14702"/>
  <c r="Q82" i="14702"/>
  <c r="O228" i="14702"/>
  <c r="L248" i="14702"/>
  <c r="I121" i="14702"/>
  <c r="N148" i="14702"/>
  <c r="M190" i="14702"/>
  <c r="R189" i="14702"/>
  <c r="P149" i="14702"/>
  <c r="L158" i="14702"/>
  <c r="S171" i="14702"/>
  <c r="R166" i="14702"/>
  <c r="Y183" i="14702"/>
  <c r="I193" i="14702"/>
  <c r="K206" i="14702"/>
  <c r="R201" i="14702"/>
  <c r="I138" i="14702"/>
  <c r="Q84" i="14702"/>
  <c r="W178" i="14704"/>
  <c r="J54" i="14703"/>
  <c r="B54" i="14703"/>
  <c r="N50" i="14703"/>
  <c r="J98" i="14704" a="1"/>
  <c r="J98" i="14704" s="1"/>
  <c r="Q81" i="14701" a="1"/>
  <c r="Q83" i="14701" s="1"/>
  <c r="L225" i="14702"/>
  <c r="O221" i="14702"/>
  <c r="G226" i="14702"/>
  <c r="N244" i="14702"/>
  <c r="O239" i="14702"/>
  <c r="T242" i="14702"/>
  <c r="O242" i="14702"/>
  <c r="O118" i="14702"/>
  <c r="F156" i="14702"/>
  <c r="Q186" i="14702"/>
  <c r="R204" i="14702"/>
  <c r="S135" i="14702"/>
  <c r="W77" i="14702"/>
  <c r="P205" i="14702"/>
  <c r="Q96" i="14704" a="1"/>
  <c r="Q96" i="14704" s="1"/>
  <c r="I54" i="14703"/>
  <c r="R119" i="14702" a="1"/>
  <c r="R120" i="14702" s="1"/>
  <c r="B65" i="14703" a="1"/>
  <c r="D65" i="14703" s="1"/>
  <c r="L222" i="14702"/>
  <c r="N222" i="14702"/>
  <c r="L115" i="14702"/>
  <c r="K115" i="14702"/>
  <c r="U237" i="14702"/>
  <c r="O237" i="14702"/>
  <c r="U77" i="14702"/>
  <c r="U84" i="14702"/>
  <c r="N159" i="14702"/>
  <c r="B160" i="14704"/>
  <c r="N111" i="14702"/>
  <c r="R111" i="14702"/>
  <c r="U111" i="14702"/>
  <c r="I153" i="14702"/>
  <c r="J153" i="14702"/>
  <c r="N147" i="14702"/>
  <c r="R147" i="14702"/>
  <c r="N174" i="14702"/>
  <c r="M174" i="14702"/>
  <c r="R172" i="14702"/>
  <c r="K172" i="14702"/>
  <c r="L210" i="14702"/>
  <c r="J210" i="14702"/>
  <c r="O136" i="14702"/>
  <c r="L136" i="14702"/>
  <c r="L139" i="14702"/>
  <c r="K139" i="14702"/>
  <c r="O168" i="14702"/>
  <c r="K168" i="14702"/>
  <c r="P203" i="14702"/>
  <c r="U203" i="14702"/>
  <c r="O83" i="14702"/>
  <c r="O84" i="14702"/>
  <c r="T96" i="14704" a="1"/>
  <c r="T96" i="14704" s="1"/>
  <c r="D102" i="14704" a="1"/>
  <c r="D102" i="14704" s="1"/>
  <c r="M184" i="14702"/>
  <c r="N184" i="14702"/>
  <c r="V202" i="14702"/>
  <c r="U202" i="14702"/>
  <c r="S150" i="14702"/>
  <c r="V150" i="14702"/>
  <c r="V165" i="14702"/>
  <c r="P165" i="14702"/>
  <c r="N208" i="14702"/>
  <c r="Q208" i="14702"/>
  <c r="I191" i="14702"/>
  <c r="K191" i="14702"/>
  <c r="L191" i="14702"/>
  <c r="O191" i="14702"/>
  <c r="H191" i="14702"/>
  <c r="G191" i="14702"/>
  <c r="X82" i="14702"/>
  <c r="X80" i="14702"/>
  <c r="X83" i="14702"/>
  <c r="X74" i="14702"/>
  <c r="X78" i="14702"/>
  <c r="Q135" i="14702"/>
  <c r="M135" i="14702"/>
  <c r="O135" i="14702"/>
  <c r="L135" i="14702"/>
  <c r="I135" i="14702"/>
  <c r="P135" i="14702"/>
  <c r="N46" i="14703"/>
  <c r="M204" i="14702"/>
  <c r="N204" i="14702"/>
  <c r="K204" i="14702"/>
  <c r="O204" i="14702"/>
  <c r="Q204" i="14702"/>
  <c r="V204" i="14702"/>
  <c r="M54" i="14703"/>
  <c r="B66" i="14703" a="1"/>
  <c r="K66" i="14703" s="1"/>
  <c r="D230" i="14702"/>
  <c r="E230" i="14702"/>
  <c r="M225" i="14702"/>
  <c r="R221" i="14702"/>
  <c r="T221" i="14702"/>
  <c r="J226" i="14702"/>
  <c r="K226" i="14702"/>
  <c r="R226" i="14702"/>
  <c r="Q244" i="14702"/>
  <c r="V239" i="14702"/>
  <c r="M239" i="14702"/>
  <c r="P242" i="14702"/>
  <c r="J242" i="14702"/>
  <c r="K242" i="14702"/>
  <c r="G119" i="14702"/>
  <c r="J119" i="14702"/>
  <c r="I118" i="14702"/>
  <c r="X111" i="14702"/>
  <c r="O111" i="14702"/>
  <c r="U80" i="14702"/>
  <c r="Q153" i="14702"/>
  <c r="O172" i="14702"/>
  <c r="N140" i="14702"/>
  <c r="F229" i="14702"/>
  <c r="O156" i="14702"/>
  <c r="L150" i="14702"/>
  <c r="N165" i="14702"/>
  <c r="P191" i="14702"/>
  <c r="N191" i="14702"/>
  <c r="F191" i="14702"/>
  <c r="O184" i="14702"/>
  <c r="S186" i="14702"/>
  <c r="P204" i="14702"/>
  <c r="T204" i="14702"/>
  <c r="L204" i="14702"/>
  <c r="G212" i="14702"/>
  <c r="R135" i="14702"/>
  <c r="N135" i="14702"/>
  <c r="H135" i="14702"/>
  <c r="X81" i="14702"/>
  <c r="X79" i="14702"/>
  <c r="X77" i="14702"/>
  <c r="V78" i="14702"/>
  <c r="Q232" i="14704"/>
  <c r="Q192" i="14702" a="1"/>
  <c r="Q194" i="14702" s="1"/>
  <c r="W250" i="14704"/>
  <c r="F214" i="14704"/>
  <c r="J103" i="14704" a="1"/>
  <c r="J103" i="14704" s="1"/>
  <c r="U152" i="14702" a="1"/>
  <c r="U154" i="14702" s="1"/>
  <c r="D124" i="14704"/>
  <c r="F102" i="14704" a="1"/>
  <c r="F102" i="14704" s="1"/>
  <c r="X92" i="14704" a="1"/>
  <c r="X92" i="14704" s="1"/>
  <c r="S142" i="14704"/>
  <c r="E54" i="14703"/>
  <c r="D54" i="14703"/>
  <c r="B62" i="14703" a="1"/>
  <c r="H62" i="14703" s="1"/>
  <c r="B60" i="14703" a="1"/>
  <c r="L60" i="14703" s="1"/>
  <c r="B59" i="14703" a="1"/>
  <c r="K59" i="14703" s="1"/>
  <c r="B61" i="14703" a="1"/>
  <c r="B61" i="14703" s="1"/>
  <c r="K54" i="14703"/>
  <c r="F54" i="14703"/>
  <c r="L54" i="14703"/>
  <c r="D160" i="14704"/>
  <c r="U91" i="14704" a="1"/>
  <c r="U91" i="14704" s="1"/>
  <c r="L227" i="14702"/>
  <c r="Q227" i="14702"/>
  <c r="K245" i="14702"/>
  <c r="M121" i="14702"/>
  <c r="N112" i="14702"/>
  <c r="X112" i="14702"/>
  <c r="T113" i="14702"/>
  <c r="L113" i="14702"/>
  <c r="J154" i="14702"/>
  <c r="R190" i="14702"/>
  <c r="S189" i="14702"/>
  <c r="F194" i="14702"/>
  <c r="T188" i="14702"/>
  <c r="E211" i="14702"/>
  <c r="M151" i="14702"/>
  <c r="L171" i="14702"/>
  <c r="H193" i="14702"/>
  <c r="U132" i="14702"/>
  <c r="O134" i="14702"/>
  <c r="Q81" i="14702"/>
  <c r="C196" i="14704"/>
  <c r="T130" i="14702"/>
  <c r="W232" i="14704"/>
  <c r="X250" i="14704"/>
  <c r="W196" i="14704"/>
  <c r="B231" i="14702"/>
  <c r="B232" i="14702" s="1"/>
  <c r="U222" i="14702"/>
  <c r="S237" i="14702"/>
  <c r="S238" i="14702"/>
  <c r="M115" i="14702"/>
  <c r="B85" i="14702"/>
  <c r="T169" i="14702"/>
  <c r="I195" i="14702"/>
  <c r="R187" i="14702"/>
  <c r="J40" i="14704"/>
  <c r="J99" i="14704" a="1"/>
  <c r="J99" i="14704" s="1"/>
  <c r="F232" i="14704"/>
  <c r="B63" i="14703" a="1"/>
  <c r="K63" i="14703" s="1"/>
  <c r="X74" i="14701" a="1"/>
  <c r="X76" i="14701" s="1"/>
  <c r="N92" i="14704" a="1"/>
  <c r="N92" i="14704" s="1"/>
  <c r="E40" i="14704"/>
  <c r="N39" i="14704"/>
  <c r="W93" i="14704" a="1"/>
  <c r="W93" i="14704" s="1"/>
  <c r="N52" i="14703"/>
  <c r="B32" i="14702"/>
  <c r="I35" i="14702"/>
  <c r="F123" i="14702"/>
  <c r="H123" i="14702"/>
  <c r="U240" i="14702"/>
  <c r="L240" i="14702"/>
  <c r="Y74" i="14702"/>
  <c r="Y80" i="14702"/>
  <c r="Y76" i="14702"/>
  <c r="Y79" i="14702"/>
  <c r="T152" i="14702"/>
  <c r="P152" i="14702"/>
  <c r="Q167" i="14702"/>
  <c r="M167" i="14702"/>
  <c r="V185" i="14702"/>
  <c r="L185" i="14702"/>
  <c r="T185" i="14702"/>
  <c r="N129" i="14702"/>
  <c r="X129" i="14702"/>
  <c r="P129" i="14702"/>
  <c r="R209" i="14702" a="1"/>
  <c r="R213" i="14702" s="1"/>
  <c r="R93" i="14704" a="1"/>
  <c r="R93" i="14704" s="1"/>
  <c r="E100" i="14704" a="1"/>
  <c r="E100" i="14704" s="1"/>
  <c r="B124" i="14704"/>
  <c r="N123" i="14702"/>
  <c r="I173" i="14702"/>
  <c r="H173" i="14702"/>
  <c r="H158" i="14702"/>
  <c r="M158" i="14702"/>
  <c r="K158" i="14702"/>
  <c r="C158" i="14702"/>
  <c r="O158" i="14701" s="1"/>
  <c r="G158" i="14702"/>
  <c r="D158" i="14702"/>
  <c r="Q171" i="14702"/>
  <c r="J171" i="14702"/>
  <c r="M171" i="14702"/>
  <c r="R171" i="14702"/>
  <c r="P171" i="14702"/>
  <c r="H171" i="14702"/>
  <c r="S183" i="14702"/>
  <c r="V183" i="14702"/>
  <c r="X183" i="14702"/>
  <c r="R183" i="14702"/>
  <c r="W183" i="14702"/>
  <c r="Q183" i="14702"/>
  <c r="I206" i="14702"/>
  <c r="P206" i="14702"/>
  <c r="O206" i="14702"/>
  <c r="Q206" i="14702"/>
  <c r="L206" i="14702"/>
  <c r="T206" i="14702"/>
  <c r="T134" i="14702"/>
  <c r="J134" i="14702"/>
  <c r="I134" i="14702"/>
  <c r="S134" i="14702"/>
  <c r="Q134" i="14702"/>
  <c r="K134" i="14702"/>
  <c r="O193" i="14702"/>
  <c r="E193" i="14702"/>
  <c r="N193" i="14702"/>
  <c r="D193" i="14702"/>
  <c r="K193" i="14702"/>
  <c r="L193" i="14702"/>
  <c r="O132" i="14702"/>
  <c r="P132" i="14702"/>
  <c r="R132" i="14702"/>
  <c r="T132" i="14702"/>
  <c r="Q132" i="14702"/>
  <c r="K132" i="14702"/>
  <c r="N166" i="14702"/>
  <c r="W166" i="14702"/>
  <c r="M166" i="14702"/>
  <c r="U166" i="14702"/>
  <c r="T166" i="14702"/>
  <c r="S166" i="14702"/>
  <c r="W149" i="14702"/>
  <c r="M149" i="14702"/>
  <c r="Q149" i="14702"/>
  <c r="U149" i="14702"/>
  <c r="R149" i="14702"/>
  <c r="N149" i="14702"/>
  <c r="N48" i="14703"/>
  <c r="C54" i="14703"/>
  <c r="H227" i="14702"/>
  <c r="O227" i="14702"/>
  <c r="P227" i="14702"/>
  <c r="S223" i="14702"/>
  <c r="H246" i="14702"/>
  <c r="L121" i="14702"/>
  <c r="K121" i="14702"/>
  <c r="F121" i="14702"/>
  <c r="N116" i="14702"/>
  <c r="O112" i="14702"/>
  <c r="R112" i="14702"/>
  <c r="P112" i="14702"/>
  <c r="V113" i="14702"/>
  <c r="Q113" i="14702"/>
  <c r="O113" i="14702"/>
  <c r="L96" i="14704" a="1"/>
  <c r="L96" i="14704" s="1"/>
  <c r="M93" i="14704" a="1"/>
  <c r="M93" i="14704" s="1"/>
  <c r="C250" i="14704"/>
  <c r="I159" i="14702"/>
  <c r="O154" i="14702"/>
  <c r="N190" i="14702"/>
  <c r="K190" i="14702"/>
  <c r="G190" i="14702"/>
  <c r="M189" i="14702"/>
  <c r="G194" i="14702"/>
  <c r="L194" i="14702"/>
  <c r="I188" i="14702"/>
  <c r="M207" i="14702"/>
  <c r="S207" i="14702"/>
  <c r="L211" i="14702"/>
  <c r="Y81" i="14702"/>
  <c r="Y83" i="14702"/>
  <c r="N151" i="14702"/>
  <c r="V149" i="14702"/>
  <c r="O149" i="14702"/>
  <c r="L149" i="14702"/>
  <c r="F158" i="14702"/>
  <c r="J158" i="14702"/>
  <c r="N158" i="14702"/>
  <c r="O152" i="14702"/>
  <c r="N171" i="14702"/>
  <c r="I171" i="14702"/>
  <c r="K171" i="14702"/>
  <c r="V166" i="14702"/>
  <c r="X166" i="14702"/>
  <c r="Q166" i="14702"/>
  <c r="P183" i="14702"/>
  <c r="O183" i="14702"/>
  <c r="N183" i="14702"/>
  <c r="G193" i="14702"/>
  <c r="F193" i="14702"/>
  <c r="J193" i="14702"/>
  <c r="R206" i="14702"/>
  <c r="M206" i="14702"/>
  <c r="J206" i="14702"/>
  <c r="W201" i="14702"/>
  <c r="W129" i="14702"/>
  <c r="S132" i="14702"/>
  <c r="M132" i="14702"/>
  <c r="N132" i="14702"/>
  <c r="O138" i="14702"/>
  <c r="L134" i="14702"/>
  <c r="R134" i="14702"/>
  <c r="N134" i="14702"/>
  <c r="J133" i="14702"/>
  <c r="D214" i="14704"/>
  <c r="T214" i="14704"/>
  <c r="Q250" i="14704"/>
  <c r="V178" i="14704"/>
  <c r="K99" i="14704" a="1"/>
  <c r="K99" i="14704" s="1"/>
  <c r="B87" i="14704"/>
  <c r="S136" i="14702" a="1"/>
  <c r="S140" i="14702" s="1"/>
  <c r="G100" i="14704" a="1"/>
  <c r="G100" i="14704" s="1"/>
  <c r="O94" i="14704" a="1"/>
  <c r="O94" i="14704" s="1"/>
  <c r="T94" i="14704" a="1"/>
  <c r="T94" i="14704" s="1"/>
  <c r="M192" i="14702"/>
  <c r="N192" i="14702"/>
  <c r="G213" i="14702"/>
  <c r="H213" i="14702"/>
  <c r="K137" i="14702"/>
  <c r="Q137" i="14702"/>
  <c r="H177" i="14702"/>
  <c r="J177" i="14702"/>
  <c r="N209" i="14702"/>
  <c r="K209" i="14702"/>
  <c r="B141" i="14702"/>
  <c r="N141" i="14701" s="1"/>
  <c r="N142" i="14701" s="1"/>
  <c r="C141" i="14702"/>
  <c r="O141" i="14701" s="1"/>
  <c r="T131" i="14702"/>
  <c r="P131" i="14702"/>
  <c r="B196" i="14704"/>
  <c r="N195" i="14702"/>
  <c r="T184" i="14702"/>
  <c r="Q184" i="14702"/>
  <c r="V184" i="14702"/>
  <c r="W184" i="14702"/>
  <c r="R184" i="14702"/>
  <c r="S184" i="14702"/>
  <c r="W202" i="14702"/>
  <c r="Q202" i="14702"/>
  <c r="N202" i="14702"/>
  <c r="X202" i="14702"/>
  <c r="P202" i="14702"/>
  <c r="S202" i="14702"/>
  <c r="W78" i="14702"/>
  <c r="W80" i="14702"/>
  <c r="W83" i="14702"/>
  <c r="W82" i="14702"/>
  <c r="W76" i="14702"/>
  <c r="E156" i="14702"/>
  <c r="J156" i="14702"/>
  <c r="L156" i="14702"/>
  <c r="P156" i="14702"/>
  <c r="G156" i="14702"/>
  <c r="K156" i="14702"/>
  <c r="P150" i="14702"/>
  <c r="K150" i="14702"/>
  <c r="Q150" i="14702"/>
  <c r="M150" i="14702"/>
  <c r="O150" i="14702"/>
  <c r="R150" i="14702"/>
  <c r="R165" i="14702"/>
  <c r="U165" i="14702"/>
  <c r="W165" i="14702"/>
  <c r="Q165" i="14702"/>
  <c r="X165" i="14702"/>
  <c r="Y165" i="14702"/>
  <c r="R186" i="14702"/>
  <c r="M186" i="14702"/>
  <c r="K186" i="14702"/>
  <c r="U186" i="14702"/>
  <c r="V186" i="14702"/>
  <c r="N186" i="14702"/>
  <c r="P208" i="14702"/>
  <c r="L208" i="14702"/>
  <c r="J208" i="14702"/>
  <c r="R208" i="14702"/>
  <c r="G208" i="14702"/>
  <c r="I208" i="14702"/>
  <c r="V124" i="14704"/>
  <c r="M212" i="14702"/>
  <c r="J212" i="14702"/>
  <c r="H212" i="14702"/>
  <c r="E212" i="14702"/>
  <c r="N212" i="14702"/>
  <c r="K212" i="14702"/>
  <c r="S225" i="14702"/>
  <c r="P225" i="14702"/>
  <c r="Q225" i="14702"/>
  <c r="W221" i="14702"/>
  <c r="N221" i="14702"/>
  <c r="P221" i="14702"/>
  <c r="P244" i="14702"/>
  <c r="H244" i="14702"/>
  <c r="J244" i="14702"/>
  <c r="M119" i="14702"/>
  <c r="L119" i="14702"/>
  <c r="O119" i="14702"/>
  <c r="G118" i="14702"/>
  <c r="H118" i="14702"/>
  <c r="N118" i="14702"/>
  <c r="S79" i="14702"/>
  <c r="S83" i="14702"/>
  <c r="U81" i="14702"/>
  <c r="U79" i="14702"/>
  <c r="R153" i="14702"/>
  <c r="W147" i="14702"/>
  <c r="T168" i="14702"/>
  <c r="I174" i="14702"/>
  <c r="J140" i="14702"/>
  <c r="K231" i="14702"/>
  <c r="I229" i="14702"/>
  <c r="O238" i="14702"/>
  <c r="G249" i="14702"/>
  <c r="M156" i="14702"/>
  <c r="H156" i="14702"/>
  <c r="N156" i="14702"/>
  <c r="U150" i="14702"/>
  <c r="N150" i="14702"/>
  <c r="T150" i="14702"/>
  <c r="L157" i="14702"/>
  <c r="G177" i="14702"/>
  <c r="T165" i="14702"/>
  <c r="S165" i="14702"/>
  <c r="O165" i="14702"/>
  <c r="X184" i="14702"/>
  <c r="P184" i="14702"/>
  <c r="U184" i="14702"/>
  <c r="O186" i="14702"/>
  <c r="L186" i="14702"/>
  <c r="P186" i="14702"/>
  <c r="R202" i="14702"/>
  <c r="M202" i="14702"/>
  <c r="T202" i="14702"/>
  <c r="K208" i="14702"/>
  <c r="H208" i="14702"/>
  <c r="M208" i="14702"/>
  <c r="M209" i="14702"/>
  <c r="D212" i="14702"/>
  <c r="F212" i="14702"/>
  <c r="C212" i="14702"/>
  <c r="O212" i="14701" s="1"/>
  <c r="D141" i="14702"/>
  <c r="N131" i="14702"/>
  <c r="W79" i="14702"/>
  <c r="W84" i="14702"/>
  <c r="W75" i="14702"/>
  <c r="R169" i="14702"/>
  <c r="F195" i="14702"/>
  <c r="O187" i="14702"/>
  <c r="I213" i="14702"/>
  <c r="K205" i="14702"/>
  <c r="R173" i="14702" a="1"/>
  <c r="R175" i="14702" s="1"/>
  <c r="E196" i="14704"/>
  <c r="V205" i="14702" a="1"/>
  <c r="V212" i="14702" s="1"/>
  <c r="X178" i="14704"/>
  <c r="M100" i="14704" a="1"/>
  <c r="M100" i="14704" s="1"/>
  <c r="K98" i="14704" a="1"/>
  <c r="K98" i="14704" s="1"/>
  <c r="E124" i="14704"/>
  <c r="U196" i="14704"/>
  <c r="S95" i="14704" a="1"/>
  <c r="S95" i="14704" s="1"/>
  <c r="I34" i="14683" a="1"/>
  <c r="I38" i="14683" s="1"/>
  <c r="W114" i="14702" a="1"/>
  <c r="W121" i="14702" s="1"/>
  <c r="O83" i="14701" a="1"/>
  <c r="O83" i="14701" s="1"/>
  <c r="T135" i="14702" a="1"/>
  <c r="T138" i="14702" s="1"/>
  <c r="M124" i="14704"/>
  <c r="C232" i="14704"/>
  <c r="R178" i="14704"/>
  <c r="F124" i="14704"/>
  <c r="I97" i="14704" a="1"/>
  <c r="I97" i="14704" s="1"/>
  <c r="O93" i="14704" a="1"/>
  <c r="O93" i="14704" s="1"/>
  <c r="Y91" i="14704" a="1"/>
  <c r="Y91" i="14704" s="1"/>
  <c r="Y104" i="14704" s="1"/>
  <c r="H196" i="14704"/>
  <c r="M176" i="14702"/>
  <c r="L176" i="14702"/>
  <c r="D176" i="14702"/>
  <c r="N133" i="14702"/>
  <c r="L133" i="14702"/>
  <c r="T133" i="14702"/>
  <c r="K133" i="14702"/>
  <c r="S96" i="14704" a="1"/>
  <c r="S96" i="14704" s="1"/>
  <c r="O100" i="14704" a="1"/>
  <c r="O100" i="14704" s="1"/>
  <c r="W160" i="14704"/>
  <c r="K151" i="14702"/>
  <c r="R151" i="14702"/>
  <c r="O151" i="14702"/>
  <c r="U151" i="14702"/>
  <c r="S151" i="14702"/>
  <c r="L151" i="14702"/>
  <c r="N167" i="14702"/>
  <c r="R167" i="14702"/>
  <c r="O167" i="14702"/>
  <c r="L167" i="14702"/>
  <c r="T167" i="14702"/>
  <c r="U167" i="14702"/>
  <c r="Y201" i="14702"/>
  <c r="T201" i="14702"/>
  <c r="V201" i="14702"/>
  <c r="O201" i="14702"/>
  <c r="N201" i="14702"/>
  <c r="U201" i="14702"/>
  <c r="J138" i="14702"/>
  <c r="P138" i="14702"/>
  <c r="G138" i="14702"/>
  <c r="H138" i="14702"/>
  <c r="N138" i="14702"/>
  <c r="E138" i="14702"/>
  <c r="V196" i="14704"/>
  <c r="U142" i="14704"/>
  <c r="J101" i="14704" a="1"/>
  <c r="J101" i="14704" s="1"/>
  <c r="J95" i="14704" a="1"/>
  <c r="J95" i="14704" s="1"/>
  <c r="I103" i="14704" a="1"/>
  <c r="I103" i="14704" s="1"/>
  <c r="R94" i="14704" a="1"/>
  <c r="R94" i="14704" s="1"/>
  <c r="I98" i="14704" a="1"/>
  <c r="I98" i="14704" s="1"/>
  <c r="P91" i="14704" a="1"/>
  <c r="P91" i="14704" s="1"/>
  <c r="N96" i="14704" a="1"/>
  <c r="N96" i="14704" s="1"/>
  <c r="S91" i="14704" a="1"/>
  <c r="S91" i="14704" s="1"/>
  <c r="N196" i="14704"/>
  <c r="K173" i="14702"/>
  <c r="M173" i="14702"/>
  <c r="N173" i="14702"/>
  <c r="Q173" i="14702"/>
  <c r="G173" i="14702"/>
  <c r="P173" i="14702"/>
  <c r="F227" i="14702"/>
  <c r="M227" i="14702"/>
  <c r="K227" i="14702"/>
  <c r="N227" i="14702"/>
  <c r="G227" i="14702"/>
  <c r="L223" i="14702"/>
  <c r="K228" i="14702"/>
  <c r="I228" i="14702"/>
  <c r="F248" i="14702"/>
  <c r="E246" i="14702"/>
  <c r="P246" i="14702"/>
  <c r="N121" i="14702"/>
  <c r="G121" i="14702"/>
  <c r="D121" i="14702"/>
  <c r="H121" i="14702"/>
  <c r="J121" i="14702"/>
  <c r="Q116" i="14702"/>
  <c r="W112" i="14702"/>
  <c r="V112" i="14702"/>
  <c r="T112" i="14702"/>
  <c r="Q112" i="14702"/>
  <c r="M112" i="14702"/>
  <c r="P113" i="14702"/>
  <c r="U113" i="14702"/>
  <c r="R113" i="14702"/>
  <c r="S113" i="14702"/>
  <c r="W113" i="14702"/>
  <c r="O114" i="14702"/>
  <c r="K102" i="14704" a="1"/>
  <c r="K102" i="14704" s="1"/>
  <c r="U92" i="14704" a="1"/>
  <c r="U92" i="14704" s="1"/>
  <c r="P97" i="14704" a="1"/>
  <c r="P97" i="14704" s="1"/>
  <c r="N102" i="14704" a="1"/>
  <c r="N102" i="14704" s="1"/>
  <c r="Q99" i="14704" a="1"/>
  <c r="Q99" i="14704" s="1"/>
  <c r="M40" i="14704"/>
  <c r="M95" i="14704" a="1"/>
  <c r="M95" i="14704" s="1"/>
  <c r="N94" i="14704" a="1"/>
  <c r="N94" i="14704" s="1"/>
  <c r="O91" i="14704" a="1"/>
  <c r="O91" i="14704" s="1"/>
  <c r="H98" i="14704" a="1"/>
  <c r="H98" i="14704" s="1"/>
  <c r="K95" i="14704" a="1"/>
  <c r="K95" i="14704" s="1"/>
  <c r="D232" i="14704"/>
  <c r="D159" i="14702"/>
  <c r="K159" i="14702"/>
  <c r="M154" i="14702"/>
  <c r="P155" i="14702"/>
  <c r="Q155" i="14702"/>
  <c r="X148" i="14702"/>
  <c r="U148" i="14702"/>
  <c r="F175" i="14702"/>
  <c r="G175" i="14702"/>
  <c r="Q190" i="14702"/>
  <c r="I190" i="14702"/>
  <c r="O190" i="14702"/>
  <c r="H190" i="14702"/>
  <c r="P190" i="14702"/>
  <c r="H189" i="14702"/>
  <c r="N189" i="14702"/>
  <c r="K189" i="14702"/>
  <c r="E194" i="14702"/>
  <c r="D194" i="14702"/>
  <c r="M194" i="14702"/>
  <c r="Q188" i="14702"/>
  <c r="L188" i="14702"/>
  <c r="J188" i="14702"/>
  <c r="P207" i="14702"/>
  <c r="O207" i="14702"/>
  <c r="R207" i="14702"/>
  <c r="G211" i="14702"/>
  <c r="F211" i="14702"/>
  <c r="O211" i="14702"/>
  <c r="Y84" i="14702"/>
  <c r="Y75" i="14702"/>
  <c r="Y78" i="14702"/>
  <c r="Y77" i="14702"/>
  <c r="Y82" i="14702"/>
  <c r="T224" i="14702"/>
  <c r="Q92" i="14704" a="1"/>
  <c r="Q92" i="14704" s="1"/>
  <c r="G98" i="14704" a="1"/>
  <c r="G98" i="14704" s="1"/>
  <c r="E102" i="14704" a="1"/>
  <c r="E102" i="14704" s="1"/>
  <c r="T92" i="14704" a="1"/>
  <c r="T92" i="14704" s="1"/>
  <c r="L40" i="14704"/>
  <c r="R92" i="14704" a="1"/>
  <c r="R92" i="14704" s="1"/>
  <c r="O96" i="14704" a="1"/>
  <c r="O96" i="14704" s="1"/>
  <c r="N141" i="14702"/>
  <c r="B178" i="14704"/>
  <c r="J151" i="14702"/>
  <c r="Q151" i="14702"/>
  <c r="T151" i="14702"/>
  <c r="L152" i="14702"/>
  <c r="K152" i="14702"/>
  <c r="O173" i="14702"/>
  <c r="J173" i="14702"/>
  <c r="F173" i="14702"/>
  <c r="P167" i="14702"/>
  <c r="S167" i="14702"/>
  <c r="W167" i="14702"/>
  <c r="M185" i="14702"/>
  <c r="N185" i="14702"/>
  <c r="X201" i="14702"/>
  <c r="Q201" i="14702"/>
  <c r="S201" i="14702"/>
  <c r="Q129" i="14702"/>
  <c r="U129" i="14702"/>
  <c r="K138" i="14702"/>
  <c r="M138" i="14702"/>
  <c r="L138" i="14702"/>
  <c r="E214" i="14704"/>
  <c r="V130" i="14702"/>
  <c r="O133" i="14702"/>
  <c r="W130" i="14702"/>
  <c r="R130" i="14702"/>
  <c r="O130" i="14702"/>
  <c r="P130" i="14702"/>
  <c r="S152" i="14702"/>
  <c r="R152" i="14702"/>
  <c r="M152" i="14702"/>
  <c r="J152" i="14702"/>
  <c r="N152" i="14702"/>
  <c r="Q152" i="14702"/>
  <c r="O185" i="14702"/>
  <c r="W185" i="14702"/>
  <c r="S185" i="14702"/>
  <c r="P185" i="14702"/>
  <c r="R185" i="14702"/>
  <c r="Q185" i="14702"/>
  <c r="R129" i="14702"/>
  <c r="V129" i="14702"/>
  <c r="Y129" i="14702"/>
  <c r="S129" i="14702"/>
  <c r="O129" i="14702"/>
  <c r="T129" i="14702"/>
  <c r="Q97" i="14704" a="1"/>
  <c r="Q97" i="14704" s="1"/>
  <c r="W91" i="14704" a="1"/>
  <c r="W91" i="14704" s="1"/>
  <c r="T124" i="14704"/>
  <c r="H142" i="14704"/>
  <c r="C142" i="14704"/>
  <c r="Q214" i="14704"/>
  <c r="C85" i="14702"/>
  <c r="V142" i="14704"/>
  <c r="Y166" i="14702" a="1"/>
  <c r="Y173" i="14702" s="1"/>
  <c r="W168" i="14702" a="1"/>
  <c r="W170" i="14702" s="1"/>
  <c r="L142" i="14704"/>
  <c r="I142" i="14704"/>
  <c r="T117" i="14702" a="1"/>
  <c r="T117" i="14702" s="1"/>
  <c r="N232" i="14704"/>
  <c r="V250" i="14704"/>
  <c r="F160" i="14704"/>
  <c r="S172" i="14702" a="1"/>
  <c r="S172" i="14702" s="1"/>
  <c r="I196" i="14704"/>
  <c r="Y238" i="14702" a="1"/>
  <c r="Y243" i="14702" s="1"/>
  <c r="W222" i="14702" a="1"/>
  <c r="W222" i="14702" s="1"/>
  <c r="N170" i="14702"/>
  <c r="T170" i="14702"/>
  <c r="Q170" i="14702"/>
  <c r="Q223" i="14702"/>
  <c r="H228" i="14702"/>
  <c r="J228" i="14702"/>
  <c r="G228" i="14702"/>
  <c r="E248" i="14702"/>
  <c r="J246" i="14702"/>
  <c r="I246" i="14702"/>
  <c r="L246" i="14702"/>
  <c r="G245" i="14702"/>
  <c r="O245" i="14702"/>
  <c r="R116" i="14702"/>
  <c r="U114" i="14702"/>
  <c r="T114" i="14702"/>
  <c r="H124" i="14704"/>
  <c r="U134" i="14702" a="1"/>
  <c r="U139" i="14702" s="1"/>
  <c r="B159" i="14702"/>
  <c r="B160" i="14702" s="1"/>
  <c r="F159" i="14702"/>
  <c r="J159" i="14702"/>
  <c r="I154" i="14702"/>
  <c r="G154" i="14702"/>
  <c r="H154" i="14702"/>
  <c r="K155" i="14702"/>
  <c r="I155" i="14702"/>
  <c r="O155" i="14702"/>
  <c r="R148" i="14702"/>
  <c r="T148" i="14702"/>
  <c r="Q148" i="14702"/>
  <c r="J175" i="14702"/>
  <c r="D175" i="14702"/>
  <c r="M175" i="14702"/>
  <c r="D178" i="14704"/>
  <c r="N220" i="14702"/>
  <c r="E178" i="14704"/>
  <c r="I176" i="14702"/>
  <c r="K176" i="14702"/>
  <c r="C176" i="14702"/>
  <c r="O176" i="14701" s="1"/>
  <c r="K170" i="14702"/>
  <c r="I170" i="14702"/>
  <c r="R170" i="14702"/>
  <c r="V76" i="14701" a="1"/>
  <c r="V76" i="14701" s="1"/>
  <c r="X239" i="14702" a="1"/>
  <c r="X247" i="14702" s="1"/>
  <c r="S244" i="14702" a="1"/>
  <c r="S247" i="14702" s="1"/>
  <c r="Q160" i="14704"/>
  <c r="S232" i="14704"/>
  <c r="S178" i="14704"/>
  <c r="R227" i="14702" a="1"/>
  <c r="R231" i="14702" s="1"/>
  <c r="W142" i="14704"/>
  <c r="P121" i="14702" a="1"/>
  <c r="P122" i="14702" s="1"/>
  <c r="P157" i="14702" a="1"/>
  <c r="P157" i="14702" s="1"/>
  <c r="I85" i="14702"/>
  <c r="R155" i="14702" a="1"/>
  <c r="R156" i="14702" s="1"/>
  <c r="H160" i="14704"/>
  <c r="I250" i="14704"/>
  <c r="X149" i="14702" a="1"/>
  <c r="X152" i="14702" s="1"/>
  <c r="Q178" i="14704"/>
  <c r="G178" i="14704"/>
  <c r="T243" i="14702" a="1"/>
  <c r="T247" i="14702" s="1"/>
  <c r="U124" i="14704"/>
  <c r="W132" i="14702" a="1"/>
  <c r="W132" i="14702" s="1"/>
  <c r="M142" i="14704"/>
  <c r="N34" i="14704"/>
  <c r="Q138" i="14702" a="1"/>
  <c r="Q138" i="14702" s="1"/>
  <c r="E250" i="14704"/>
  <c r="F142" i="14704"/>
  <c r="T178" i="14704"/>
  <c r="P178" i="14704"/>
  <c r="S118" i="14702" a="1"/>
  <c r="S118" i="14702" s="1"/>
  <c r="V133" i="14702" a="1"/>
  <c r="V140" i="14702" s="1"/>
  <c r="N37" i="14704"/>
  <c r="U95" i="14704" a="1"/>
  <c r="U95" i="14704" s="1"/>
  <c r="N36" i="14704"/>
  <c r="N35" i="14704"/>
  <c r="T93" i="14704" a="1"/>
  <c r="T93" i="14704" s="1"/>
  <c r="K97" i="14704" a="1"/>
  <c r="K97" i="14704" s="1"/>
  <c r="E85" i="14702"/>
  <c r="M229" i="14702"/>
  <c r="D229" i="14702"/>
  <c r="E229" i="14702"/>
  <c r="H229" i="14702"/>
  <c r="N229" i="14702"/>
  <c r="O229" i="14702"/>
  <c r="T222" i="14702"/>
  <c r="V222" i="14702"/>
  <c r="K222" i="14702"/>
  <c r="P222" i="14702"/>
  <c r="M222" i="14702"/>
  <c r="S222" i="14702"/>
  <c r="F231" i="14702"/>
  <c r="G231" i="14702"/>
  <c r="H231" i="14702"/>
  <c r="I231" i="14702"/>
  <c r="D231" i="14702"/>
  <c r="J231" i="14702"/>
  <c r="Q115" i="14702"/>
  <c r="R115" i="14702"/>
  <c r="J115" i="14702"/>
  <c r="S115" i="14702"/>
  <c r="O115" i="14702"/>
  <c r="N115" i="14702"/>
  <c r="J249" i="14702"/>
  <c r="D249" i="14702"/>
  <c r="F249" i="14702"/>
  <c r="C249" i="14702"/>
  <c r="O249" i="14701" s="1"/>
  <c r="B249" i="14702"/>
  <c r="B250" i="14702" s="1"/>
  <c r="L249" i="14702"/>
  <c r="X238" i="14702"/>
  <c r="Q238" i="14702"/>
  <c r="W238" i="14702"/>
  <c r="U238" i="14702"/>
  <c r="T238" i="14702"/>
  <c r="N238" i="14702"/>
  <c r="R237" i="14702"/>
  <c r="V237" i="14702"/>
  <c r="P237" i="14702"/>
  <c r="W237" i="14702"/>
  <c r="X237" i="14702"/>
  <c r="T237" i="14702"/>
  <c r="R80" i="14702"/>
  <c r="R82" i="14702"/>
  <c r="R84" i="14702"/>
  <c r="G196" i="14704"/>
  <c r="S190" i="14702" a="1"/>
  <c r="S192" i="14702" s="1"/>
  <c r="U206" i="14702" a="1"/>
  <c r="U211" i="14702" s="1"/>
  <c r="P211" i="14702" a="1"/>
  <c r="P211" i="14702" s="1"/>
  <c r="O250" i="14704"/>
  <c r="O153" i="14702"/>
  <c r="L153" i="14702"/>
  <c r="N153" i="14702"/>
  <c r="S153" i="14702"/>
  <c r="X147" i="14702"/>
  <c r="S147" i="14702"/>
  <c r="O147" i="14702"/>
  <c r="V147" i="14702"/>
  <c r="Q147" i="14702"/>
  <c r="Y147" i="14702"/>
  <c r="J169" i="14702"/>
  <c r="U169" i="14702"/>
  <c r="Q169" i="14702"/>
  <c r="L169" i="14702"/>
  <c r="S169" i="14702"/>
  <c r="O169" i="14702"/>
  <c r="L174" i="14702"/>
  <c r="H174" i="14702"/>
  <c r="K174" i="14702"/>
  <c r="P174" i="14702"/>
  <c r="E174" i="14702"/>
  <c r="J174" i="14702"/>
  <c r="J172" i="14702"/>
  <c r="L172" i="14702"/>
  <c r="H172" i="14702"/>
  <c r="M172" i="14702"/>
  <c r="I172" i="14702"/>
  <c r="Q172" i="14702"/>
  <c r="H195" i="14702"/>
  <c r="L195" i="14702"/>
  <c r="K195" i="14702"/>
  <c r="J195" i="14702"/>
  <c r="M195" i="14702"/>
  <c r="G195" i="14702"/>
  <c r="E192" i="14702"/>
  <c r="L192" i="14702"/>
  <c r="F192" i="14702"/>
  <c r="P192" i="14702"/>
  <c r="J192" i="14702"/>
  <c r="G192" i="14702"/>
  <c r="T187" i="14702"/>
  <c r="M187" i="14702"/>
  <c r="N187" i="14702"/>
  <c r="J187" i="14702"/>
  <c r="S187" i="14702"/>
  <c r="K187" i="14702"/>
  <c r="C213" i="14702"/>
  <c r="F213" i="14702"/>
  <c r="D213" i="14702"/>
  <c r="J213" i="14702"/>
  <c r="K213" i="14702"/>
  <c r="M213" i="14702"/>
  <c r="M210" i="14702"/>
  <c r="G210" i="14702"/>
  <c r="E210" i="14702"/>
  <c r="O210" i="14702"/>
  <c r="N210" i="14702"/>
  <c r="I210" i="14702"/>
  <c r="O205" i="14702"/>
  <c r="N205" i="14702"/>
  <c r="L205" i="14702"/>
  <c r="R205" i="14702"/>
  <c r="J205" i="14702"/>
  <c r="T205" i="14702"/>
  <c r="O137" i="14702"/>
  <c r="M137" i="14702"/>
  <c r="H137" i="14702"/>
  <c r="L137" i="14702"/>
  <c r="P137" i="14702"/>
  <c r="I137" i="14702"/>
  <c r="I136" i="14702"/>
  <c r="Q136" i="14702"/>
  <c r="N136" i="14702"/>
  <c r="J136" i="14702"/>
  <c r="G136" i="14702"/>
  <c r="R136" i="14702"/>
  <c r="E140" i="14702"/>
  <c r="C140" i="14702"/>
  <c r="O140" i="14701" s="1"/>
  <c r="D140" i="14702"/>
  <c r="L140" i="14702"/>
  <c r="M140" i="14702"/>
  <c r="F140" i="14702"/>
  <c r="I139" i="14702"/>
  <c r="O139" i="14702"/>
  <c r="N139" i="14702"/>
  <c r="D139" i="14702"/>
  <c r="H139" i="14702"/>
  <c r="E139" i="14702"/>
  <c r="W214" i="14704"/>
  <c r="V168" i="14702"/>
  <c r="N168" i="14702"/>
  <c r="P168" i="14702"/>
  <c r="L168" i="14702"/>
  <c r="R168" i="14702"/>
  <c r="Q168" i="14702"/>
  <c r="V203" i="14702"/>
  <c r="M203" i="14702"/>
  <c r="T203" i="14702"/>
  <c r="W203" i="14702"/>
  <c r="Q203" i="14702"/>
  <c r="R203" i="14702"/>
  <c r="V80" i="14702"/>
  <c r="V77" i="14702"/>
  <c r="V83" i="14702"/>
  <c r="V76" i="14702"/>
  <c r="V81" i="14702"/>
  <c r="J214" i="14704"/>
  <c r="O97" i="14704" a="1"/>
  <c r="O97" i="14704" s="1"/>
  <c r="S93" i="14704" a="1"/>
  <c r="S93" i="14704" s="1"/>
  <c r="Q95" i="14704" a="1"/>
  <c r="Q95" i="14704" s="1"/>
  <c r="J102" i="14704" a="1"/>
  <c r="J102" i="14704" s="1"/>
  <c r="M99" i="14704" a="1"/>
  <c r="M99" i="14704" s="1"/>
  <c r="K101" i="14704" a="1"/>
  <c r="K101" i="14704" s="1"/>
  <c r="N98" i="14704" a="1"/>
  <c r="N98" i="14704" s="1"/>
  <c r="P94" i="14704" a="1"/>
  <c r="P94" i="14704" s="1"/>
  <c r="L98" i="14704" a="1"/>
  <c r="L98" i="14704" s="1"/>
  <c r="I101" i="14704" a="1"/>
  <c r="I101" i="14704" s="1"/>
  <c r="G103" i="14704" a="1"/>
  <c r="G103" i="14704" s="1"/>
  <c r="Q93" i="14704" a="1"/>
  <c r="Q93" i="14704" s="1"/>
  <c r="O95" i="14704" a="1"/>
  <c r="O95" i="14704" s="1"/>
  <c r="J100" i="14704" a="1"/>
  <c r="J100" i="14704" s="1"/>
  <c r="N32" i="14704"/>
  <c r="N38" i="14704"/>
  <c r="U188" i="14702" a="1"/>
  <c r="U192" i="14702" s="1"/>
  <c r="T196" i="14704"/>
  <c r="D157" i="14702"/>
  <c r="G157" i="14702"/>
  <c r="M157" i="14702"/>
  <c r="J157" i="14702"/>
  <c r="O157" i="14702"/>
  <c r="F157" i="14702"/>
  <c r="I177" i="14702"/>
  <c r="L177" i="14702"/>
  <c r="D177" i="14702"/>
  <c r="K177" i="14702"/>
  <c r="E177" i="14702"/>
  <c r="M177" i="14702"/>
  <c r="F209" i="14702"/>
  <c r="P209" i="14702"/>
  <c r="Q209" i="14702"/>
  <c r="J209" i="14702"/>
  <c r="H209" i="14702"/>
  <c r="O209" i="14702"/>
  <c r="G141" i="14702"/>
  <c r="E141" i="14702"/>
  <c r="H141" i="14702"/>
  <c r="L141" i="14702"/>
  <c r="I141" i="14702"/>
  <c r="F141" i="14702"/>
  <c r="M131" i="14702"/>
  <c r="R131" i="14702"/>
  <c r="V131" i="14702"/>
  <c r="Q131" i="14702"/>
  <c r="L131" i="14702"/>
  <c r="W131" i="14702"/>
  <c r="G214" i="14704"/>
  <c r="W204" i="14702" a="1"/>
  <c r="W210" i="14702" s="1"/>
  <c r="X131" i="14702" a="1"/>
  <c r="X132" i="14702" s="1"/>
  <c r="G142" i="14704"/>
  <c r="D250" i="14704"/>
  <c r="W150" i="14702" a="1"/>
  <c r="W157" i="14702" s="1"/>
  <c r="I178" i="14704"/>
  <c r="Q120" i="14702" a="1"/>
  <c r="Q122" i="14702" s="1"/>
  <c r="F101" i="14704" a="1"/>
  <c r="F101" i="14704" s="1"/>
  <c r="O92" i="14704" a="1"/>
  <c r="O92" i="14704" s="1"/>
  <c r="J97" i="14704" a="1"/>
  <c r="J97" i="14704" s="1"/>
  <c r="M94" i="14704" a="1"/>
  <c r="M94" i="14704" s="1"/>
  <c r="K96" i="14704" a="1"/>
  <c r="K96" i="14704" s="1"/>
  <c r="H99" i="14704" a="1"/>
  <c r="H99" i="14704" s="1"/>
  <c r="D40" i="14704"/>
  <c r="N95" i="14704" a="1"/>
  <c r="N95" i="14704" s="1"/>
  <c r="G102" i="14704" a="1"/>
  <c r="G102" i="14704" s="1"/>
  <c r="H101" i="14704" a="1"/>
  <c r="H101" i="14704" s="1"/>
  <c r="F103" i="14704" a="1"/>
  <c r="F103" i="14704" s="1"/>
  <c r="R91" i="14704" a="1"/>
  <c r="R91" i="14704" s="1"/>
  <c r="P93" i="14704" a="1"/>
  <c r="P93" i="14704" s="1"/>
  <c r="L97" i="14704" a="1"/>
  <c r="L97" i="14704" s="1"/>
  <c r="L103" i="14704" a="1"/>
  <c r="L103" i="14704" s="1"/>
  <c r="V93" i="14704" a="1"/>
  <c r="V93" i="14704" s="1"/>
  <c r="X91" i="14704" a="1"/>
  <c r="X91" i="14704" s="1"/>
  <c r="M102" i="14704" a="1"/>
  <c r="M102" i="14704" s="1"/>
  <c r="T95" i="14704" a="1"/>
  <c r="T95" i="14704" s="1"/>
  <c r="N101" i="14704" a="1"/>
  <c r="N101" i="14704" s="1"/>
  <c r="R97" i="14704" a="1"/>
  <c r="R97" i="14704" s="1"/>
  <c r="R96" i="14704" a="1"/>
  <c r="R96" i="14704" s="1"/>
  <c r="P98" i="14704" a="1"/>
  <c r="P98" i="14704" s="1"/>
  <c r="K103" i="14704" a="1"/>
  <c r="K103" i="14704" s="1"/>
  <c r="O99" i="14704" a="1"/>
  <c r="O99" i="14704" s="1"/>
  <c r="M101" i="14704" a="1"/>
  <c r="M101" i="14704" s="1"/>
  <c r="L102" i="14704" a="1"/>
  <c r="L102" i="14704" s="1"/>
  <c r="V92" i="14704" a="1"/>
  <c r="V92" i="14704" s="1"/>
  <c r="I96" i="14704" a="1"/>
  <c r="I96" i="14704" s="1"/>
  <c r="F99" i="14704" a="1"/>
  <c r="F99" i="14704" s="1"/>
  <c r="B103" i="14704" a="1"/>
  <c r="B103" i="14704" s="1"/>
  <c r="N103" i="14702" s="1"/>
  <c r="H97" i="14704" a="1"/>
  <c r="H97" i="14704" s="1"/>
  <c r="D101" i="14704" a="1"/>
  <c r="D101" i="14704" s="1"/>
  <c r="C102" i="14704" a="1"/>
  <c r="C102" i="14704" s="1"/>
  <c r="O102" i="14702" s="1"/>
  <c r="L93" i="14704" a="1"/>
  <c r="L93" i="14704" s="1"/>
  <c r="M98" i="14704" a="1"/>
  <c r="M98" i="14704" s="1"/>
  <c r="H40" i="14704"/>
  <c r="K100" i="14704" a="1"/>
  <c r="K100" i="14704" s="1"/>
  <c r="N97" i="14704" a="1"/>
  <c r="N97" i="14704" s="1"/>
  <c r="H103" i="14704" a="1"/>
  <c r="H103" i="14704" s="1"/>
  <c r="S92" i="14704" a="1"/>
  <c r="S92" i="14704" s="1"/>
  <c r="Q94" i="14704" a="1"/>
  <c r="Q94" i="14704" s="1"/>
  <c r="O123" i="14702"/>
  <c r="C124" i="14704"/>
  <c r="H225" i="14702"/>
  <c r="J225" i="14702"/>
  <c r="I225" i="14702"/>
  <c r="K225" i="14702"/>
  <c r="N225" i="14702"/>
  <c r="E228" i="14702"/>
  <c r="N228" i="14702"/>
  <c r="M228" i="14702"/>
  <c r="F228" i="14702"/>
  <c r="P228" i="14702"/>
  <c r="S221" i="14702"/>
  <c r="L221" i="14702"/>
  <c r="Q221" i="14702"/>
  <c r="V221" i="14702"/>
  <c r="M221" i="14702"/>
  <c r="P226" i="14702"/>
  <c r="I226" i="14702"/>
  <c r="N226" i="14702"/>
  <c r="H226" i="14702"/>
  <c r="M226" i="14702"/>
  <c r="G244" i="14702"/>
  <c r="I244" i="14702"/>
  <c r="M244" i="14702"/>
  <c r="O244" i="14702"/>
  <c r="L244" i="14702"/>
  <c r="N242" i="14702"/>
  <c r="S242" i="14702"/>
  <c r="I242" i="14702"/>
  <c r="L242" i="14702"/>
  <c r="R242" i="14702"/>
  <c r="K246" i="14702"/>
  <c r="G246" i="14702"/>
  <c r="F246" i="14702"/>
  <c r="O246" i="14702"/>
  <c r="M246" i="14702"/>
  <c r="F119" i="14702"/>
  <c r="P119" i="14702"/>
  <c r="I119" i="14702"/>
  <c r="Q119" i="14702"/>
  <c r="N119" i="14702"/>
  <c r="R118" i="14702"/>
  <c r="L118" i="14702"/>
  <c r="J118" i="14702"/>
  <c r="K118" i="14702"/>
  <c r="M118" i="14702"/>
  <c r="Y111" i="14702"/>
  <c r="Q111" i="14702"/>
  <c r="W111" i="14702"/>
  <c r="T111" i="14702"/>
  <c r="P111" i="14702"/>
  <c r="S82" i="14702"/>
  <c r="S80" i="14702"/>
  <c r="V91" i="14704" a="1"/>
  <c r="V91" i="14704" s="1"/>
  <c r="S94" i="14704" a="1"/>
  <c r="S94" i="14704" s="1"/>
  <c r="R95" i="14704" a="1"/>
  <c r="R95" i="14704" s="1"/>
  <c r="O98" i="14704" a="1"/>
  <c r="O98" i="14704" s="1"/>
  <c r="N99" i="14704" a="1"/>
  <c r="N99" i="14704" s="1"/>
  <c r="L101" i="14704" a="1"/>
  <c r="L101" i="14704" s="1"/>
  <c r="S97" i="14704" a="1"/>
  <c r="S97" i="14704" s="1"/>
  <c r="V94" i="14704" a="1"/>
  <c r="V94" i="14704" s="1"/>
  <c r="P100" i="14704" a="1"/>
  <c r="P100" i="14704" s="1"/>
  <c r="M103" i="14704" a="1"/>
  <c r="M103" i="14704" s="1"/>
  <c r="O101" i="14704" a="1"/>
  <c r="O101" i="14704" s="1"/>
  <c r="R98" i="14704" a="1"/>
  <c r="R98" i="14704" s="1"/>
  <c r="P92" i="14704" a="1"/>
  <c r="P92" i="14704" s="1"/>
  <c r="E103" i="14704" a="1"/>
  <c r="E103" i="14704" s="1"/>
  <c r="H100" i="14704" a="1"/>
  <c r="H100" i="14704" s="1"/>
  <c r="I99" i="14704" a="1"/>
  <c r="I99" i="14704" s="1"/>
  <c r="Q91" i="14704" a="1"/>
  <c r="Q91" i="14704" s="1"/>
  <c r="G101" i="14704" a="1"/>
  <c r="G101" i="14704" s="1"/>
  <c r="C103" i="14704" a="1"/>
  <c r="C103" i="14704" s="1"/>
  <c r="O103" i="14702" s="1"/>
  <c r="C40" i="14704"/>
  <c r="F100" i="14704" a="1"/>
  <c r="F100" i="14704" s="1"/>
  <c r="E101" i="14704" a="1"/>
  <c r="E101" i="14704" s="1"/>
  <c r="G99" i="14704" a="1"/>
  <c r="G99" i="14704" s="1"/>
  <c r="J96" i="14704" a="1"/>
  <c r="J96" i="14704" s="1"/>
  <c r="L94" i="14704" a="1"/>
  <c r="L94" i="14704" s="1"/>
  <c r="U82" i="14702"/>
  <c r="U78" i="14702"/>
  <c r="U83" i="14702"/>
  <c r="P153" i="14702"/>
  <c r="K153" i="14702"/>
  <c r="H153" i="14702"/>
  <c r="M153" i="14702"/>
  <c r="P147" i="14702"/>
  <c r="T147" i="14702"/>
  <c r="U147" i="14702"/>
  <c r="M168" i="14702"/>
  <c r="U168" i="14702"/>
  <c r="S168" i="14702"/>
  <c r="O174" i="14702"/>
  <c r="G174" i="14702"/>
  <c r="F174" i="14702"/>
  <c r="P172" i="14702"/>
  <c r="N172" i="14702"/>
  <c r="G172" i="14702"/>
  <c r="L203" i="14702"/>
  <c r="O203" i="14702"/>
  <c r="S203" i="14702"/>
  <c r="K210" i="14702"/>
  <c r="P210" i="14702"/>
  <c r="H210" i="14702"/>
  <c r="K136" i="14702"/>
  <c r="P136" i="14702"/>
  <c r="H136" i="14702"/>
  <c r="H140" i="14702"/>
  <c r="K140" i="14702"/>
  <c r="I140" i="14702"/>
  <c r="J139" i="14702"/>
  <c r="G139" i="14702"/>
  <c r="M139" i="14702"/>
  <c r="B232" i="14704"/>
  <c r="C178" i="14704"/>
  <c r="M231" i="14702"/>
  <c r="C231" i="14702"/>
  <c r="O231" i="14701" s="1"/>
  <c r="L231" i="14702"/>
  <c r="R222" i="14702"/>
  <c r="O222" i="14702"/>
  <c r="Q222" i="14702"/>
  <c r="K229" i="14702"/>
  <c r="J229" i="14702"/>
  <c r="L229" i="14702"/>
  <c r="Q237" i="14702"/>
  <c r="Y237" i="14702"/>
  <c r="N237" i="14702"/>
  <c r="R238" i="14702"/>
  <c r="P238" i="14702"/>
  <c r="M238" i="14702"/>
  <c r="E249" i="14702"/>
  <c r="K249" i="14702"/>
  <c r="I249" i="14702"/>
  <c r="T115" i="14702"/>
  <c r="U115" i="14702"/>
  <c r="P115" i="14702"/>
  <c r="R83" i="14702"/>
  <c r="N33" i="14704"/>
  <c r="M96" i="14704" a="1"/>
  <c r="M96" i="14704" s="1"/>
  <c r="F40" i="14704"/>
  <c r="I100" i="14704" a="1"/>
  <c r="I100" i="14704" s="1"/>
  <c r="K94" i="14704" a="1"/>
  <c r="K94" i="14704" s="1"/>
  <c r="B40" i="14704"/>
  <c r="N91" i="14704" a="1"/>
  <c r="N91" i="14704" s="1"/>
  <c r="M92" i="14704" a="1"/>
  <c r="M92" i="14704" s="1"/>
  <c r="D103" i="14704" a="1"/>
  <c r="D103" i="14704" s="1"/>
  <c r="L95" i="14704" a="1"/>
  <c r="L95" i="14704" s="1"/>
  <c r="N93" i="14704" a="1"/>
  <c r="N93" i="14704" s="1"/>
  <c r="L100" i="14704" a="1"/>
  <c r="L100" i="14704" s="1"/>
  <c r="I40" i="14704"/>
  <c r="P96" i="14704" a="1"/>
  <c r="P96" i="14704" s="1"/>
  <c r="W92" i="14704" a="1"/>
  <c r="W92" i="14704" s="1"/>
  <c r="U94" i="14704" a="1"/>
  <c r="U94" i="14704" s="1"/>
  <c r="P99" i="14704" a="1"/>
  <c r="P99" i="14704" s="1"/>
  <c r="Q98" i="14704" a="1"/>
  <c r="Q98" i="14704" s="1"/>
  <c r="G40" i="14704"/>
  <c r="M97" i="14704" a="1"/>
  <c r="M97" i="14704" s="1"/>
  <c r="H102" i="14704" a="1"/>
  <c r="H102" i="14704" s="1"/>
  <c r="T91" i="14704" a="1"/>
  <c r="T91" i="14704" s="1"/>
  <c r="P95" i="14704" a="1"/>
  <c r="P95" i="14704" s="1"/>
  <c r="L99" i="14704" a="1"/>
  <c r="L99" i="14704" s="1"/>
  <c r="I102" i="14704" a="1"/>
  <c r="I102" i="14704" s="1"/>
  <c r="N100" i="14704" a="1"/>
  <c r="N100" i="14704" s="1"/>
  <c r="K40" i="14704"/>
  <c r="U93" i="14704" a="1"/>
  <c r="U93" i="14704" s="1"/>
  <c r="P247" i="14702" a="1"/>
  <c r="U170" i="14702" a="1"/>
  <c r="U175" i="14702" s="1"/>
  <c r="N157" i="14702"/>
  <c r="I157" i="14702"/>
  <c r="E157" i="14702"/>
  <c r="C177" i="14702"/>
  <c r="O177" i="14701" s="1"/>
  <c r="B177" i="14702"/>
  <c r="N177" i="14701" s="1"/>
  <c r="N178" i="14701" s="1"/>
  <c r="F177" i="14702"/>
  <c r="L209" i="14702"/>
  <c r="G209" i="14702"/>
  <c r="I209" i="14702"/>
  <c r="K141" i="14702"/>
  <c r="M141" i="14702"/>
  <c r="J141" i="14702"/>
  <c r="S131" i="14702"/>
  <c r="U131" i="14702"/>
  <c r="O131" i="14702"/>
  <c r="S208" i="14702" a="1"/>
  <c r="S209" i="14702" s="1"/>
  <c r="P169" i="14702"/>
  <c r="K169" i="14702"/>
  <c r="N169" i="14702"/>
  <c r="B195" i="14702"/>
  <c r="N195" i="14701" s="1"/>
  <c r="N196" i="14701" s="1"/>
  <c r="E195" i="14702"/>
  <c r="C195" i="14702"/>
  <c r="O195" i="14701" s="1"/>
  <c r="O192" i="14702"/>
  <c r="I192" i="14702"/>
  <c r="H192" i="14702"/>
  <c r="U187" i="14702"/>
  <c r="Q187" i="14702"/>
  <c r="P187" i="14702"/>
  <c r="B213" i="14702"/>
  <c r="B214" i="14702" s="1"/>
  <c r="L213" i="14702"/>
  <c r="E213" i="14702"/>
  <c r="Q205" i="14702"/>
  <c r="M205" i="14702"/>
  <c r="U205" i="14702"/>
  <c r="J137" i="14702"/>
  <c r="G137" i="14702"/>
  <c r="F137" i="14702"/>
  <c r="G124" i="14704"/>
  <c r="V84" i="14702"/>
  <c r="V79" i="14702"/>
  <c r="R137" i="14702" a="1"/>
  <c r="R138" i="14702" s="1"/>
  <c r="Y73" i="14701" a="1"/>
  <c r="Y81" i="14701" s="1"/>
  <c r="N28" i="14702"/>
  <c r="G13" i="14657" s="1"/>
  <c r="K85" i="14702"/>
  <c r="K250" i="14704"/>
  <c r="S250" i="14704"/>
  <c r="R250" i="14704"/>
  <c r="Q246" i="14702" a="1"/>
  <c r="Q249" i="14702" s="1"/>
  <c r="T250" i="14704"/>
  <c r="Q156" i="14702" a="1"/>
  <c r="Q158" i="14702" s="1"/>
  <c r="S154" i="14702" a="1"/>
  <c r="U160" i="14704"/>
  <c r="V160" i="14704"/>
  <c r="J232" i="14704"/>
  <c r="M232" i="14704"/>
  <c r="H232" i="14704"/>
  <c r="F178" i="14704"/>
  <c r="M178" i="14704"/>
  <c r="L124" i="14704"/>
  <c r="Q124" i="14704"/>
  <c r="S124" i="14704"/>
  <c r="Q142" i="14704"/>
  <c r="R142" i="14704"/>
  <c r="E142" i="14704"/>
  <c r="D142" i="14704"/>
  <c r="J142" i="14704"/>
  <c r="R214" i="14704"/>
  <c r="P214" i="14704"/>
  <c r="I124" i="14704"/>
  <c r="J124" i="14704"/>
  <c r="O124" i="14704"/>
  <c r="F196" i="14704"/>
  <c r="O196" i="14704"/>
  <c r="M196" i="14704"/>
  <c r="X185" i="14702" a="1"/>
  <c r="X187" i="14702" s="1"/>
  <c r="K196" i="14704"/>
  <c r="V232" i="14704"/>
  <c r="P232" i="14704"/>
  <c r="K178" i="14704"/>
  <c r="H178" i="14704"/>
  <c r="L214" i="14704"/>
  <c r="K214" i="14704"/>
  <c r="I160" i="14704"/>
  <c r="L160" i="14704"/>
  <c r="N214" i="14704"/>
  <c r="R196" i="14704"/>
  <c r="P196" i="14704"/>
  <c r="S196" i="14704"/>
  <c r="V241" i="14702" a="1"/>
  <c r="V245" i="14702" s="1"/>
  <c r="O232" i="14704"/>
  <c r="J178" i="14704"/>
  <c r="Y112" i="14702" a="1"/>
  <c r="Y116" i="14702" s="1"/>
  <c r="R124" i="14704"/>
  <c r="Y130" i="14702" a="1"/>
  <c r="Y141" i="14702" s="1"/>
  <c r="K142" i="14704"/>
  <c r="T189" i="14702" a="1"/>
  <c r="T193" i="14702" s="1"/>
  <c r="Q228" i="14702" a="1"/>
  <c r="Q230" i="14702" s="1"/>
  <c r="P160" i="14704"/>
  <c r="U224" i="14702" a="1"/>
  <c r="U227" i="14702" s="1"/>
  <c r="U178" i="14704"/>
  <c r="Q196" i="14704"/>
  <c r="X113" i="14702" a="1"/>
  <c r="X123" i="14702" s="1"/>
  <c r="M214" i="14704"/>
  <c r="P82" i="14701" a="1"/>
  <c r="P83" i="14701" s="1"/>
  <c r="L178" i="14704"/>
  <c r="Y148" i="14702" a="1"/>
  <c r="Y154" i="14702" s="1"/>
  <c r="V214" i="14704"/>
  <c r="G232" i="14704"/>
  <c r="R245" i="14702" a="1"/>
  <c r="R248" i="14702" s="1"/>
  <c r="X221" i="14702" a="1"/>
  <c r="X226" i="14702" s="1"/>
  <c r="N178" i="14704"/>
  <c r="L250" i="14704"/>
  <c r="T160" i="14704"/>
  <c r="N142" i="14704"/>
  <c r="G250" i="14704"/>
  <c r="U242" i="14702" a="1"/>
  <c r="U246" i="14702" s="1"/>
  <c r="P250" i="14704"/>
  <c r="V151" i="14702" a="1"/>
  <c r="V155" i="14702" s="1"/>
  <c r="O178" i="14704"/>
  <c r="J85" i="14702"/>
  <c r="E92" i="14643" a="1"/>
  <c r="E99" i="14643" s="1"/>
  <c r="O214" i="14704"/>
  <c r="I214" i="14704"/>
  <c r="K124" i="14704"/>
  <c r="L196" i="14704"/>
  <c r="J196" i="14704"/>
  <c r="O142" i="14704"/>
  <c r="T142" i="14704"/>
  <c r="P142" i="14704"/>
  <c r="W240" i="14702" a="1"/>
  <c r="W246" i="14702" s="1"/>
  <c r="O158" i="14702"/>
  <c r="V169" i="14702" a="1"/>
  <c r="V174" i="14702" s="1"/>
  <c r="M230" i="14702"/>
  <c r="H230" i="14702"/>
  <c r="I230" i="14702"/>
  <c r="M223" i="14702"/>
  <c r="K223" i="14702"/>
  <c r="J223" i="14702"/>
  <c r="S239" i="14702"/>
  <c r="W239" i="14702"/>
  <c r="L239" i="14702"/>
  <c r="I248" i="14702"/>
  <c r="K248" i="14702"/>
  <c r="C248" i="14702"/>
  <c r="Q245" i="14702"/>
  <c r="N245" i="14702"/>
  <c r="L245" i="14702"/>
  <c r="L116" i="14702"/>
  <c r="K116" i="14702"/>
  <c r="M116" i="14702"/>
  <c r="L114" i="14702"/>
  <c r="N114" i="14702"/>
  <c r="Q114" i="14702"/>
  <c r="P84" i="14702"/>
  <c r="T80" i="14702"/>
  <c r="E160" i="14704"/>
  <c r="T225" i="14702" a="1"/>
  <c r="T231" i="14702" s="1"/>
  <c r="I232" i="14704"/>
  <c r="T171" i="14702" a="1"/>
  <c r="T174" i="14702" s="1"/>
  <c r="M159" i="14702"/>
  <c r="L159" i="14702"/>
  <c r="E159" i="14702"/>
  <c r="G159" i="14702"/>
  <c r="C159" i="14702"/>
  <c r="O159" i="14701" s="1"/>
  <c r="Q154" i="14702"/>
  <c r="N154" i="14702"/>
  <c r="R154" i="14702"/>
  <c r="L154" i="14702"/>
  <c r="P154" i="14702"/>
  <c r="N155" i="14702"/>
  <c r="M155" i="14702"/>
  <c r="H155" i="14702"/>
  <c r="F155" i="14702"/>
  <c r="G155" i="14702"/>
  <c r="P148" i="14702"/>
  <c r="V148" i="14702"/>
  <c r="W148" i="14702"/>
  <c r="M148" i="14702"/>
  <c r="S148" i="14702"/>
  <c r="E175" i="14702"/>
  <c r="O175" i="14702"/>
  <c r="H175" i="14702"/>
  <c r="I175" i="14702"/>
  <c r="N175" i="14702"/>
  <c r="I189" i="14702"/>
  <c r="P189" i="14702"/>
  <c r="O189" i="14702"/>
  <c r="Q189" i="14702"/>
  <c r="L189" i="14702"/>
  <c r="J194" i="14702"/>
  <c r="N194" i="14702"/>
  <c r="C194" i="14702"/>
  <c r="O194" i="14701" s="1"/>
  <c r="K194" i="14702"/>
  <c r="H194" i="14702"/>
  <c r="N188" i="14702"/>
  <c r="K188" i="14702"/>
  <c r="R188" i="14702"/>
  <c r="O188" i="14702"/>
  <c r="P188" i="14702"/>
  <c r="J207" i="14702"/>
  <c r="H207" i="14702"/>
  <c r="N207" i="14702"/>
  <c r="Q207" i="14702"/>
  <c r="I207" i="14702"/>
  <c r="D211" i="14702"/>
  <c r="J211" i="14702"/>
  <c r="M211" i="14702"/>
  <c r="I211" i="14702"/>
  <c r="N211" i="14702"/>
  <c r="J250" i="14704"/>
  <c r="V223" i="14702" a="1"/>
  <c r="V231" i="14702" s="1"/>
  <c r="X219" i="14702"/>
  <c r="P243" i="14702"/>
  <c r="C122" i="14702"/>
  <c r="O122" i="14701" s="1"/>
  <c r="B38" i="14702"/>
  <c r="C37" i="14702"/>
  <c r="T207" i="14702" a="1"/>
  <c r="T207" i="14702" s="1"/>
  <c r="C214" i="14704"/>
  <c r="V115" i="14702" a="1"/>
  <c r="V115" i="14702" s="1"/>
  <c r="Y184" i="14702" a="1"/>
  <c r="Y186" i="14702" s="1"/>
  <c r="E232" i="14704"/>
  <c r="U116" i="14702" a="1"/>
  <c r="U121" i="14702" s="1"/>
  <c r="X203" i="14702" a="1"/>
  <c r="X203" i="14702" s="1"/>
  <c r="F176" i="14702"/>
  <c r="G176" i="14702"/>
  <c r="E176" i="14702"/>
  <c r="H176" i="14702"/>
  <c r="J176" i="14702"/>
  <c r="M170" i="14702"/>
  <c r="O170" i="14702"/>
  <c r="L170" i="14702"/>
  <c r="J170" i="14702"/>
  <c r="S170" i="14702"/>
  <c r="S130" i="14702"/>
  <c r="Q130" i="14702"/>
  <c r="M130" i="14702"/>
  <c r="X130" i="14702"/>
  <c r="N130" i="14702"/>
  <c r="Q133" i="14702"/>
  <c r="U133" i="14702"/>
  <c r="P133" i="14702"/>
  <c r="S133" i="14702"/>
  <c r="R133" i="14702"/>
  <c r="N124" i="14704"/>
  <c r="S214" i="14704"/>
  <c r="P124" i="14704"/>
  <c r="V187" i="14702" a="1"/>
  <c r="V191" i="14702" s="1"/>
  <c r="I224" i="14702"/>
  <c r="W220" i="14702"/>
  <c r="K241" i="14702"/>
  <c r="S243" i="14702"/>
  <c r="G247" i="14702"/>
  <c r="K120" i="14702"/>
  <c r="N117" i="14702"/>
  <c r="G35" i="14702"/>
  <c r="M33" i="14702"/>
  <c r="B39" i="14702"/>
  <c r="Y220" i="14702" a="1"/>
  <c r="Y226" i="14702" s="1"/>
  <c r="P139" i="14702" a="1"/>
  <c r="P139" i="14702" s="1"/>
  <c r="N250" i="14704"/>
  <c r="K160" i="14704"/>
  <c r="Y202" i="14702" a="1"/>
  <c r="Y205" i="14702" s="1"/>
  <c r="D85" i="14702"/>
  <c r="X167" i="14702" a="1"/>
  <c r="X170" i="14702" s="1"/>
  <c r="G160" i="14704"/>
  <c r="L85" i="14702"/>
  <c r="J160" i="14704"/>
  <c r="T153" i="14702" a="1"/>
  <c r="T157" i="14702" s="1"/>
  <c r="M160" i="14704"/>
  <c r="R160" i="14704"/>
  <c r="U214" i="14704"/>
  <c r="R191" i="14702" a="1"/>
  <c r="S226" i="14702" a="1"/>
  <c r="S226" i="14702" s="1"/>
  <c r="H250" i="14704"/>
  <c r="F250" i="14704"/>
  <c r="M250" i="14704"/>
  <c r="O160" i="14704"/>
  <c r="N160" i="14704"/>
  <c r="L232" i="14704"/>
  <c r="T232" i="14704"/>
  <c r="K232" i="14704"/>
  <c r="F230" i="14702"/>
  <c r="G230" i="14702"/>
  <c r="C230" i="14702"/>
  <c r="O230" i="14701" s="1"/>
  <c r="K230" i="14702"/>
  <c r="J230" i="14702"/>
  <c r="O223" i="14702"/>
  <c r="N223" i="14702"/>
  <c r="T223" i="14702"/>
  <c r="P223" i="14702"/>
  <c r="R223" i="14702"/>
  <c r="P239" i="14702"/>
  <c r="U239" i="14702"/>
  <c r="N239" i="14702"/>
  <c r="R239" i="14702"/>
  <c r="Q239" i="14702"/>
  <c r="H248" i="14702"/>
  <c r="G248" i="14702"/>
  <c r="N248" i="14702"/>
  <c r="D248" i="14702"/>
  <c r="J248" i="14702"/>
  <c r="F245" i="14702"/>
  <c r="I245" i="14702"/>
  <c r="H245" i="14702"/>
  <c r="P245" i="14702"/>
  <c r="M245" i="14702"/>
  <c r="I116" i="14702"/>
  <c r="S116" i="14702"/>
  <c r="P116" i="14702"/>
  <c r="O116" i="14702"/>
  <c r="T116" i="14702"/>
  <c r="V114" i="14702"/>
  <c r="M114" i="14702"/>
  <c r="P114" i="14702"/>
  <c r="S114" i="14702"/>
  <c r="K114" i="14702"/>
  <c r="P83" i="14702"/>
  <c r="T81" i="14702"/>
  <c r="P224" i="14702"/>
  <c r="N219" i="14702"/>
  <c r="U219" i="14702"/>
  <c r="S220" i="14702"/>
  <c r="J241" i="14702"/>
  <c r="L241" i="14702"/>
  <c r="J243" i="14702"/>
  <c r="P240" i="14702"/>
  <c r="Q240" i="14702"/>
  <c r="O247" i="14702"/>
  <c r="E122" i="14702"/>
  <c r="M117" i="14702"/>
  <c r="D38" i="14702"/>
  <c r="F35" i="14702"/>
  <c r="M36" i="14702"/>
  <c r="I36" i="14702"/>
  <c r="E32" i="14702"/>
  <c r="J33" i="14702"/>
  <c r="U250" i="14704"/>
  <c r="S160" i="14704"/>
  <c r="R232" i="14704"/>
  <c r="K42" i="14639"/>
  <c r="N42" i="14639"/>
  <c r="E42" i="14639"/>
  <c r="H42" i="14639"/>
  <c r="W186" i="14702" a="1"/>
  <c r="W187" i="14702" s="1"/>
  <c r="O83" i="14700"/>
  <c r="O85" i="14700" s="1"/>
  <c r="U77" i="14701" a="1"/>
  <c r="U78" i="14701" s="1"/>
  <c r="H85" i="14702"/>
  <c r="G85" i="14702"/>
  <c r="W75" i="14701" a="1"/>
  <c r="W78" i="14701" s="1"/>
  <c r="T83" i="14702"/>
  <c r="T82" i="14702"/>
  <c r="S224" i="14702"/>
  <c r="K224" i="14702"/>
  <c r="R224" i="14702"/>
  <c r="T219" i="14702"/>
  <c r="P219" i="14702"/>
  <c r="S219" i="14702"/>
  <c r="V220" i="14702"/>
  <c r="X220" i="14702"/>
  <c r="T220" i="14702"/>
  <c r="P241" i="14702"/>
  <c r="T241" i="14702"/>
  <c r="U241" i="14702"/>
  <c r="O243" i="14702"/>
  <c r="H243" i="14702"/>
  <c r="I243" i="14702"/>
  <c r="R240" i="14702"/>
  <c r="V240" i="14702"/>
  <c r="M240" i="14702"/>
  <c r="L120" i="14702"/>
  <c r="L123" i="14702"/>
  <c r="D39" i="14702"/>
  <c r="M38" i="14702"/>
  <c r="H34" i="14702"/>
  <c r="K33" i="14702"/>
  <c r="G33" i="14702"/>
  <c r="F36" i="14702"/>
  <c r="D32" i="14702"/>
  <c r="K36" i="14702"/>
  <c r="L32" i="14702"/>
  <c r="I34" i="14702"/>
  <c r="H35" i="14702"/>
  <c r="M85" i="14702"/>
  <c r="N85" i="14702"/>
  <c r="T78" i="14701" a="1"/>
  <c r="T84" i="14701" s="1"/>
  <c r="B9" i="14671" a="1"/>
  <c r="B9" i="14671" s="1"/>
  <c r="G38" i="14702"/>
  <c r="L34" i="14702"/>
  <c r="C36" i="14702"/>
  <c r="C34" i="14702"/>
  <c r="I39" i="14702"/>
  <c r="D33" i="14702"/>
  <c r="L33" i="14702"/>
  <c r="H38" i="14702"/>
  <c r="H36" i="14702"/>
  <c r="G39" i="14702"/>
  <c r="K38" i="14702"/>
  <c r="C32" i="14702"/>
  <c r="H33" i="14702"/>
  <c r="E35" i="14702"/>
  <c r="B37" i="14702"/>
  <c r="F32" i="14702"/>
  <c r="G37" i="14702"/>
  <c r="J39" i="14702"/>
  <c r="L36" i="14702"/>
  <c r="B34" i="14702"/>
  <c r="K37" i="14702"/>
  <c r="L38" i="14702"/>
  <c r="L37" i="14702"/>
  <c r="I32" i="14702"/>
  <c r="J35" i="14702"/>
  <c r="M39" i="14702"/>
  <c r="D36" i="14702"/>
  <c r="H32" i="14702"/>
  <c r="J38" i="14702"/>
  <c r="B36" i="14702"/>
  <c r="F34" i="14702"/>
  <c r="K32" i="14702"/>
  <c r="M35" i="14702"/>
  <c r="M37" i="14702"/>
  <c r="D34" i="14702"/>
  <c r="K34" i="14702"/>
  <c r="J36" i="14702"/>
  <c r="E34" i="14702"/>
  <c r="L35" i="14702"/>
  <c r="K39" i="14702"/>
  <c r="I33" i="14702"/>
  <c r="F33" i="14702"/>
  <c r="M34" i="14702"/>
  <c r="B33" i="14702"/>
  <c r="C39" i="14702"/>
  <c r="H37" i="14702"/>
  <c r="F38" i="14702"/>
  <c r="G36" i="14702"/>
  <c r="S79" i="14701" a="1"/>
  <c r="S80" i="14701" s="1"/>
  <c r="J117" i="14702"/>
  <c r="I117" i="14702"/>
  <c r="P117" i="14702"/>
  <c r="H117" i="14702"/>
  <c r="Q117" i="14702"/>
  <c r="O117" i="14702"/>
  <c r="I123" i="14702"/>
  <c r="E123" i="14702"/>
  <c r="M123" i="14702"/>
  <c r="K123" i="14702"/>
  <c r="C123" i="14702"/>
  <c r="O123" i="14701" s="1"/>
  <c r="B123" i="14702"/>
  <c r="B124" i="14702" s="1"/>
  <c r="M120" i="14702"/>
  <c r="J120" i="14702"/>
  <c r="H120" i="14702"/>
  <c r="G120" i="14702"/>
  <c r="N120" i="14702"/>
  <c r="F120" i="14702"/>
  <c r="L122" i="14702"/>
  <c r="H122" i="14702"/>
  <c r="D122" i="14702"/>
  <c r="J122" i="14702"/>
  <c r="I122" i="14702"/>
  <c r="F122" i="14702"/>
  <c r="F85" i="14702"/>
  <c r="E247" i="14702"/>
  <c r="J247" i="14702"/>
  <c r="M247" i="14702"/>
  <c r="K247" i="14702"/>
  <c r="F247" i="14702"/>
  <c r="T84" i="14702"/>
  <c r="T79" i="14702"/>
  <c r="L224" i="14702"/>
  <c r="Q224" i="14702"/>
  <c r="N224" i="14702"/>
  <c r="O224" i="14702"/>
  <c r="M224" i="14702"/>
  <c r="O219" i="14702"/>
  <c r="V219" i="14702"/>
  <c r="W219" i="14702"/>
  <c r="Y219" i="14702"/>
  <c r="Q219" i="14702"/>
  <c r="U220" i="14702"/>
  <c r="Q220" i="14702"/>
  <c r="M220" i="14702"/>
  <c r="P220" i="14702"/>
  <c r="O220" i="14702"/>
  <c r="N241" i="14702"/>
  <c r="O241" i="14702"/>
  <c r="S241" i="14702"/>
  <c r="M241" i="14702"/>
  <c r="Q241" i="14702"/>
  <c r="N243" i="14702"/>
  <c r="L243" i="14702"/>
  <c r="K243" i="14702"/>
  <c r="Q243" i="14702"/>
  <c r="R243" i="14702"/>
  <c r="O240" i="14702"/>
  <c r="S240" i="14702"/>
  <c r="K240" i="14702"/>
  <c r="T240" i="14702"/>
  <c r="N240" i="14702"/>
  <c r="D247" i="14702"/>
  <c r="N247" i="14702"/>
  <c r="L247" i="14702"/>
  <c r="I247" i="14702"/>
  <c r="R80" i="14701" a="1"/>
  <c r="R83" i="14701" s="1"/>
  <c r="G122" i="14702"/>
  <c r="N122" i="14702"/>
  <c r="M122" i="14702"/>
  <c r="I120" i="14702"/>
  <c r="E120" i="14702"/>
  <c r="P120" i="14702"/>
  <c r="J123" i="14702"/>
  <c r="D123" i="14702"/>
  <c r="G123" i="14702"/>
  <c r="S117" i="14702"/>
  <c r="K117" i="14702"/>
  <c r="R117" i="14702"/>
  <c r="F39" i="14702"/>
  <c r="E39" i="14702"/>
  <c r="E36" i="14702"/>
  <c r="J34" i="14702"/>
  <c r="J37" i="14702"/>
  <c r="D37" i="14702"/>
  <c r="E38" i="14702"/>
  <c r="C33" i="14702"/>
  <c r="L39" i="14702"/>
  <c r="I38" i="14702"/>
  <c r="G34" i="14702"/>
  <c r="C38" i="14702"/>
  <c r="J32" i="14702"/>
  <c r="D35" i="14702"/>
  <c r="B35" i="14702"/>
  <c r="M32" i="14702"/>
  <c r="H39" i="14702"/>
  <c r="C35" i="14702"/>
  <c r="F37" i="14702"/>
  <c r="K35" i="14702"/>
  <c r="E33" i="14702"/>
  <c r="G32" i="14702"/>
  <c r="E37" i="14702"/>
  <c r="I37" i="14702"/>
  <c r="O8" i="14628"/>
  <c r="O8" i="14675"/>
  <c r="O17" i="14676"/>
  <c r="O17" i="14625"/>
  <c r="C18" i="14653"/>
  <c r="E18" i="14653"/>
  <c r="F18" i="14653"/>
  <c r="H18" i="14653"/>
  <c r="J18" i="14653"/>
  <c r="L18" i="14653"/>
  <c r="B18" i="14653"/>
  <c r="D18" i="14653"/>
  <c r="G18" i="14653"/>
  <c r="I18" i="14653"/>
  <c r="K18" i="14653"/>
  <c r="M18" i="14653"/>
  <c r="F7" i="14703"/>
  <c r="C7" i="14703"/>
  <c r="B7" i="14703"/>
  <c r="I7" i="14703"/>
  <c r="K7" i="14703"/>
  <c r="E7" i="14703"/>
  <c r="G7" i="14703"/>
  <c r="D7" i="14703"/>
  <c r="H7" i="14703"/>
  <c r="J7" i="14703"/>
  <c r="L7" i="14703"/>
  <c r="M7" i="14703"/>
  <c r="G94" i="14648"/>
  <c r="D94" i="14648"/>
  <c r="E94" i="14648"/>
  <c r="I94" i="14648"/>
  <c r="K94" i="14648"/>
  <c r="M94" i="14648"/>
  <c r="H94" i="14648"/>
  <c r="C94" i="14648"/>
  <c r="F94" i="14648"/>
  <c r="J94" i="14648"/>
  <c r="L94" i="14648"/>
  <c r="N94" i="14648"/>
  <c r="F7" i="14698"/>
  <c r="D7" i="14698"/>
  <c r="C7" i="14698"/>
  <c r="H7" i="14698"/>
  <c r="J7" i="14698"/>
  <c r="L7" i="14698"/>
  <c r="G7" i="14698"/>
  <c r="B7" i="14698"/>
  <c r="E7" i="14698"/>
  <c r="I7" i="14698"/>
  <c r="K7" i="14698"/>
  <c r="M7" i="14698"/>
  <c r="F45" i="14701"/>
  <c r="C45" i="14701"/>
  <c r="E45" i="14701"/>
  <c r="H45" i="14701"/>
  <c r="J45" i="14701"/>
  <c r="L45" i="14701"/>
  <c r="G45" i="14701"/>
  <c r="B45" i="14701"/>
  <c r="D45" i="14701"/>
  <c r="I45" i="14701"/>
  <c r="K45" i="14701"/>
  <c r="M45" i="14701"/>
  <c r="F16" i="14668"/>
  <c r="B16" i="14668"/>
  <c r="H16" i="14668"/>
  <c r="C16" i="14668"/>
  <c r="J16" i="14668"/>
  <c r="L16" i="14668"/>
  <c r="G16" i="14668"/>
  <c r="E16" i="14668"/>
  <c r="D16" i="14668"/>
  <c r="I16" i="14668"/>
  <c r="K16" i="14668"/>
  <c r="M16" i="14668"/>
  <c r="F19" i="14703"/>
  <c r="B19" i="14703"/>
  <c r="H19" i="14703"/>
  <c r="C19" i="14703"/>
  <c r="J19" i="14703"/>
  <c r="L19" i="14703"/>
  <c r="G19" i="14703"/>
  <c r="E19" i="14703"/>
  <c r="D19" i="14703"/>
  <c r="I19" i="14703"/>
  <c r="K19" i="14703"/>
  <c r="M19" i="14703"/>
  <c r="G65" i="14687"/>
  <c r="C65" i="14687"/>
  <c r="E65" i="14687"/>
  <c r="I65" i="14687"/>
  <c r="K65" i="14687"/>
  <c r="M65" i="14687"/>
  <c r="H65" i="14687"/>
  <c r="F65" i="14687"/>
  <c r="D65" i="14687"/>
  <c r="J65" i="14687"/>
  <c r="L65" i="14687"/>
  <c r="N65" i="14687"/>
  <c r="F19" i="14701"/>
  <c r="C19" i="14701"/>
  <c r="H19" i="14701"/>
  <c r="B19" i="14701"/>
  <c r="J19" i="14701"/>
  <c r="L19" i="14701"/>
  <c r="G19" i="14701"/>
  <c r="E19" i="14701"/>
  <c r="D19" i="14701"/>
  <c r="I19" i="14701"/>
  <c r="K19" i="14701"/>
  <c r="M19" i="14701"/>
  <c r="F45" i="14703"/>
  <c r="D45" i="14703"/>
  <c r="C45" i="14703"/>
  <c r="H45" i="14703"/>
  <c r="J45" i="14703"/>
  <c r="L45" i="14703"/>
  <c r="G45" i="14703"/>
  <c r="E45" i="14703"/>
  <c r="B45" i="14703"/>
  <c r="I45" i="14703"/>
  <c r="K45" i="14703"/>
  <c r="M45" i="14703"/>
  <c r="G30" i="14674"/>
  <c r="D30" i="14674"/>
  <c r="I30" i="14674"/>
  <c r="F30" i="14674"/>
  <c r="K30" i="14674"/>
  <c r="M30" i="14674"/>
  <c r="H30" i="14674"/>
  <c r="C30" i="14674"/>
  <c r="E30" i="14674"/>
  <c r="J30" i="14674"/>
  <c r="L30" i="14674"/>
  <c r="N30" i="14674"/>
  <c r="F4" i="14624"/>
  <c r="E4" i="14624"/>
  <c r="C4" i="14624"/>
  <c r="H4" i="14624"/>
  <c r="J4" i="14624"/>
  <c r="L4" i="14624"/>
  <c r="G4" i="14624"/>
  <c r="B4" i="14624"/>
  <c r="D4" i="14624"/>
  <c r="I4" i="14624"/>
  <c r="K4" i="14624"/>
  <c r="M4" i="14624"/>
  <c r="G28" i="14677"/>
  <c r="D28" i="14677"/>
  <c r="F28" i="14677"/>
  <c r="I28" i="14677"/>
  <c r="K28" i="14677"/>
  <c r="M28" i="14677"/>
  <c r="H28" i="14677"/>
  <c r="C28" i="14677"/>
  <c r="E28" i="14677"/>
  <c r="J28" i="14677"/>
  <c r="L28" i="14677"/>
  <c r="N28" i="14677"/>
  <c r="B4" i="14640"/>
  <c r="G4" i="14640"/>
  <c r="D4" i="14640"/>
  <c r="C4" i="14640"/>
  <c r="J4" i="14640"/>
  <c r="L4" i="14640"/>
  <c r="F4" i="14640"/>
  <c r="E4" i="14640"/>
  <c r="H4" i="14640"/>
  <c r="I4" i="14640"/>
  <c r="K4" i="14640"/>
  <c r="M4" i="14640"/>
  <c r="C99" i="14648"/>
  <c r="H99" i="14648"/>
  <c r="F99" i="14648"/>
  <c r="I99" i="14648"/>
  <c r="K99" i="14648"/>
  <c r="M99" i="14648"/>
  <c r="G99" i="14648"/>
  <c r="E99" i="14648"/>
  <c r="D99" i="14648"/>
  <c r="J99" i="14648"/>
  <c r="L99" i="14648"/>
  <c r="N99" i="14648"/>
  <c r="B4" i="14668"/>
  <c r="G4" i="14668"/>
  <c r="H4" i="14668"/>
  <c r="C4" i="14668"/>
  <c r="J4" i="14668"/>
  <c r="L4" i="14668"/>
  <c r="F4" i="14668"/>
  <c r="D4" i="14668"/>
  <c r="E4" i="14668"/>
  <c r="I4" i="14668"/>
  <c r="K4" i="14668"/>
  <c r="M4" i="14668"/>
  <c r="C31" i="7"/>
  <c r="G31" i="7"/>
  <c r="E31" i="7"/>
  <c r="I31" i="7"/>
  <c r="K31" i="7"/>
  <c r="D31" i="7"/>
  <c r="F31" i="7"/>
  <c r="B31" i="7"/>
  <c r="H31" i="7"/>
  <c r="J31" i="7"/>
  <c r="L31" i="7"/>
  <c r="M31" i="7"/>
  <c r="C32" i="14624"/>
  <c r="G32" i="14624"/>
  <c r="H32" i="14624"/>
  <c r="I32" i="14624"/>
  <c r="K32" i="14624"/>
  <c r="D32" i="14624"/>
  <c r="F32" i="14624"/>
  <c r="B32" i="14624"/>
  <c r="E32" i="14624"/>
  <c r="J32" i="14624"/>
  <c r="L32" i="14624"/>
  <c r="M32" i="14624"/>
  <c r="G16" i="7"/>
  <c r="B16" i="7"/>
  <c r="D16" i="7"/>
  <c r="I16" i="7"/>
  <c r="K16" i="7"/>
  <c r="F16" i="7"/>
  <c r="C16" i="7"/>
  <c r="H16" i="7"/>
  <c r="E16" i="7"/>
  <c r="J16" i="7"/>
  <c r="L16" i="7"/>
  <c r="M16" i="7"/>
  <c r="G45" i="14698"/>
  <c r="B45" i="14698"/>
  <c r="E45" i="14698"/>
  <c r="I45" i="14698"/>
  <c r="K45" i="14698"/>
  <c r="F45" i="14698"/>
  <c r="D45" i="14698"/>
  <c r="C45" i="14698"/>
  <c r="H45" i="14698"/>
  <c r="J45" i="14698"/>
  <c r="L45" i="14698"/>
  <c r="M45" i="14698"/>
  <c r="G58" i="14703"/>
  <c r="B58" i="14703"/>
  <c r="D58" i="14703"/>
  <c r="I58" i="14703"/>
  <c r="K58" i="14703"/>
  <c r="F58" i="14703"/>
  <c r="E58" i="14703"/>
  <c r="H58" i="14703"/>
  <c r="C58" i="14703"/>
  <c r="J58" i="14703"/>
  <c r="L58" i="14703"/>
  <c r="M58" i="14703"/>
  <c r="H6" i="14648"/>
  <c r="F6" i="14648"/>
  <c r="E6" i="14648"/>
  <c r="J6" i="14648"/>
  <c r="L6" i="14648"/>
  <c r="G6" i="14648"/>
  <c r="D6" i="14648"/>
  <c r="C6" i="14648"/>
  <c r="I6" i="14648"/>
  <c r="K6" i="14648"/>
  <c r="M6" i="14648"/>
  <c r="N6" i="14648"/>
  <c r="G30" i="14675"/>
  <c r="D30" i="14675"/>
  <c r="E30" i="14675"/>
  <c r="J30" i="14675"/>
  <c r="L30" i="14675"/>
  <c r="C30" i="14675"/>
  <c r="H30" i="14675"/>
  <c r="F30" i="14675"/>
  <c r="I30" i="14675"/>
  <c r="K30" i="14675"/>
  <c r="M30" i="14675"/>
  <c r="N30" i="14675"/>
  <c r="G95" i="14687"/>
  <c r="F95" i="14687"/>
  <c r="D95" i="14687"/>
  <c r="J95" i="14687"/>
  <c r="L95" i="14687"/>
  <c r="C95" i="14687"/>
  <c r="H95" i="14687"/>
  <c r="E95" i="14687"/>
  <c r="I95" i="14687"/>
  <c r="K95" i="14687"/>
  <c r="M95" i="14687"/>
  <c r="N95" i="14687"/>
  <c r="H89" i="14648"/>
  <c r="E89" i="14648"/>
  <c r="C89" i="14648"/>
  <c r="J89" i="14648"/>
  <c r="L89" i="14648"/>
  <c r="G89" i="14648"/>
  <c r="D89" i="14648"/>
  <c r="I89" i="14648"/>
  <c r="F89" i="14648"/>
  <c r="K89" i="14648"/>
  <c r="M89" i="14648"/>
  <c r="N89" i="14648"/>
  <c r="H4" i="14641"/>
  <c r="F4" i="14641"/>
  <c r="D4" i="14641"/>
  <c r="J4" i="14641"/>
  <c r="L4" i="14641"/>
  <c r="G4" i="14641"/>
  <c r="C4" i="14641"/>
  <c r="E4" i="14641"/>
  <c r="I4" i="14641"/>
  <c r="K4" i="14641"/>
  <c r="M4" i="14641"/>
  <c r="N4" i="14641"/>
  <c r="H104" i="14648"/>
  <c r="F104" i="14648"/>
  <c r="C104" i="14648"/>
  <c r="J104" i="14648"/>
  <c r="L104" i="14648"/>
  <c r="G104" i="14648"/>
  <c r="E104" i="14648"/>
  <c r="D104" i="14648"/>
  <c r="I104" i="14648"/>
  <c r="K104" i="14648"/>
  <c r="M104" i="14648"/>
  <c r="N104" i="14648"/>
  <c r="G17" i="14681"/>
  <c r="B17" i="14681"/>
  <c r="C17" i="14681"/>
  <c r="I17" i="14681"/>
  <c r="K17" i="14681"/>
  <c r="F17" i="14681"/>
  <c r="D17" i="14681"/>
  <c r="H17" i="14681"/>
  <c r="E17" i="14681"/>
  <c r="J17" i="14681"/>
  <c r="L17" i="14681"/>
  <c r="M17" i="14681"/>
  <c r="G31" i="14701"/>
  <c r="E31" i="14701"/>
  <c r="C31" i="14701"/>
  <c r="I31" i="14701"/>
  <c r="K31" i="14701"/>
  <c r="F31" i="14701"/>
  <c r="B31" i="14701"/>
  <c r="D31" i="14701"/>
  <c r="H31" i="14701"/>
  <c r="J31" i="14701"/>
  <c r="L31" i="14701"/>
  <c r="M31" i="14701"/>
  <c r="H4" i="14634"/>
  <c r="C4" i="14634"/>
  <c r="D4" i="14634"/>
  <c r="J4" i="14634"/>
  <c r="L4" i="14634"/>
  <c r="G4" i="14634"/>
  <c r="F4" i="14634"/>
  <c r="E4" i="14634"/>
  <c r="I4" i="14634"/>
  <c r="K4" i="14634"/>
  <c r="M4" i="14634"/>
  <c r="N4" i="14634"/>
  <c r="H27" i="14687"/>
  <c r="D27" i="14687"/>
  <c r="F27" i="14687"/>
  <c r="J27" i="14687"/>
  <c r="L27" i="14687"/>
  <c r="G27" i="14687"/>
  <c r="E27" i="14687"/>
  <c r="C27" i="14687"/>
  <c r="I27" i="14687"/>
  <c r="K27" i="14687"/>
  <c r="M27" i="14687"/>
  <c r="N27" i="14687"/>
  <c r="G34" i="14632"/>
  <c r="D34" i="14632"/>
  <c r="B34" i="14632"/>
  <c r="I34" i="14632"/>
  <c r="K34" i="14632"/>
  <c r="F34" i="14632"/>
  <c r="E34" i="14632"/>
  <c r="C34" i="14632"/>
  <c r="H34" i="14632"/>
  <c r="J34" i="14632"/>
  <c r="L34" i="14632"/>
  <c r="M34" i="14632"/>
  <c r="D45" i="14702"/>
  <c r="B45" i="14702"/>
  <c r="G45" i="14702"/>
  <c r="I45" i="14702"/>
  <c r="K45" i="14702"/>
  <c r="C45" i="14702"/>
  <c r="E45" i="14702"/>
  <c r="F45" i="14702"/>
  <c r="H45" i="14702"/>
  <c r="J45" i="14702"/>
  <c r="L45" i="14702"/>
  <c r="M45" i="14702"/>
  <c r="C28" i="14676"/>
  <c r="H28" i="14676"/>
  <c r="I28" i="14676"/>
  <c r="J28" i="14676"/>
  <c r="L28" i="14676"/>
  <c r="F28" i="14676"/>
  <c r="G28" i="14676"/>
  <c r="D28" i="14676"/>
  <c r="E28" i="14676"/>
  <c r="K28" i="14676"/>
  <c r="M28" i="14676"/>
  <c r="N28" i="14676"/>
  <c r="F31" i="14703"/>
  <c r="C31" i="14703"/>
  <c r="B31" i="14703"/>
  <c r="I31" i="14703"/>
  <c r="K31" i="14703"/>
  <c r="E31" i="14703"/>
  <c r="G31" i="14703"/>
  <c r="D31" i="14703"/>
  <c r="H31" i="14703"/>
  <c r="J31" i="14703"/>
  <c r="L31" i="14703"/>
  <c r="M31" i="14703"/>
  <c r="G52" i="14665"/>
  <c r="B52" i="14665"/>
  <c r="E52" i="14665"/>
  <c r="I52" i="14665"/>
  <c r="K52" i="14665"/>
  <c r="F52" i="14665"/>
  <c r="C52" i="14665"/>
  <c r="D52" i="14665"/>
  <c r="H52" i="14665"/>
  <c r="J52" i="14665"/>
  <c r="L52" i="14665"/>
  <c r="M52" i="14665"/>
  <c r="G4" i="14672"/>
  <c r="B4" i="14672"/>
  <c r="C4" i="14672"/>
  <c r="I4" i="14672"/>
  <c r="K4" i="14672"/>
  <c r="F4" i="14672"/>
  <c r="D4" i="14672"/>
  <c r="H4" i="14672"/>
  <c r="E4" i="14672"/>
  <c r="J4" i="14672"/>
  <c r="L4" i="14672"/>
  <c r="M4" i="14672"/>
  <c r="G44" i="14681"/>
  <c r="B44" i="14681"/>
  <c r="D44" i="14681"/>
  <c r="I44" i="14681"/>
  <c r="K44" i="14681"/>
  <c r="F44" i="14681"/>
  <c r="C44" i="14681"/>
  <c r="E44" i="14681"/>
  <c r="H44" i="14681"/>
  <c r="J44" i="14681"/>
  <c r="L44" i="14681"/>
  <c r="M44" i="14681"/>
  <c r="E31" i="14653"/>
  <c r="G31" i="14653"/>
  <c r="C31" i="14653"/>
  <c r="I31" i="14653"/>
  <c r="K31" i="14653"/>
  <c r="D31" i="14653"/>
  <c r="F31" i="14653"/>
  <c r="B31" i="14653"/>
  <c r="H31" i="14653"/>
  <c r="J31" i="14653"/>
  <c r="L31" i="14653"/>
  <c r="M31" i="14653"/>
  <c r="H4" i="14674"/>
  <c r="E4" i="14674"/>
  <c r="C4" i="14674"/>
  <c r="J4" i="14674"/>
  <c r="L4" i="14674"/>
  <c r="G4" i="14674"/>
  <c r="F4" i="14674"/>
  <c r="D4" i="14674"/>
  <c r="I4" i="14674"/>
  <c r="K4" i="14674"/>
  <c r="M4" i="14674"/>
  <c r="N4" i="14674"/>
  <c r="G58" i="14698"/>
  <c r="C58" i="14698"/>
  <c r="D58" i="14698"/>
  <c r="I58" i="14698"/>
  <c r="K58" i="14698"/>
  <c r="F58" i="14698"/>
  <c r="B58" i="14698"/>
  <c r="H58" i="14698"/>
  <c r="E58" i="14698"/>
  <c r="J58" i="14698"/>
  <c r="L58" i="14698"/>
  <c r="M58" i="14698"/>
  <c r="G34" i="14678"/>
  <c r="D34" i="14678"/>
  <c r="C34" i="14678"/>
  <c r="I34" i="14678"/>
  <c r="K34" i="14678"/>
  <c r="F34" i="14678"/>
  <c r="E34" i="14678"/>
  <c r="B34" i="14678"/>
  <c r="H34" i="14678"/>
  <c r="J34" i="14678"/>
  <c r="L34" i="14678"/>
  <c r="M34" i="14678"/>
  <c r="H46" i="14687"/>
  <c r="F46" i="14687"/>
  <c r="C46" i="14687"/>
  <c r="J46" i="14687"/>
  <c r="L46" i="14687"/>
  <c r="G46" i="14687"/>
  <c r="E46" i="14687"/>
  <c r="D46" i="14687"/>
  <c r="I46" i="14687"/>
  <c r="K46" i="14687"/>
  <c r="M46" i="14687"/>
  <c r="N46" i="14687"/>
  <c r="G16" i="14630"/>
  <c r="B16" i="14630"/>
  <c r="E16" i="14630"/>
  <c r="I16" i="14630"/>
  <c r="K16" i="14630"/>
  <c r="F16" i="14630"/>
  <c r="C16" i="14630"/>
  <c r="D16" i="14630"/>
  <c r="H16" i="14630"/>
  <c r="J16" i="14630"/>
  <c r="L16" i="14630"/>
  <c r="M16" i="14630"/>
  <c r="G31" i="14700"/>
  <c r="E31" i="14700"/>
  <c r="D31" i="14700"/>
  <c r="I31" i="14700"/>
  <c r="K31" i="14700"/>
  <c r="F31" i="14700"/>
  <c r="C31" i="14700"/>
  <c r="H31" i="14700"/>
  <c r="B31" i="14700"/>
  <c r="J31" i="14700"/>
  <c r="L31" i="14700"/>
  <c r="M31" i="14700"/>
  <c r="G4" i="14670"/>
  <c r="B4" i="14670"/>
  <c r="E4" i="14670"/>
  <c r="I4" i="14670"/>
  <c r="K4" i="14670"/>
  <c r="F4" i="14670"/>
  <c r="C4" i="14670"/>
  <c r="H4" i="14670"/>
  <c r="D4" i="14670"/>
  <c r="J4" i="14670"/>
  <c r="L4" i="14670"/>
  <c r="M4" i="14670"/>
  <c r="H30" i="14634"/>
  <c r="E30" i="14634"/>
  <c r="D30" i="14634"/>
  <c r="J30" i="14634"/>
  <c r="L30" i="14634"/>
  <c r="G30" i="14634"/>
  <c r="F30" i="14634"/>
  <c r="I30" i="14634"/>
  <c r="C30" i="14634"/>
  <c r="K30" i="14634"/>
  <c r="M30" i="14634"/>
  <c r="N30" i="14634"/>
  <c r="G4" i="14637"/>
  <c r="C4" i="14637"/>
  <c r="B4" i="14637"/>
  <c r="I4" i="14637"/>
  <c r="K4" i="14637"/>
  <c r="F4" i="14637"/>
  <c r="D4" i="14637"/>
  <c r="H4" i="14637"/>
  <c r="E4" i="14637"/>
  <c r="J4" i="14637"/>
  <c r="L4" i="14637"/>
  <c r="M4" i="14637"/>
  <c r="G35" i="14681"/>
  <c r="E35" i="14681"/>
  <c r="B35" i="14681"/>
  <c r="I35" i="14681"/>
  <c r="K35" i="14681"/>
  <c r="F35" i="14681"/>
  <c r="D35" i="14681"/>
  <c r="H35" i="14681"/>
  <c r="C35" i="14681"/>
  <c r="J35" i="14681"/>
  <c r="L35" i="14681"/>
  <c r="M35" i="14681"/>
  <c r="E45" i="14700"/>
  <c r="G45" i="14700"/>
  <c r="C45" i="14700"/>
  <c r="I45" i="14700"/>
  <c r="K45" i="14700"/>
  <c r="B45" i="14700"/>
  <c r="F45" i="14700"/>
  <c r="D45" i="14700"/>
  <c r="H45" i="14700"/>
  <c r="J45" i="14700"/>
  <c r="L45" i="14700"/>
  <c r="M45" i="14700"/>
  <c r="D4" i="14630"/>
  <c r="G4" i="14630"/>
  <c r="C4" i="14630"/>
  <c r="I4" i="14630"/>
  <c r="K4" i="14630"/>
  <c r="B4" i="14630"/>
  <c r="F4" i="14630"/>
  <c r="E4" i="14630"/>
  <c r="H4" i="14630"/>
  <c r="J4" i="14630"/>
  <c r="L4" i="14630"/>
  <c r="M4" i="14630"/>
  <c r="G7" i="14701"/>
  <c r="B7" i="14701"/>
  <c r="D7" i="14701"/>
  <c r="I7" i="14701"/>
  <c r="K7" i="14701"/>
  <c r="F7" i="14701"/>
  <c r="C7" i="14701"/>
  <c r="H7" i="14701"/>
  <c r="E7" i="14701"/>
  <c r="J7" i="14701"/>
  <c r="L7" i="14701"/>
  <c r="M7" i="14701"/>
  <c r="G16" i="14637"/>
  <c r="B16" i="14637"/>
  <c r="C16" i="14637"/>
  <c r="I16" i="14637"/>
  <c r="K16" i="14637"/>
  <c r="F16" i="14637"/>
  <c r="D16" i="14637"/>
  <c r="H16" i="14637"/>
  <c r="E16" i="14637"/>
  <c r="J16" i="14637"/>
  <c r="L16" i="14637"/>
  <c r="M16" i="14637"/>
  <c r="H18" i="14639"/>
  <c r="C18" i="14639"/>
  <c r="F18" i="14639"/>
  <c r="J18" i="14639"/>
  <c r="L18" i="14639"/>
  <c r="G18" i="14639"/>
  <c r="D18" i="14639"/>
  <c r="I18" i="14639"/>
  <c r="E18" i="14639"/>
  <c r="K18" i="14639"/>
  <c r="M18" i="14639"/>
  <c r="N18" i="14639"/>
  <c r="G62" i="14684"/>
  <c r="B62" i="14684"/>
  <c r="E62" i="14684"/>
  <c r="I62" i="14684"/>
  <c r="K62" i="14684"/>
  <c r="F62" i="14684"/>
  <c r="C62" i="14684"/>
  <c r="H62" i="14684"/>
  <c r="D62" i="14684"/>
  <c r="J62" i="14684"/>
  <c r="L62" i="14684"/>
  <c r="M62" i="14684"/>
  <c r="H4" i="14676"/>
  <c r="D4" i="14676"/>
  <c r="C4" i="14676"/>
  <c r="J4" i="14676"/>
  <c r="L4" i="14676"/>
  <c r="G4" i="14676"/>
  <c r="E4" i="14676"/>
  <c r="I4" i="14676"/>
  <c r="F4" i="14676"/>
  <c r="K4" i="14676"/>
  <c r="M4" i="14676"/>
  <c r="N4" i="14676"/>
  <c r="H18" i="14634"/>
  <c r="D18" i="14634"/>
  <c r="C18" i="14634"/>
  <c r="J18" i="14634"/>
  <c r="L18" i="14634"/>
  <c r="G18" i="14634"/>
  <c r="E18" i="14634"/>
  <c r="I18" i="14634"/>
  <c r="F18" i="14634"/>
  <c r="K18" i="14634"/>
  <c r="M18" i="14634"/>
  <c r="N18" i="14634"/>
  <c r="H18" i="14628"/>
  <c r="F18" i="14628"/>
  <c r="C18" i="14628"/>
  <c r="J18" i="14628"/>
  <c r="L18" i="14628"/>
  <c r="G18" i="14628"/>
  <c r="D18" i="14628"/>
  <c r="E18" i="14628"/>
  <c r="I18" i="14628"/>
  <c r="K18" i="14628"/>
  <c r="M18" i="14628"/>
  <c r="N18" i="14628"/>
  <c r="H4" i="14639"/>
  <c r="E4" i="14639"/>
  <c r="C4" i="14639"/>
  <c r="J4" i="14639"/>
  <c r="L4" i="14639"/>
  <c r="G4" i="14639"/>
  <c r="D4" i="14639"/>
  <c r="I4" i="14639"/>
  <c r="F4" i="14639"/>
  <c r="K4" i="14639"/>
  <c r="M4" i="14639"/>
  <c r="N4" i="14639"/>
  <c r="H66" i="14648"/>
  <c r="C66" i="14648"/>
  <c r="F66" i="14648"/>
  <c r="J66" i="14648"/>
  <c r="L66" i="14648"/>
  <c r="G66" i="14648"/>
  <c r="D66" i="14648"/>
  <c r="I66" i="14648"/>
  <c r="E66" i="14648"/>
  <c r="K66" i="14648"/>
  <c r="M66" i="14648"/>
  <c r="N66" i="14648"/>
  <c r="F4" i="8"/>
  <c r="D4" i="8"/>
  <c r="H4" i="8"/>
  <c r="E4" i="8"/>
  <c r="J4" i="8"/>
  <c r="L4" i="8"/>
  <c r="G4" i="8"/>
  <c r="C4" i="8"/>
  <c r="K4" i="8"/>
  <c r="B4" i="8"/>
  <c r="I4" i="8"/>
  <c r="M4" i="8"/>
  <c r="G51" i="14648"/>
  <c r="E51" i="14648"/>
  <c r="F51" i="14648"/>
  <c r="I51" i="14648"/>
  <c r="K51" i="14648"/>
  <c r="M51" i="14648"/>
  <c r="C51" i="14648"/>
  <c r="J51" i="14648"/>
  <c r="H51" i="14648"/>
  <c r="D51" i="14648"/>
  <c r="L51" i="14648"/>
  <c r="N51" i="14648"/>
  <c r="F34" i="14679"/>
  <c r="D34" i="14679"/>
  <c r="B34" i="14679"/>
  <c r="H34" i="14679"/>
  <c r="J34" i="14679"/>
  <c r="L34" i="14679"/>
  <c r="G34" i="14679"/>
  <c r="E34" i="14679"/>
  <c r="K34" i="14679"/>
  <c r="C34" i="14679"/>
  <c r="I34" i="14679"/>
  <c r="M34" i="14679"/>
  <c r="G36" i="14648"/>
  <c r="C36" i="14648"/>
  <c r="E36" i="14648"/>
  <c r="I36" i="14648"/>
  <c r="K36" i="14648"/>
  <c r="M36" i="14648"/>
  <c r="H36" i="14648"/>
  <c r="F36" i="14648"/>
  <c r="D36" i="14648"/>
  <c r="J36" i="14648"/>
  <c r="L36" i="14648"/>
  <c r="N36" i="14648"/>
  <c r="F58" i="14700"/>
  <c r="B58" i="14700"/>
  <c r="H58" i="14700"/>
  <c r="C58" i="14700"/>
  <c r="J58" i="14700"/>
  <c r="L58" i="14700"/>
  <c r="G58" i="14700"/>
  <c r="E58" i="14700"/>
  <c r="D58" i="14700"/>
  <c r="I58" i="14700"/>
  <c r="K58" i="14700"/>
  <c r="M58" i="14700"/>
  <c r="G14" i="14649"/>
  <c r="F14" i="14649"/>
  <c r="E14" i="14649"/>
  <c r="D14" i="14649"/>
  <c r="C5" i="14693"/>
  <c r="D5" i="14693"/>
  <c r="F5" i="14693"/>
  <c r="E5" i="14693"/>
  <c r="A59" i="14649"/>
  <c r="A57" i="14649"/>
  <c r="A58" i="14649"/>
  <c r="A60" i="14649"/>
  <c r="A64" i="14684"/>
  <c r="A66" i="14684"/>
  <c r="A67" i="14684"/>
  <c r="A65" i="14684"/>
  <c r="C43" i="14707"/>
  <c r="F43" i="14707"/>
  <c r="D43" i="14707"/>
  <c r="E43" i="14707"/>
  <c r="D12" i="14684"/>
  <c r="G12" i="14684"/>
  <c r="E12" i="14684"/>
  <c r="F12" i="14684"/>
  <c r="F20" i="14682"/>
  <c r="E20" i="14682"/>
  <c r="D20" i="14682"/>
  <c r="C20" i="14682"/>
  <c r="D52" i="14686"/>
  <c r="E52" i="14686"/>
  <c r="C52" i="14686"/>
  <c r="F52" i="14686"/>
  <c r="F4" i="14684"/>
  <c r="D4" i="14684"/>
  <c r="E4" i="14684"/>
  <c r="G4" i="14684"/>
  <c r="F70" i="14689"/>
  <c r="D70" i="14689"/>
  <c r="E70" i="14689"/>
  <c r="G70" i="14689"/>
  <c r="D7" i="14657"/>
  <c r="F7" i="14657"/>
  <c r="E7" i="14657"/>
  <c r="G7" i="14657"/>
  <c r="H6" i="14643"/>
  <c r="F6" i="14643"/>
  <c r="D6" i="14643"/>
  <c r="G6" i="14643"/>
  <c r="E6" i="14643"/>
  <c r="D5" i="14696"/>
  <c r="E5" i="14696"/>
  <c r="F5" i="14696"/>
  <c r="G5" i="14696"/>
  <c r="D4" i="14689"/>
  <c r="C4" i="14689"/>
  <c r="B4" i="14689"/>
  <c r="F4" i="14689"/>
  <c r="E4" i="14689"/>
  <c r="F98" i="14707"/>
  <c r="D98" i="14707"/>
  <c r="E98" i="14707"/>
  <c r="C98" i="14707"/>
  <c r="B98" i="14707"/>
  <c r="F108" i="14707"/>
  <c r="E108" i="14707"/>
  <c r="B108" i="14707"/>
  <c r="C108" i="14707"/>
  <c r="D108" i="14707"/>
  <c r="D17" i="14665"/>
  <c r="C17" i="14665"/>
  <c r="F17" i="14665"/>
  <c r="E17" i="14665"/>
  <c r="B17" i="14665"/>
  <c r="B78" i="14649"/>
  <c r="B77" i="14649"/>
  <c r="B76" i="14649"/>
  <c r="B75" i="14649"/>
  <c r="F69" i="14707"/>
  <c r="D69" i="14707"/>
  <c r="E69" i="14707"/>
  <c r="C69" i="14707"/>
  <c r="O17" i="14641"/>
  <c r="O8" i="14674"/>
  <c r="O17" i="14633"/>
  <c r="O8" i="14639"/>
  <c r="O17" i="14677"/>
  <c r="P5" i="14655"/>
  <c r="I5" i="14655"/>
  <c r="E5" i="14655"/>
  <c r="F5" i="14655"/>
  <c r="L5" i="14655"/>
  <c r="N5" i="14655"/>
  <c r="G5" i="14655"/>
  <c r="J5" i="14655"/>
  <c r="K5" i="14655"/>
  <c r="H5" i="14655"/>
  <c r="M5" i="14655"/>
  <c r="O5" i="14655"/>
  <c r="D19" i="14698"/>
  <c r="G19" i="14698"/>
  <c r="E19" i="14698"/>
  <c r="I19" i="14698"/>
  <c r="K19" i="14698"/>
  <c r="C19" i="14698"/>
  <c r="F19" i="14698"/>
  <c r="B19" i="14698"/>
  <c r="H19" i="14698"/>
  <c r="J19" i="14698"/>
  <c r="L19" i="14698"/>
  <c r="M19" i="14698"/>
  <c r="F7" i="14704"/>
  <c r="D7" i="14704"/>
  <c r="C7" i="14704"/>
  <c r="I7" i="14704"/>
  <c r="K7" i="14704"/>
  <c r="E7" i="14704"/>
  <c r="G7" i="14704"/>
  <c r="B7" i="14704"/>
  <c r="H7" i="14704"/>
  <c r="J7" i="14704"/>
  <c r="L7" i="14704"/>
  <c r="M7" i="14704"/>
  <c r="G4" i="14631"/>
  <c r="B4" i="14631"/>
  <c r="E4" i="14631"/>
  <c r="I4" i="14631"/>
  <c r="K4" i="14631"/>
  <c r="F4" i="14631"/>
  <c r="D4" i="14631"/>
  <c r="C4" i="14631"/>
  <c r="H4" i="14631"/>
  <c r="J4" i="14631"/>
  <c r="L4" i="14631"/>
  <c r="M4" i="14631"/>
  <c r="H21" i="14648"/>
  <c r="C21" i="14648"/>
  <c r="F21" i="14648"/>
  <c r="J21" i="14648"/>
  <c r="L21" i="14648"/>
  <c r="G21" i="14648"/>
  <c r="D21" i="14648"/>
  <c r="E21" i="14648"/>
  <c r="I21" i="14648"/>
  <c r="K21" i="14648"/>
  <c r="M21" i="14648"/>
  <c r="N21" i="14648"/>
  <c r="G32" i="14629"/>
  <c r="D32" i="14629"/>
  <c r="E32" i="14629"/>
  <c r="I32" i="14629"/>
  <c r="K32" i="14629"/>
  <c r="F32" i="14629"/>
  <c r="C32" i="14629"/>
  <c r="H32" i="14629"/>
  <c r="B32" i="14629"/>
  <c r="J32" i="14629"/>
  <c r="L32" i="14629"/>
  <c r="M32" i="14629"/>
  <c r="H18" i="14675"/>
  <c r="D18" i="14675"/>
  <c r="C18" i="14675"/>
  <c r="J18" i="14675"/>
  <c r="L18" i="14675"/>
  <c r="G18" i="14675"/>
  <c r="E18" i="14675"/>
  <c r="I18" i="14675"/>
  <c r="F18" i="14675"/>
  <c r="K18" i="14675"/>
  <c r="M18" i="14675"/>
  <c r="N18" i="14675"/>
  <c r="G58" i="14702"/>
  <c r="E58" i="14702"/>
  <c r="B58" i="14702"/>
  <c r="I58" i="14702"/>
  <c r="K58" i="14702"/>
  <c r="F58" i="14702"/>
  <c r="D58" i="14702"/>
  <c r="H58" i="14702"/>
  <c r="C58" i="14702"/>
  <c r="J58" i="14702"/>
  <c r="L58" i="14702"/>
  <c r="M58" i="14702"/>
  <c r="G31" i="14668"/>
  <c r="B31" i="14668"/>
  <c r="E31" i="14668"/>
  <c r="I31" i="14668"/>
  <c r="K31" i="14668"/>
  <c r="F31" i="14668"/>
  <c r="D31" i="14668"/>
  <c r="H31" i="14668"/>
  <c r="C31" i="14668"/>
  <c r="J31" i="14668"/>
  <c r="L31" i="14668"/>
  <c r="M31" i="14668"/>
  <c r="G31" i="14702"/>
  <c r="D31" i="14702"/>
  <c r="E31" i="14702"/>
  <c r="I31" i="14702"/>
  <c r="K31" i="14702"/>
  <c r="F31" i="14702"/>
  <c r="B31" i="14702"/>
  <c r="C31" i="14702"/>
  <c r="H31" i="14702"/>
  <c r="J31" i="14702"/>
  <c r="L31" i="14702"/>
  <c r="M31" i="14702"/>
  <c r="G19" i="14700"/>
  <c r="D19" i="14700"/>
  <c r="C19" i="14700"/>
  <c r="I19" i="14700"/>
  <c r="K19" i="14700"/>
  <c r="F19" i="14700"/>
  <c r="E19" i="14700"/>
  <c r="H19" i="14700"/>
  <c r="B19" i="14700"/>
  <c r="J19" i="14700"/>
  <c r="L19" i="14700"/>
  <c r="M19" i="14700"/>
  <c r="G58" i="14704"/>
  <c r="B58" i="14704"/>
  <c r="C58" i="14704"/>
  <c r="I58" i="14704"/>
  <c r="K58" i="14704"/>
  <c r="F58" i="14704"/>
  <c r="D58" i="14704"/>
  <c r="H58" i="14704"/>
  <c r="E58" i="14704"/>
  <c r="J58" i="14704"/>
  <c r="L58" i="14704"/>
  <c r="M58" i="14704"/>
  <c r="H38" i="14687"/>
  <c r="E38" i="14687"/>
  <c r="D38" i="14687"/>
  <c r="J38" i="14687"/>
  <c r="L38" i="14687"/>
  <c r="G38" i="14687"/>
  <c r="F38" i="14687"/>
  <c r="I38" i="14687"/>
  <c r="C38" i="14687"/>
  <c r="K38" i="14687"/>
  <c r="M38" i="14687"/>
  <c r="N38" i="14687"/>
  <c r="G6" i="14623"/>
  <c r="D6" i="14623"/>
  <c r="B6" i="14623"/>
  <c r="I6" i="14623"/>
  <c r="K6" i="14623"/>
  <c r="F6" i="14623"/>
  <c r="E6" i="14623"/>
  <c r="C6" i="14623"/>
  <c r="H6" i="14623"/>
  <c r="J6" i="14623"/>
  <c r="L6" i="14623"/>
  <c r="M6" i="14623"/>
  <c r="B57" i="14653"/>
  <c r="E57" i="14653"/>
  <c r="G57" i="14653"/>
  <c r="I57" i="14653"/>
  <c r="K57" i="14653"/>
  <c r="C57" i="14653"/>
  <c r="D57" i="14653"/>
  <c r="F57" i="14653"/>
  <c r="H57" i="14653"/>
  <c r="J57" i="14653"/>
  <c r="L57" i="14653"/>
  <c r="M57" i="14653"/>
  <c r="F7" i="14700"/>
  <c r="D7" i="14700"/>
  <c r="E7" i="14700"/>
  <c r="I7" i="14700"/>
  <c r="K7" i="14700"/>
  <c r="B7" i="14700"/>
  <c r="G7" i="14700"/>
  <c r="C7" i="14700"/>
  <c r="H7" i="14700"/>
  <c r="J7" i="14700"/>
  <c r="L7" i="14700"/>
  <c r="M7" i="14700"/>
  <c r="F66" i="14647"/>
  <c r="I66" i="14647"/>
  <c r="E66" i="14647"/>
  <c r="G66" i="14647"/>
  <c r="C66" i="14647"/>
  <c r="H66" i="14647"/>
  <c r="D66" i="14647"/>
  <c r="D58" i="14701"/>
  <c r="F58" i="14701"/>
  <c r="E58" i="14701"/>
  <c r="B58" i="14701"/>
  <c r="J58" i="14701"/>
  <c r="L58" i="14701"/>
  <c r="C58" i="14701"/>
  <c r="G58" i="14701"/>
  <c r="H58" i="14701"/>
  <c r="I58" i="14701"/>
  <c r="K58" i="14701"/>
  <c r="M58" i="14701"/>
  <c r="F4" i="14675"/>
  <c r="H4" i="14675"/>
  <c r="I4" i="14675"/>
  <c r="D4" i="14675"/>
  <c r="K4" i="14675"/>
  <c r="M4" i="14675"/>
  <c r="G4" i="14675"/>
  <c r="E4" i="14675"/>
  <c r="C4" i="14675"/>
  <c r="L4" i="14675"/>
  <c r="J4" i="14675"/>
  <c r="N4" i="14675"/>
  <c r="G4" i="14633"/>
  <c r="D4" i="14633"/>
  <c r="I4" i="14633"/>
  <c r="F4" i="14633"/>
  <c r="K4" i="14633"/>
  <c r="M4" i="14633"/>
  <c r="H4" i="14633"/>
  <c r="C4" i="14633"/>
  <c r="E4" i="14633"/>
  <c r="J4" i="14633"/>
  <c r="L4" i="14633"/>
  <c r="N4" i="14633"/>
  <c r="F4" i="14636"/>
  <c r="D4" i="14636"/>
  <c r="H4" i="14636"/>
  <c r="E4" i="14636"/>
  <c r="J4" i="14636"/>
  <c r="L4" i="14636"/>
  <c r="G4" i="14636"/>
  <c r="B4" i="14636"/>
  <c r="C4" i="14636"/>
  <c r="I4" i="14636"/>
  <c r="K4" i="14636"/>
  <c r="M4" i="14636"/>
  <c r="G28" i="14633"/>
  <c r="D28" i="14633"/>
  <c r="I28" i="14633"/>
  <c r="E28" i="14633"/>
  <c r="K28" i="14633"/>
  <c r="M28" i="14633"/>
  <c r="H28" i="14633"/>
  <c r="C28" i="14633"/>
  <c r="F28" i="14633"/>
  <c r="J28" i="14633"/>
  <c r="L28" i="14633"/>
  <c r="N28" i="14633"/>
  <c r="B34" i="14623"/>
  <c r="G34" i="14623"/>
  <c r="E34" i="14623"/>
  <c r="H34" i="14623"/>
  <c r="J34" i="14623"/>
  <c r="L34" i="14623"/>
  <c r="F34" i="14623"/>
  <c r="D34" i="14623"/>
  <c r="C34" i="14623"/>
  <c r="I34" i="14623"/>
  <c r="K34" i="14623"/>
  <c r="M34" i="14623"/>
  <c r="C84" i="14648"/>
  <c r="H84" i="14648"/>
  <c r="F84" i="14648"/>
  <c r="D84" i="14648"/>
  <c r="K84" i="14648"/>
  <c r="M84" i="14648"/>
  <c r="G84" i="14648"/>
  <c r="E84" i="14648"/>
  <c r="I84" i="14648"/>
  <c r="J84" i="14648"/>
  <c r="L84" i="14648"/>
  <c r="N84" i="14648"/>
  <c r="F31" i="14669"/>
  <c r="B31" i="14669"/>
  <c r="C31" i="14669"/>
  <c r="H31" i="14669"/>
  <c r="J31" i="14669"/>
  <c r="L31" i="14669"/>
  <c r="G31" i="14669"/>
  <c r="E31" i="14669"/>
  <c r="D31" i="14669"/>
  <c r="I31" i="14669"/>
  <c r="K31" i="14669"/>
  <c r="M31" i="14669"/>
  <c r="G4" i="14628"/>
  <c r="F4" i="14628"/>
  <c r="I4" i="14628"/>
  <c r="D4" i="14628"/>
  <c r="K4" i="14628"/>
  <c r="M4" i="14628"/>
  <c r="H4" i="14628"/>
  <c r="E4" i="14628"/>
  <c r="C4" i="14628"/>
  <c r="J4" i="14628"/>
  <c r="L4" i="14628"/>
  <c r="N4" i="14628"/>
  <c r="F4" i="14673"/>
  <c r="D4" i="14673"/>
  <c r="H4" i="14673"/>
  <c r="B4" i="14673"/>
  <c r="J4" i="14673"/>
  <c r="L4" i="14673"/>
  <c r="G4" i="14673"/>
  <c r="E4" i="14673"/>
  <c r="C4" i="14673"/>
  <c r="I4" i="14673"/>
  <c r="K4" i="14673"/>
  <c r="M4" i="14673"/>
  <c r="G28" i="14641"/>
  <c r="D28" i="14641"/>
  <c r="E28" i="14641"/>
  <c r="I28" i="14641"/>
  <c r="K28" i="14641"/>
  <c r="M28" i="14641"/>
  <c r="H28" i="14641"/>
  <c r="C28" i="14641"/>
  <c r="F28" i="14641"/>
  <c r="J28" i="14641"/>
  <c r="L28" i="14641"/>
  <c r="N28" i="14641"/>
  <c r="G4" i="14625"/>
  <c r="D4" i="14625"/>
  <c r="E4" i="14625"/>
  <c r="I4" i="14625"/>
  <c r="K4" i="14625"/>
  <c r="M4" i="14625"/>
  <c r="H4" i="14625"/>
  <c r="F4" i="14625"/>
  <c r="C4" i="14625"/>
  <c r="J4" i="14625"/>
  <c r="L4" i="14625"/>
  <c r="N4" i="14625"/>
  <c r="G30" i="14628"/>
  <c r="F30" i="14628"/>
  <c r="D30" i="14628"/>
  <c r="I30" i="14628"/>
  <c r="K30" i="14628"/>
  <c r="M30" i="14628"/>
  <c r="H30" i="14628"/>
  <c r="C30" i="14628"/>
  <c r="E30" i="14628"/>
  <c r="J30" i="14628"/>
  <c r="L30" i="14628"/>
  <c r="N30" i="14628"/>
  <c r="F34" i="14638"/>
  <c r="E34" i="14638"/>
  <c r="C34" i="14638"/>
  <c r="H34" i="14638"/>
  <c r="J34" i="14638"/>
  <c r="L34" i="14638"/>
  <c r="G34" i="14638"/>
  <c r="D34" i="14638"/>
  <c r="B34" i="14638"/>
  <c r="I34" i="14638"/>
  <c r="K34" i="14638"/>
  <c r="M34" i="14638"/>
  <c r="F32" i="14673"/>
  <c r="C32" i="14673"/>
  <c r="E32" i="14673"/>
  <c r="H32" i="14673"/>
  <c r="J32" i="14673"/>
  <c r="L32" i="14673"/>
  <c r="G32" i="14673"/>
  <c r="B32" i="14673"/>
  <c r="I32" i="14673"/>
  <c r="K32" i="14673"/>
  <c r="D32" i="14673"/>
  <c r="M32" i="14673"/>
  <c r="F32" i="14672"/>
  <c r="E32" i="14672"/>
  <c r="C32" i="14672"/>
  <c r="H32" i="14672"/>
  <c r="J32" i="14672"/>
  <c r="L32" i="14672"/>
  <c r="G32" i="14672"/>
  <c r="D32" i="14672"/>
  <c r="B32" i="14672"/>
  <c r="I32" i="14672"/>
  <c r="K32" i="14672"/>
  <c r="M32" i="14672"/>
  <c r="D18" i="14674"/>
  <c r="G18" i="14674"/>
  <c r="C18" i="14674"/>
  <c r="F18" i="14674"/>
  <c r="K18" i="14674"/>
  <c r="M18" i="14674"/>
  <c r="E18" i="14674"/>
  <c r="H18" i="14674"/>
  <c r="I18" i="14674"/>
  <c r="J18" i="14674"/>
  <c r="L18" i="14674"/>
  <c r="N18" i="14674"/>
  <c r="B70" i="14653"/>
  <c r="D70" i="14653"/>
  <c r="F70" i="14653"/>
  <c r="H70" i="14653"/>
  <c r="J70" i="14653"/>
  <c r="L70" i="14653"/>
  <c r="C70" i="14653"/>
  <c r="E70" i="14653"/>
  <c r="G70" i="14653"/>
  <c r="I70" i="14653"/>
  <c r="K70" i="14653"/>
  <c r="M70" i="14653"/>
  <c r="G76" i="14687"/>
  <c r="D76" i="14687"/>
  <c r="E76" i="14687"/>
  <c r="I76" i="14687"/>
  <c r="K76" i="14687"/>
  <c r="M76" i="14687"/>
  <c r="H76" i="14687"/>
  <c r="C76" i="14687"/>
  <c r="F76" i="14687"/>
  <c r="J76" i="14687"/>
  <c r="L76" i="14687"/>
  <c r="N76" i="14687"/>
  <c r="G57" i="14687"/>
  <c r="E57" i="14687"/>
  <c r="I57" i="14687"/>
  <c r="F57" i="14687"/>
  <c r="K57" i="14687"/>
  <c r="M57" i="14687"/>
  <c r="H57" i="14687"/>
  <c r="C57" i="14687"/>
  <c r="D57" i="14687"/>
  <c r="J57" i="14687"/>
  <c r="L57" i="14687"/>
  <c r="N57" i="14687"/>
  <c r="F19" i="14704"/>
  <c r="E19" i="14704"/>
  <c r="D19" i="14704"/>
  <c r="H19" i="14704"/>
  <c r="J19" i="14704"/>
  <c r="L19" i="14704"/>
  <c r="G19" i="14704"/>
  <c r="C19" i="14704"/>
  <c r="B19" i="14704"/>
  <c r="I19" i="14704"/>
  <c r="K19" i="14704"/>
  <c r="M19" i="14704"/>
  <c r="F31" i="14698"/>
  <c r="C31" i="14698"/>
  <c r="E31" i="14698"/>
  <c r="H31" i="14698"/>
  <c r="J31" i="14698"/>
  <c r="L31" i="14698"/>
  <c r="G31" i="14698"/>
  <c r="B31" i="14698"/>
  <c r="D31" i="14698"/>
  <c r="I31" i="14698"/>
  <c r="K31" i="14698"/>
  <c r="M31" i="14698"/>
  <c r="F31" i="14704"/>
  <c r="C31" i="14704"/>
  <c r="E31" i="14704"/>
  <c r="H31" i="14704"/>
  <c r="J31" i="14704"/>
  <c r="L31" i="14704"/>
  <c r="G31" i="14704"/>
  <c r="B31" i="14704"/>
  <c r="D31" i="14704"/>
  <c r="I31" i="14704"/>
  <c r="K31" i="14704"/>
  <c r="M31" i="14704"/>
  <c r="F8" i="14681"/>
  <c r="C8" i="14681"/>
  <c r="E8" i="14681"/>
  <c r="H8" i="14681"/>
  <c r="J8" i="14681"/>
  <c r="L8" i="14681"/>
  <c r="G8" i="14681"/>
  <c r="B8" i="14681"/>
  <c r="D8" i="14681"/>
  <c r="I8" i="14681"/>
  <c r="K8" i="14681"/>
  <c r="M8" i="14681"/>
  <c r="G30" i="14639"/>
  <c r="F30" i="14639"/>
  <c r="C30" i="14639"/>
  <c r="I30" i="14639"/>
  <c r="K30" i="14639"/>
  <c r="M30" i="14639"/>
  <c r="H30" i="14639"/>
  <c r="E30" i="14639"/>
  <c r="D30" i="14639"/>
  <c r="J30" i="14639"/>
  <c r="L30" i="14639"/>
  <c r="N30" i="14639"/>
  <c r="G4" i="14677"/>
  <c r="C4" i="14677"/>
  <c r="I4" i="14677"/>
  <c r="F4" i="14677"/>
  <c r="K4" i="14677"/>
  <c r="M4" i="14677"/>
  <c r="H4" i="14677"/>
  <c r="E4" i="14677"/>
  <c r="D4" i="14677"/>
  <c r="J4" i="14677"/>
  <c r="L4" i="14677"/>
  <c r="N4" i="14677"/>
  <c r="F4" i="7"/>
  <c r="D4" i="7"/>
  <c r="H4" i="7"/>
  <c r="B4" i="7"/>
  <c r="J4" i="7"/>
  <c r="L4" i="7"/>
  <c r="G4" i="7"/>
  <c r="E4" i="7"/>
  <c r="C4" i="7"/>
  <c r="I4" i="7"/>
  <c r="K4" i="7"/>
  <c r="M4" i="7"/>
  <c r="G84" i="14687"/>
  <c r="E84" i="14687"/>
  <c r="D84" i="14687"/>
  <c r="I84" i="14687"/>
  <c r="K84" i="14687"/>
  <c r="M84" i="14687"/>
  <c r="H84" i="14687"/>
  <c r="C84" i="14687"/>
  <c r="F84" i="14687"/>
  <c r="J84" i="14687"/>
  <c r="L84" i="14687"/>
  <c r="N84" i="14687"/>
  <c r="F4" i="14629"/>
  <c r="D4" i="14629"/>
  <c r="H4" i="14629"/>
  <c r="C4" i="14629"/>
  <c r="J4" i="14629"/>
  <c r="L4" i="14629"/>
  <c r="G4" i="14629"/>
  <c r="B4" i="14629"/>
  <c r="E4" i="14629"/>
  <c r="I4" i="14629"/>
  <c r="K4" i="14629"/>
  <c r="M4" i="14629"/>
  <c r="F31" i="14630"/>
  <c r="C31" i="14630"/>
  <c r="H31" i="14630"/>
  <c r="D31" i="14630"/>
  <c r="J31" i="14630"/>
  <c r="L31" i="14630"/>
  <c r="G31" i="14630"/>
  <c r="B31" i="14630"/>
  <c r="E31" i="14630"/>
  <c r="I31" i="14630"/>
  <c r="K31" i="14630"/>
  <c r="M31" i="14630"/>
  <c r="F31" i="14637"/>
  <c r="B31" i="14637"/>
  <c r="H31" i="14637"/>
  <c r="C31" i="14637"/>
  <c r="J31" i="14637"/>
  <c r="L31" i="14637"/>
  <c r="G31" i="14637"/>
  <c r="E31" i="14637"/>
  <c r="D31" i="14637"/>
  <c r="I31" i="14637"/>
  <c r="K31" i="14637"/>
  <c r="M31" i="14637"/>
  <c r="G8" i="14687"/>
  <c r="C8" i="14687"/>
  <c r="I8" i="14687"/>
  <c r="D8" i="14687"/>
  <c r="K8" i="14687"/>
  <c r="M8" i="14687"/>
  <c r="H8" i="14687"/>
  <c r="F8" i="14687"/>
  <c r="E8" i="14687"/>
  <c r="J8" i="14687"/>
  <c r="L8" i="14687"/>
  <c r="N8" i="14687"/>
  <c r="B32" i="14636"/>
  <c r="F32" i="14636"/>
  <c r="D32" i="14636"/>
  <c r="C32" i="14636"/>
  <c r="J32" i="14636"/>
  <c r="L32" i="14636"/>
  <c r="E32" i="14636"/>
  <c r="G32" i="14636"/>
  <c r="H32" i="14636"/>
  <c r="I32" i="14636"/>
  <c r="K32" i="14636"/>
  <c r="M32" i="14636"/>
  <c r="D28" i="14625"/>
  <c r="F28" i="14625"/>
  <c r="G28" i="14625"/>
  <c r="I28" i="14625"/>
  <c r="K28" i="14625"/>
  <c r="M28" i="14625"/>
  <c r="C28" i="14625"/>
  <c r="E28" i="14625"/>
  <c r="H28" i="14625"/>
  <c r="J28" i="14625"/>
  <c r="L28" i="14625"/>
  <c r="N28" i="14625"/>
  <c r="G19" i="14687"/>
  <c r="D19" i="14687"/>
  <c r="I19" i="14687"/>
  <c r="E19" i="14687"/>
  <c r="K19" i="14687"/>
  <c r="M19" i="14687"/>
  <c r="H19" i="14687"/>
  <c r="F19" i="14687"/>
  <c r="C19" i="14687"/>
  <c r="J19" i="14687"/>
  <c r="L19" i="14687"/>
  <c r="N19" i="14687"/>
  <c r="F6" i="14638"/>
  <c r="B6" i="14638"/>
  <c r="H6" i="14638"/>
  <c r="E6" i="14638"/>
  <c r="J6" i="14638"/>
  <c r="L6" i="14638"/>
  <c r="G6" i="14638"/>
  <c r="D6" i="14638"/>
  <c r="C6" i="14638"/>
  <c r="I6" i="14638"/>
  <c r="K6" i="14638"/>
  <c r="M6" i="14638"/>
  <c r="F4" i="14669"/>
  <c r="E4" i="14669"/>
  <c r="D4" i="14669"/>
  <c r="H4" i="14669"/>
  <c r="J4" i="14669"/>
  <c r="L4" i="14669"/>
  <c r="G4" i="14669"/>
  <c r="C4" i="14669"/>
  <c r="B4" i="14669"/>
  <c r="I4" i="14669"/>
  <c r="K4" i="14669"/>
  <c r="M4" i="14669"/>
  <c r="F7" i="14702"/>
  <c r="C7" i="14702"/>
  <c r="H7" i="14702"/>
  <c r="D7" i="14702"/>
  <c r="J7" i="14702"/>
  <c r="L7" i="14702"/>
  <c r="G7" i="14702"/>
  <c r="B7" i="14702"/>
  <c r="E7" i="14702"/>
  <c r="I7" i="14702"/>
  <c r="K7" i="14702"/>
  <c r="M7" i="14702"/>
  <c r="D5" i="14653"/>
  <c r="F5" i="14653"/>
  <c r="B5" i="14653"/>
  <c r="C5" i="14653"/>
  <c r="J5" i="14653"/>
  <c r="L5" i="14653"/>
  <c r="E5" i="14653"/>
  <c r="G5" i="14653"/>
  <c r="H5" i="14653"/>
  <c r="I5" i="14653"/>
  <c r="K5" i="14653"/>
  <c r="M5" i="14653"/>
  <c r="F6" i="14632"/>
  <c r="B6" i="14632"/>
  <c r="H6" i="14632"/>
  <c r="C6" i="14632"/>
  <c r="J6" i="14632"/>
  <c r="L6" i="14632"/>
  <c r="G6" i="14632"/>
  <c r="E6" i="14632"/>
  <c r="D6" i="14632"/>
  <c r="I6" i="14632"/>
  <c r="K6" i="14632"/>
  <c r="M6" i="14632"/>
  <c r="F6" i="14679"/>
  <c r="E6" i="14679"/>
  <c r="C6" i="14679"/>
  <c r="H6" i="14679"/>
  <c r="J6" i="14679"/>
  <c r="L6" i="14679"/>
  <c r="G6" i="14679"/>
  <c r="D6" i="14679"/>
  <c r="B6" i="14679"/>
  <c r="I6" i="14679"/>
  <c r="K6" i="14679"/>
  <c r="M6" i="14679"/>
  <c r="F4" i="14671"/>
  <c r="D4" i="14671"/>
  <c r="C4" i="14671"/>
  <c r="H4" i="14671"/>
  <c r="J4" i="14671"/>
  <c r="L4" i="14671"/>
  <c r="G4" i="14671"/>
  <c r="E4" i="14671"/>
  <c r="B4" i="14671"/>
  <c r="I4" i="14671"/>
  <c r="K4" i="14671"/>
  <c r="M4" i="14671"/>
  <c r="F26" i="14681"/>
  <c r="E26" i="14681"/>
  <c r="C26" i="14681"/>
  <c r="H26" i="14681"/>
  <c r="J26" i="14681"/>
  <c r="L26" i="14681"/>
  <c r="G26" i="14681"/>
  <c r="D26" i="14681"/>
  <c r="B26" i="14681"/>
  <c r="I26" i="14681"/>
  <c r="K26" i="14681"/>
  <c r="M26" i="14681"/>
  <c r="E44" i="14653"/>
  <c r="G44" i="14653"/>
  <c r="H44" i="14653"/>
  <c r="I44" i="14653"/>
  <c r="K44" i="14653"/>
  <c r="D44" i="14653"/>
  <c r="C44" i="14653"/>
  <c r="J44" i="14653"/>
  <c r="F44" i="14653"/>
  <c r="B44" i="14653"/>
  <c r="L44" i="14653"/>
  <c r="M44" i="14653"/>
  <c r="G19" i="14702"/>
  <c r="E19" i="14702"/>
  <c r="B19" i="14702"/>
  <c r="I19" i="14702"/>
  <c r="K19" i="14702"/>
  <c r="C19" i="14702"/>
  <c r="H19" i="14702"/>
  <c r="L19" i="14702"/>
  <c r="F19" i="14702"/>
  <c r="D19" i="14702"/>
  <c r="J19" i="14702"/>
  <c r="M19" i="14702"/>
  <c r="G45" i="14704"/>
  <c r="E45" i="14704"/>
  <c r="B45" i="14704"/>
  <c r="I45" i="14704"/>
  <c r="K45" i="14704"/>
  <c r="F45" i="14704"/>
  <c r="H45" i="14704"/>
  <c r="J45" i="14704"/>
  <c r="C45" i="14704"/>
  <c r="D45" i="14704"/>
  <c r="L45" i="14704"/>
  <c r="M45" i="14704"/>
  <c r="E71" i="14703"/>
  <c r="G71" i="14703"/>
  <c r="F71" i="14703"/>
  <c r="H71" i="14703"/>
  <c r="I71" i="14703"/>
  <c r="K71" i="14703"/>
  <c r="D71" i="14703"/>
  <c r="C71" i="14703"/>
  <c r="B71" i="14703"/>
  <c r="J71" i="14703"/>
  <c r="L71" i="14703"/>
  <c r="M71" i="14703"/>
  <c r="G16" i="14669"/>
  <c r="E16" i="14669"/>
  <c r="C16" i="14669"/>
  <c r="I16" i="14669"/>
  <c r="K16" i="14669"/>
  <c r="F16" i="14669"/>
  <c r="B16" i="14669"/>
  <c r="D16" i="14669"/>
  <c r="H16" i="14669"/>
  <c r="J16" i="14669"/>
  <c r="L16" i="14669"/>
  <c r="M16" i="14669"/>
  <c r="G6" i="14678"/>
  <c r="D6" i="14678"/>
  <c r="B6" i="14678"/>
  <c r="I6" i="14678"/>
  <c r="K6" i="14678"/>
  <c r="F6" i="14678"/>
  <c r="C6" i="14678"/>
  <c r="E6" i="14678"/>
  <c r="H6" i="14678"/>
  <c r="J6" i="14678"/>
  <c r="L6" i="14678"/>
  <c r="M6" i="14678"/>
  <c r="F5" i="14686"/>
  <c r="E5" i="14686"/>
  <c r="D5" i="14686"/>
  <c r="C5" i="14686"/>
  <c r="E48" i="14690"/>
  <c r="G48" i="14690"/>
  <c r="F48" i="14690"/>
  <c r="H48" i="14690"/>
  <c r="D15" i="14682"/>
  <c r="E15" i="14682"/>
  <c r="F15" i="14682"/>
  <c r="C15" i="14682"/>
  <c r="E28" i="14682"/>
  <c r="F28" i="14682"/>
  <c r="C28" i="14682"/>
  <c r="D28" i="14682"/>
  <c r="F41" i="14665"/>
  <c r="D41" i="14665"/>
  <c r="E41" i="14665"/>
  <c r="G41" i="14665"/>
  <c r="D4" i="14682"/>
  <c r="E4" i="14682"/>
  <c r="F4" i="14682"/>
  <c r="C4" i="14682"/>
  <c r="C18" i="14686"/>
  <c r="C28" i="14686" s="1"/>
  <c r="D18" i="14686"/>
  <c r="D28" i="14686" s="1"/>
  <c r="F18" i="14686"/>
  <c r="F28" i="14686" s="1"/>
  <c r="E18" i="14686"/>
  <c r="E28" i="14686" s="1"/>
  <c r="C38" i="14649"/>
  <c r="E38" i="14649"/>
  <c r="F38" i="14649"/>
  <c r="D38" i="14649"/>
  <c r="C37" i="14707"/>
  <c r="E37" i="14707"/>
  <c r="D37" i="14707"/>
  <c r="F37" i="14707"/>
  <c r="N19" i="14657"/>
  <c r="O19" i="14657"/>
  <c r="M19" i="14657"/>
  <c r="L19" i="14657"/>
  <c r="A72" i="14684"/>
  <c r="A71" i="14684"/>
  <c r="A74" i="14684"/>
  <c r="A73" i="14684"/>
  <c r="A70" i="14684"/>
  <c r="B87" i="14649"/>
  <c r="B86" i="14649"/>
  <c r="B84" i="14649"/>
  <c r="B85" i="14649"/>
  <c r="B83" i="14649"/>
  <c r="F36" i="14686"/>
  <c r="E36" i="14686"/>
  <c r="D36" i="14686"/>
  <c r="C36" i="14686"/>
  <c r="X5" i="14655"/>
  <c r="W5" i="14655"/>
  <c r="V5" i="14655"/>
  <c r="U5" i="14655"/>
  <c r="D37" i="14665"/>
  <c r="A54" i="14665" s="1"/>
  <c r="G37" i="14665"/>
  <c r="A57" i="14665" s="1"/>
  <c r="E37" i="14665"/>
  <c r="A55" i="14665" s="1"/>
  <c r="F37" i="14665"/>
  <c r="A56" i="14665" s="1"/>
  <c r="B94" i="14649"/>
  <c r="B93" i="14649"/>
  <c r="B96" i="14649"/>
  <c r="B95" i="14649"/>
  <c r="D46" i="14686"/>
  <c r="C46" i="14686"/>
  <c r="F46" i="14686"/>
  <c r="E46" i="14686"/>
  <c r="D35" i="14622"/>
  <c r="E35" i="14622"/>
  <c r="B35" i="14622"/>
  <c r="F35" i="14622"/>
  <c r="C35" i="14622"/>
  <c r="F87" i="14707"/>
  <c r="D87" i="14707"/>
  <c r="C87" i="14707"/>
  <c r="E87" i="14707"/>
  <c r="L3" i="14667"/>
  <c r="L3" i="14706"/>
  <c r="G57" i="14703"/>
  <c r="G18" i="14703"/>
  <c r="G44" i="14703"/>
  <c r="D56" i="14690"/>
  <c r="C67" i="14690"/>
  <c r="D67" i="14690" s="1"/>
  <c r="B17" i="14683"/>
  <c r="B47" i="14683"/>
  <c r="B32" i="14683"/>
  <c r="A7" i="14645"/>
  <c r="C59" i="14645"/>
  <c r="A61" i="14645" s="1"/>
  <c r="A18" i="14652" a="1"/>
  <c r="B18" i="14652"/>
  <c r="B31" i="14652"/>
  <c r="B136" i="14707"/>
  <c r="B22" i="14707"/>
  <c r="E18" i="14708"/>
  <c r="E29" i="14708"/>
  <c r="R6" i="14655"/>
  <c r="R8" i="14655"/>
  <c r="R10" i="14655"/>
  <c r="R12" i="14655"/>
  <c r="R14" i="14655"/>
  <c r="R16" i="14655"/>
  <c r="R18" i="14655"/>
  <c r="R20" i="14655"/>
  <c r="R22" i="14655"/>
  <c r="R24" i="14655"/>
  <c r="R26" i="14655"/>
  <c r="R7" i="14655"/>
  <c r="R9" i="14655"/>
  <c r="R11" i="14655"/>
  <c r="R13" i="14655"/>
  <c r="R15" i="14655"/>
  <c r="R17" i="14655"/>
  <c r="R19" i="14655"/>
  <c r="R21" i="14655"/>
  <c r="R23" i="14655"/>
  <c r="R25" i="14655"/>
  <c r="R27" i="14655"/>
  <c r="N38" i="14701"/>
  <c r="G7" i="14617"/>
  <c r="J22" i="14708" s="1"/>
  <c r="E104" i="14700"/>
  <c r="D250" i="14701"/>
  <c r="P247" i="14700" a="1"/>
  <c r="V195" i="14698"/>
  <c r="V194" i="14698"/>
  <c r="V187" i="14698"/>
  <c r="V192" i="14698"/>
  <c r="V193" i="14698"/>
  <c r="V190" i="14698"/>
  <c r="V191" i="14698"/>
  <c r="V189" i="14698"/>
  <c r="V188" i="14698"/>
  <c r="S174" i="14698"/>
  <c r="S172" i="14698"/>
  <c r="S176" i="14698"/>
  <c r="S175" i="14698"/>
  <c r="S177" i="14698"/>
  <c r="S173" i="14698"/>
  <c r="Y92" i="14698" a="1"/>
  <c r="M104" i="14700"/>
  <c r="K104" i="14700"/>
  <c r="W94" i="14698" a="1"/>
  <c r="U189" i="14698"/>
  <c r="U193" i="14698"/>
  <c r="U191" i="14698"/>
  <c r="U190" i="14698"/>
  <c r="U194" i="14698"/>
  <c r="U188" i="14698"/>
  <c r="U195" i="14698"/>
  <c r="U192" i="14698"/>
  <c r="X158" i="14698"/>
  <c r="X159" i="14698"/>
  <c r="X153" i="14698"/>
  <c r="X151" i="14698"/>
  <c r="X150" i="14698"/>
  <c r="X154" i="14698"/>
  <c r="X155" i="14698"/>
  <c r="X149" i="14698"/>
  <c r="X156" i="14698"/>
  <c r="X157" i="14698"/>
  <c r="X152" i="14698"/>
  <c r="Q85" i="14698"/>
  <c r="E42" i="14683"/>
  <c r="F34" i="14683" s="1" a="1"/>
  <c r="R85" i="14698"/>
  <c r="Y114" i="14698"/>
  <c r="Y116" i="14698"/>
  <c r="Y122" i="14698"/>
  <c r="Y120" i="14698"/>
  <c r="Y113" i="14698"/>
  <c r="Y123" i="14698"/>
  <c r="Y118" i="14698"/>
  <c r="Y119" i="14698"/>
  <c r="Y117" i="14698"/>
  <c r="Y121" i="14698"/>
  <c r="Y115" i="14698"/>
  <c r="Y112" i="14698"/>
  <c r="X85" i="14698"/>
  <c r="T121" i="14698"/>
  <c r="T117" i="14698"/>
  <c r="T123" i="14698"/>
  <c r="T119" i="14698"/>
  <c r="T122" i="14698"/>
  <c r="T120" i="14698"/>
  <c r="T118" i="14698"/>
  <c r="W211" i="14698"/>
  <c r="W209" i="14698"/>
  <c r="W210" i="14698"/>
  <c r="W207" i="14698"/>
  <c r="W213" i="14698"/>
  <c r="W205" i="14698"/>
  <c r="W204" i="14698"/>
  <c r="W212" i="14698"/>
  <c r="W206" i="14698"/>
  <c r="W208" i="14698"/>
  <c r="R209" i="14698"/>
  <c r="R211" i="14698"/>
  <c r="R210" i="14698"/>
  <c r="R213" i="14698"/>
  <c r="R212" i="14698"/>
  <c r="P231" i="14698"/>
  <c r="P230" i="14698"/>
  <c r="P229" i="14698"/>
  <c r="V226" i="14698"/>
  <c r="V225" i="14698"/>
  <c r="V223" i="14698"/>
  <c r="V229" i="14698"/>
  <c r="V228" i="14698"/>
  <c r="V231" i="14698"/>
  <c r="V227" i="14698"/>
  <c r="V224" i="14698"/>
  <c r="V230" i="14698"/>
  <c r="S139" i="14698"/>
  <c r="S138" i="14698"/>
  <c r="S140" i="14698"/>
  <c r="S141" i="14698"/>
  <c r="S136" i="14698"/>
  <c r="S137" i="14698"/>
  <c r="S244" i="14700" a="1"/>
  <c r="G250" i="14701"/>
  <c r="F250" i="14701"/>
  <c r="R245" i="14700" a="1"/>
  <c r="O212" i="14700"/>
  <c r="O214" i="14700" s="1"/>
  <c r="C214" i="14701"/>
  <c r="S208" i="14700" a="1"/>
  <c r="G214" i="14701"/>
  <c r="I214" i="14701"/>
  <c r="U206" i="14700" a="1"/>
  <c r="T193" i="14698"/>
  <c r="T191" i="14698"/>
  <c r="T194" i="14698"/>
  <c r="T189" i="14698"/>
  <c r="T192" i="14698"/>
  <c r="T195" i="14698"/>
  <c r="T190" i="14698"/>
  <c r="P194" i="14698"/>
  <c r="P193" i="14698"/>
  <c r="P195" i="14698"/>
  <c r="Q175" i="14698"/>
  <c r="Q174" i="14698"/>
  <c r="Q177" i="14698"/>
  <c r="Q176" i="14698"/>
  <c r="Y239" i="14698"/>
  <c r="Y246" i="14698"/>
  <c r="Y242" i="14698"/>
  <c r="Y248" i="14698"/>
  <c r="Y238" i="14698"/>
  <c r="Y244" i="14698"/>
  <c r="Y240" i="14698"/>
  <c r="Y249" i="14698"/>
  <c r="Y245" i="14698"/>
  <c r="Y243" i="14698"/>
  <c r="Y247" i="14698"/>
  <c r="Y241" i="14698"/>
  <c r="V248" i="14698"/>
  <c r="V247" i="14698"/>
  <c r="V241" i="14698"/>
  <c r="V244" i="14698"/>
  <c r="V242" i="14698"/>
  <c r="V243" i="14698"/>
  <c r="V246" i="14698"/>
  <c r="V245" i="14698"/>
  <c r="V249" i="14698"/>
  <c r="X242" i="14698"/>
  <c r="X246" i="14698"/>
  <c r="X248" i="14698"/>
  <c r="X244" i="14698"/>
  <c r="X239" i="14698"/>
  <c r="X245" i="14698"/>
  <c r="X240" i="14698"/>
  <c r="X247" i="14698"/>
  <c r="X249" i="14698"/>
  <c r="X243" i="14698"/>
  <c r="X241" i="14698"/>
  <c r="U85" i="14698"/>
  <c r="Q120" i="14698"/>
  <c r="Q121" i="14698"/>
  <c r="Q122" i="14698"/>
  <c r="Q123" i="14698"/>
  <c r="T85" i="14698"/>
  <c r="W85" i="14698"/>
  <c r="Q212" i="14698"/>
  <c r="Q210" i="14698"/>
  <c r="Q211" i="14698"/>
  <c r="Q213" i="14698"/>
  <c r="U138" i="14698"/>
  <c r="U141" i="14698"/>
  <c r="U137" i="14698"/>
  <c r="U135" i="14698"/>
  <c r="U136" i="14698"/>
  <c r="U134" i="14698"/>
  <c r="U139" i="14698"/>
  <c r="U140" i="14698"/>
  <c r="Q93" i="14701" a="1"/>
  <c r="Q93" i="14701" s="1"/>
  <c r="S91" i="14701" a="1"/>
  <c r="S91" i="14701" s="1"/>
  <c r="M97" i="14701" a="1"/>
  <c r="M97" i="14701" s="1"/>
  <c r="N96" i="14701" a="1"/>
  <c r="N96" i="14701" s="1"/>
  <c r="K99" i="14701" a="1"/>
  <c r="K99" i="14701" s="1"/>
  <c r="R92" i="14701" a="1"/>
  <c r="R92" i="14701" s="1"/>
  <c r="J100" i="14701" a="1"/>
  <c r="J100" i="14701" s="1"/>
  <c r="I101" i="14701" a="1"/>
  <c r="I101" i="14701" s="1"/>
  <c r="O95" i="14701" a="1"/>
  <c r="O95" i="14701" s="1"/>
  <c r="G103" i="14701" a="1"/>
  <c r="G103" i="14701" s="1"/>
  <c r="G40" i="14701"/>
  <c r="P94" i="14701" a="1"/>
  <c r="P94" i="14701" s="1"/>
  <c r="H102" i="14701" a="1"/>
  <c r="H102" i="14701" s="1"/>
  <c r="L98" i="14701" a="1"/>
  <c r="L98" i="14701" s="1"/>
  <c r="J97" i="14701" a="1"/>
  <c r="J97" i="14701" s="1"/>
  <c r="E102" i="14701" a="1"/>
  <c r="E102" i="14701" s="1"/>
  <c r="M94" i="14701" a="1"/>
  <c r="M94" i="14701" s="1"/>
  <c r="O92" i="14701" a="1"/>
  <c r="O92" i="14701" s="1"/>
  <c r="N93" i="14701" a="1"/>
  <c r="N93" i="14701" s="1"/>
  <c r="P91" i="14701" a="1"/>
  <c r="P91" i="14701" s="1"/>
  <c r="G100" i="14701" a="1"/>
  <c r="G100" i="14701" s="1"/>
  <c r="D103" i="14701" a="1"/>
  <c r="D103" i="14701" s="1"/>
  <c r="H99" i="14701" a="1"/>
  <c r="H99" i="14701" s="1"/>
  <c r="L95" i="14701" a="1"/>
  <c r="L95" i="14701" s="1"/>
  <c r="D40" i="14701"/>
  <c r="F101" i="14701" a="1"/>
  <c r="F101" i="14701" s="1"/>
  <c r="K96" i="14701" a="1"/>
  <c r="K96" i="14701" s="1"/>
  <c r="I98" i="14701" a="1"/>
  <c r="I98" i="14701" s="1"/>
  <c r="O96" i="14701" a="1"/>
  <c r="O96" i="14701" s="1"/>
  <c r="K100" i="14701" a="1"/>
  <c r="K100" i="14701" s="1"/>
  <c r="Q94" i="14701" a="1"/>
  <c r="Q94" i="14701" s="1"/>
  <c r="R93" i="14701" a="1"/>
  <c r="R93" i="14701" s="1"/>
  <c r="P95" i="14701" a="1"/>
  <c r="P95" i="14701" s="1"/>
  <c r="M98" i="14701" a="1"/>
  <c r="M98" i="14701" s="1"/>
  <c r="H103" i="14701" a="1"/>
  <c r="H103" i="14701" s="1"/>
  <c r="L99" i="14701" a="1"/>
  <c r="L99" i="14701" s="1"/>
  <c r="J101" i="14701" a="1"/>
  <c r="J101" i="14701" s="1"/>
  <c r="N97" i="14701" a="1"/>
  <c r="N97" i="14701" s="1"/>
  <c r="I102" i="14701" a="1"/>
  <c r="I102" i="14701" s="1"/>
  <c r="T91" i="14701" a="1"/>
  <c r="T91" i="14701" s="1"/>
  <c r="H40" i="14701"/>
  <c r="S92" i="14701" a="1"/>
  <c r="S92" i="14701" s="1"/>
  <c r="N37" i="14701"/>
  <c r="J98" i="14701" a="1"/>
  <c r="J98" i="14701" s="1"/>
  <c r="I99" i="14701" a="1"/>
  <c r="I99" i="14701" s="1"/>
  <c r="G101" i="14701" a="1"/>
  <c r="G101" i="14701" s="1"/>
  <c r="K97" i="14701" a="1"/>
  <c r="K97" i="14701" s="1"/>
  <c r="M95" i="14701" a="1"/>
  <c r="M95" i="14701" s="1"/>
  <c r="P92" i="14701" a="1"/>
  <c r="P92" i="14701" s="1"/>
  <c r="L96" i="14701" a="1"/>
  <c r="L96" i="14701" s="1"/>
  <c r="O93" i="14701" a="1"/>
  <c r="O93" i="14701" s="1"/>
  <c r="N94" i="14701" a="1"/>
  <c r="N94" i="14701" s="1"/>
  <c r="H100" i="14701" a="1"/>
  <c r="H100" i="14701" s="1"/>
  <c r="Q91" i="14701" a="1"/>
  <c r="Q91" i="14701" s="1"/>
  <c r="F102" i="14701" a="1"/>
  <c r="F102" i="14701" s="1"/>
  <c r="E103" i="14701" a="1"/>
  <c r="E103" i="14701" s="1"/>
  <c r="E40" i="14701"/>
  <c r="P97" i="14701" a="1"/>
  <c r="P97" i="14701" s="1"/>
  <c r="M100" i="14701" a="1"/>
  <c r="M100" i="14701" s="1"/>
  <c r="J103" i="14701" a="1"/>
  <c r="J103" i="14701" s="1"/>
  <c r="S94" i="14701" a="1"/>
  <c r="S94" i="14701" s="1"/>
  <c r="V91" i="14701" a="1"/>
  <c r="V91" i="14701" s="1"/>
  <c r="Q96" i="14701" a="1"/>
  <c r="Q96" i="14701" s="1"/>
  <c r="J40" i="14701"/>
  <c r="L101" i="14701" a="1"/>
  <c r="L101" i="14701" s="1"/>
  <c r="N99" i="14701" a="1"/>
  <c r="N99" i="14701" s="1"/>
  <c r="O98" i="14701" a="1"/>
  <c r="O98" i="14701" s="1"/>
  <c r="K102" i="14701" a="1"/>
  <c r="K102" i="14701" s="1"/>
  <c r="R95" i="14701" a="1"/>
  <c r="R95" i="14701" s="1"/>
  <c r="T93" i="14701" a="1"/>
  <c r="T93" i="14701" s="1"/>
  <c r="U92" i="14701" a="1"/>
  <c r="U92" i="14701" s="1"/>
  <c r="T95" i="14701" a="1"/>
  <c r="T95" i="14701" s="1"/>
  <c r="V93" i="14701" a="1"/>
  <c r="V93" i="14701" s="1"/>
  <c r="U94" i="14701" a="1"/>
  <c r="U94" i="14701" s="1"/>
  <c r="Q98" i="14701" a="1"/>
  <c r="Q98" i="14701" s="1"/>
  <c r="O100" i="14701" a="1"/>
  <c r="O100" i="14701" s="1"/>
  <c r="M102" i="14701" a="1"/>
  <c r="M102" i="14701" s="1"/>
  <c r="L40" i="14701"/>
  <c r="P99" i="14701" a="1"/>
  <c r="P99" i="14701" s="1"/>
  <c r="W92" i="14701" a="1"/>
  <c r="W92" i="14701" s="1"/>
  <c r="R97" i="14701" a="1"/>
  <c r="R97" i="14701" s="1"/>
  <c r="L103" i="14701" a="1"/>
  <c r="L103" i="14701" s="1"/>
  <c r="X91" i="14701" a="1"/>
  <c r="X91" i="14701" s="1"/>
  <c r="S96" i="14701" a="1"/>
  <c r="S96" i="14701" s="1"/>
  <c r="N101" i="14701" a="1"/>
  <c r="N101" i="14701" s="1"/>
  <c r="N34" i="14701"/>
  <c r="N39" i="14701"/>
  <c r="F124" i="14701"/>
  <c r="R119" i="14700" a="1"/>
  <c r="V115" i="14700" a="1"/>
  <c r="J124" i="14701"/>
  <c r="T82" i="14700"/>
  <c r="T84" i="14700"/>
  <c r="T81" i="14700"/>
  <c r="T78" i="14700"/>
  <c r="T79" i="14700"/>
  <c r="T80" i="14700"/>
  <c r="T83" i="14700"/>
  <c r="T117" i="14700" a="1"/>
  <c r="H124" i="14701"/>
  <c r="I196" i="14701"/>
  <c r="U188" i="14700" a="1"/>
  <c r="E196" i="14701"/>
  <c r="Q192" i="14700" a="1"/>
  <c r="T135" i="14700" a="1"/>
  <c r="H142" i="14701"/>
  <c r="G142" i="14701"/>
  <c r="S136" i="14700" a="1"/>
  <c r="L142" i="14701"/>
  <c r="X131" i="14700" a="1"/>
  <c r="O140" i="14700"/>
  <c r="O142" i="14700" s="1"/>
  <c r="C142" i="14701"/>
  <c r="R137" i="14700" a="1"/>
  <c r="F142" i="14701"/>
  <c r="L160" i="14701"/>
  <c r="X149" i="14700" a="1"/>
  <c r="F160" i="14701"/>
  <c r="R155" i="14700" a="1"/>
  <c r="U152" i="14700" a="1"/>
  <c r="I160" i="14701"/>
  <c r="M232" i="14701"/>
  <c r="Y220" i="14700" a="1"/>
  <c r="G232" i="14701"/>
  <c r="S226" i="14700" a="1"/>
  <c r="Q228" i="14700" a="1"/>
  <c r="E232" i="14701"/>
  <c r="L232" i="14701"/>
  <c r="X221" i="14700" a="1"/>
  <c r="U224" i="14700" a="1"/>
  <c r="I232" i="14701"/>
  <c r="C178" i="14701"/>
  <c r="O176" i="14700"/>
  <c r="O178" i="14700" s="1"/>
  <c r="B178" i="14701"/>
  <c r="N177" i="14700"/>
  <c r="N178" i="14700" s="1"/>
  <c r="R173" i="14700" a="1"/>
  <c r="F178" i="14701"/>
  <c r="Q192" i="14698"/>
  <c r="Q194" i="14698"/>
  <c r="Q193" i="14698"/>
  <c r="Q195" i="14698"/>
  <c r="Y190" i="14698"/>
  <c r="Y194" i="14698"/>
  <c r="Y191" i="14698"/>
  <c r="Y184" i="14698"/>
  <c r="Y189" i="14698"/>
  <c r="Y187" i="14698"/>
  <c r="Y193" i="14698"/>
  <c r="Y195" i="14698"/>
  <c r="Y188" i="14698"/>
  <c r="Y185" i="14698"/>
  <c r="Y192" i="14698"/>
  <c r="Y186" i="14698"/>
  <c r="R193" i="14698"/>
  <c r="R195" i="14698"/>
  <c r="R192" i="14698"/>
  <c r="R194" i="14698"/>
  <c r="R191" i="14698"/>
  <c r="T176" i="14698"/>
  <c r="T172" i="14698"/>
  <c r="T177" i="14698"/>
  <c r="T171" i="14698"/>
  <c r="T175" i="14698"/>
  <c r="T173" i="14698"/>
  <c r="T174" i="14698"/>
  <c r="T244" i="14698"/>
  <c r="T247" i="14698"/>
  <c r="T248" i="14698"/>
  <c r="T246" i="14698"/>
  <c r="T249" i="14698"/>
  <c r="T243" i="14698"/>
  <c r="T245" i="14698"/>
  <c r="S244" i="14698"/>
  <c r="S247" i="14698"/>
  <c r="S248" i="14698"/>
  <c r="S249" i="14698"/>
  <c r="S246" i="14698"/>
  <c r="S245" i="14698"/>
  <c r="O41" i="14639"/>
  <c r="O42" i="14639" s="1"/>
  <c r="O122" i="14700"/>
  <c r="O124" i="14700" s="1"/>
  <c r="C124" i="14701"/>
  <c r="E42" i="14622"/>
  <c r="B87" i="14701"/>
  <c r="E82" i="14643"/>
  <c r="E81" i="14643"/>
  <c r="E85" i="14643"/>
  <c r="E86" i="14643"/>
  <c r="E84" i="14643"/>
  <c r="E83" i="14643"/>
  <c r="E79" i="14643"/>
  <c r="E80" i="14643"/>
  <c r="W114" i="14700" a="1"/>
  <c r="K124" i="14701"/>
  <c r="L124" i="14701"/>
  <c r="X113" i="14700" a="1"/>
  <c r="B196" i="14701"/>
  <c r="N195" i="14700"/>
  <c r="N196" i="14700" s="1"/>
  <c r="J196" i="14701"/>
  <c r="V187" i="14700" a="1"/>
  <c r="N9" i="14640"/>
  <c r="W115" i="14698"/>
  <c r="W120" i="14698"/>
  <c r="W123" i="14698"/>
  <c r="W118" i="14698"/>
  <c r="W117" i="14698"/>
  <c r="W114" i="14698"/>
  <c r="W116" i="14698"/>
  <c r="W119" i="14698"/>
  <c r="W122" i="14698"/>
  <c r="W121" i="14698"/>
  <c r="X210" i="14698"/>
  <c r="X212" i="14698"/>
  <c r="X206" i="14698"/>
  <c r="X208" i="14698"/>
  <c r="X209" i="14698"/>
  <c r="X203" i="14698"/>
  <c r="X204" i="14698"/>
  <c r="X205" i="14698"/>
  <c r="X207" i="14698"/>
  <c r="X213" i="14698"/>
  <c r="X211" i="14698"/>
  <c r="Q228" i="14698"/>
  <c r="Q231" i="14698"/>
  <c r="Q229" i="14698"/>
  <c r="Q230" i="14698"/>
  <c r="E250" i="14701"/>
  <c r="Q246" i="14700" a="1"/>
  <c r="M250" i="14701"/>
  <c r="Y238" i="14700" a="1"/>
  <c r="V241" i="14700" a="1"/>
  <c r="J250" i="14701"/>
  <c r="C250" i="14701"/>
  <c r="O248" i="14700"/>
  <c r="O250" i="14700" s="1"/>
  <c r="J214" i="14701"/>
  <c r="V205" i="14700" a="1"/>
  <c r="X203" i="14700" a="1"/>
  <c r="L214" i="14701"/>
  <c r="M214" i="14701"/>
  <c r="Y202" i="14700" a="1"/>
  <c r="Q210" i="14700" a="1"/>
  <c r="E214" i="14701"/>
  <c r="P211" i="14700" a="1"/>
  <c r="D214" i="14701"/>
  <c r="X192" i="14698"/>
  <c r="X189" i="14698"/>
  <c r="X187" i="14698"/>
  <c r="X190" i="14698"/>
  <c r="X191" i="14698"/>
  <c r="X186" i="14698"/>
  <c r="X194" i="14698"/>
  <c r="X195" i="14698"/>
  <c r="X185" i="14698"/>
  <c r="X193" i="14698"/>
  <c r="X188" i="14698"/>
  <c r="Y171" i="14698"/>
  <c r="Y169" i="14698"/>
  <c r="Y168" i="14698"/>
  <c r="Y176" i="14698"/>
  <c r="Y177" i="14698"/>
  <c r="Y170" i="14698"/>
  <c r="Y167" i="14698"/>
  <c r="Y166" i="14698"/>
  <c r="Y174" i="14698"/>
  <c r="Y172" i="14698"/>
  <c r="Y173" i="14698"/>
  <c r="Y175" i="14698"/>
  <c r="R157" i="14698"/>
  <c r="R156" i="14698"/>
  <c r="R155" i="14698"/>
  <c r="R158" i="14698"/>
  <c r="R159" i="14698"/>
  <c r="X121" i="14698"/>
  <c r="X119" i="14698"/>
  <c r="X115" i="14698"/>
  <c r="X116" i="14698"/>
  <c r="X117" i="14698"/>
  <c r="X113" i="14698"/>
  <c r="X118" i="14698"/>
  <c r="X120" i="14698"/>
  <c r="X122" i="14698"/>
  <c r="X114" i="14698"/>
  <c r="X123" i="14698"/>
  <c r="N40" i="14700"/>
  <c r="E49" i="14683" s="1" a="1"/>
  <c r="J104" i="14700"/>
  <c r="V95" i="14698" a="1"/>
  <c r="T97" i="14698" a="1"/>
  <c r="H104" i="14700"/>
  <c r="U206" i="14698"/>
  <c r="U210" i="14698"/>
  <c r="U209" i="14698"/>
  <c r="U212" i="14698"/>
  <c r="U207" i="14698"/>
  <c r="U211" i="14698"/>
  <c r="U208" i="14698"/>
  <c r="U213" i="14698"/>
  <c r="V210" i="14698"/>
  <c r="V209" i="14698"/>
  <c r="V211" i="14698"/>
  <c r="V212" i="14698"/>
  <c r="V205" i="14698"/>
  <c r="V208" i="14698"/>
  <c r="V207" i="14698"/>
  <c r="V213" i="14698"/>
  <c r="V206" i="14698"/>
  <c r="X141" i="14698"/>
  <c r="X134" i="14698"/>
  <c r="X138" i="14698"/>
  <c r="X132" i="14698"/>
  <c r="X137" i="14698"/>
  <c r="X135" i="14698"/>
  <c r="X131" i="14698"/>
  <c r="X139" i="14698"/>
  <c r="X136" i="14698"/>
  <c r="X140" i="14698"/>
  <c r="X133" i="14698"/>
  <c r="X80" i="14700"/>
  <c r="X74" i="14700"/>
  <c r="X83" i="14700"/>
  <c r="X84" i="14700"/>
  <c r="X79" i="14700"/>
  <c r="X77" i="14700"/>
  <c r="X76" i="14700"/>
  <c r="X82" i="14700"/>
  <c r="X81" i="14700"/>
  <c r="X78" i="14700"/>
  <c r="X75" i="14700"/>
  <c r="Y112" i="14700" a="1"/>
  <c r="M124" i="14701"/>
  <c r="V81" i="14700"/>
  <c r="V78" i="14700"/>
  <c r="V80" i="14700"/>
  <c r="V84" i="14700"/>
  <c r="V83" i="14700"/>
  <c r="V76" i="14700"/>
  <c r="V77" i="14700"/>
  <c r="V82" i="14700"/>
  <c r="V79" i="14700"/>
  <c r="N123" i="14700"/>
  <c r="N124" i="14700" s="1"/>
  <c r="B124" i="14701"/>
  <c r="X185" i="14700" a="1"/>
  <c r="L196" i="14701"/>
  <c r="G196" i="14701"/>
  <c r="S190" i="14700" a="1"/>
  <c r="O194" i="14700"/>
  <c r="O196" i="14700" s="1"/>
  <c r="C196" i="14701"/>
  <c r="K142" i="14701"/>
  <c r="W132" i="14700" a="1"/>
  <c r="V133" i="14700" a="1"/>
  <c r="J142" i="14701"/>
  <c r="S154" i="14700" a="1"/>
  <c r="G160" i="14701"/>
  <c r="N159" i="14700"/>
  <c r="N160" i="14700" s="1"/>
  <c r="B160" i="14701"/>
  <c r="W222" i="14700" a="1"/>
  <c r="K232" i="14701"/>
  <c r="D232" i="14701"/>
  <c r="P229" i="14700" a="1"/>
  <c r="T171" i="14700" a="1"/>
  <c r="H178" i="14701"/>
  <c r="U170" i="14700" a="1"/>
  <c r="I178" i="14701"/>
  <c r="K178" i="14701"/>
  <c r="W168" i="14700" a="1"/>
  <c r="E35" i="4128"/>
  <c r="I5" i="14617"/>
  <c r="U152" i="14698"/>
  <c r="U157" i="14698"/>
  <c r="U156" i="14698"/>
  <c r="U154" i="14698"/>
  <c r="U155" i="14698"/>
  <c r="U159" i="14698"/>
  <c r="U153" i="14698"/>
  <c r="U158" i="14698"/>
  <c r="Y151" i="14698"/>
  <c r="Y155" i="14698"/>
  <c r="Y157" i="14698"/>
  <c r="Y154" i="14698"/>
  <c r="Y149" i="14698"/>
  <c r="Y156" i="14698"/>
  <c r="Y159" i="14698"/>
  <c r="Y158" i="14698"/>
  <c r="Y152" i="14698"/>
  <c r="Y148" i="14698"/>
  <c r="Y153" i="14698"/>
  <c r="Y150" i="14698"/>
  <c r="S159" i="14698"/>
  <c r="S156" i="14698"/>
  <c r="S155" i="14698"/>
  <c r="S157" i="14698"/>
  <c r="S158" i="14698"/>
  <c r="S154" i="14698"/>
  <c r="E74" i="14643"/>
  <c r="G66" i="14643" a="1"/>
  <c r="V85" i="14698"/>
  <c r="U118" i="14698"/>
  <c r="U121" i="14698"/>
  <c r="U116" i="14698"/>
  <c r="U117" i="14698"/>
  <c r="U120" i="14698"/>
  <c r="U122" i="14698"/>
  <c r="U119" i="14698"/>
  <c r="U123" i="14698"/>
  <c r="O85" i="14698"/>
  <c r="S231" i="14698"/>
  <c r="S228" i="14698"/>
  <c r="S227" i="14698"/>
  <c r="S230" i="14698"/>
  <c r="S226" i="14698"/>
  <c r="S229" i="14698"/>
  <c r="V139" i="14698"/>
  <c r="V140" i="14698"/>
  <c r="V135" i="14698"/>
  <c r="V136" i="14698"/>
  <c r="V141" i="14698"/>
  <c r="V134" i="14698"/>
  <c r="V133" i="14698"/>
  <c r="V138" i="14698"/>
  <c r="V137" i="14698"/>
  <c r="N249" i="14700"/>
  <c r="N250" i="14700" s="1"/>
  <c r="B250" i="14701"/>
  <c r="H214" i="14701"/>
  <c r="T207" i="14700" a="1"/>
  <c r="J14" i="14708"/>
  <c r="J20" i="14708" s="1"/>
  <c r="W191" i="14698"/>
  <c r="W186" i="14698"/>
  <c r="W195" i="14698"/>
  <c r="W189" i="14698"/>
  <c r="W194" i="14698"/>
  <c r="W188" i="14698"/>
  <c r="W190" i="14698"/>
  <c r="W193" i="14698"/>
  <c r="W187" i="14698"/>
  <c r="W192" i="14698"/>
  <c r="X173" i="14698"/>
  <c r="X168" i="14698"/>
  <c r="X174" i="14698"/>
  <c r="X177" i="14698"/>
  <c r="X171" i="14698"/>
  <c r="X169" i="14698"/>
  <c r="X167" i="14698"/>
  <c r="X175" i="14698"/>
  <c r="X170" i="14698"/>
  <c r="X172" i="14698"/>
  <c r="X176" i="14698"/>
  <c r="V154" i="14698"/>
  <c r="V155" i="14698"/>
  <c r="V151" i="14698"/>
  <c r="V159" i="14698"/>
  <c r="V156" i="14698"/>
  <c r="V152" i="14698"/>
  <c r="V153" i="14698"/>
  <c r="V157" i="14698"/>
  <c r="V158" i="14698"/>
  <c r="Q157" i="14698"/>
  <c r="Q156" i="14698"/>
  <c r="Q159" i="14698"/>
  <c r="Q158" i="14698"/>
  <c r="Y85" i="14698"/>
  <c r="P85" i="14698"/>
  <c r="S119" i="14698"/>
  <c r="S118" i="14698"/>
  <c r="S122" i="14698"/>
  <c r="S121" i="14698"/>
  <c r="S120" i="14698"/>
  <c r="S123" i="14698"/>
  <c r="Q100" i="14698" a="1"/>
  <c r="R99" i="14698" a="1"/>
  <c r="F104" i="14700"/>
  <c r="N103" i="14698"/>
  <c r="N104" i="14698" s="1"/>
  <c r="B104" i="14700"/>
  <c r="D104" i="14700"/>
  <c r="P101" i="14698" a="1"/>
  <c r="L104" i="14700"/>
  <c r="X93" i="14698" a="1"/>
  <c r="O102" i="14698"/>
  <c r="O104" i="14698" s="1"/>
  <c r="C104" i="14700"/>
  <c r="G104" i="14700"/>
  <c r="S98" i="14698" a="1"/>
  <c r="U96" i="14698" a="1"/>
  <c r="I104" i="14700"/>
  <c r="S208" i="14698"/>
  <c r="S210" i="14698"/>
  <c r="S209" i="14698"/>
  <c r="S211" i="14698"/>
  <c r="S212" i="14698"/>
  <c r="S213" i="14698"/>
  <c r="T213" i="14698"/>
  <c r="T211" i="14698"/>
  <c r="T209" i="14698"/>
  <c r="T212" i="14698"/>
  <c r="T207" i="14698"/>
  <c r="T208" i="14698"/>
  <c r="T210" i="14698"/>
  <c r="U231" i="14698"/>
  <c r="U227" i="14698"/>
  <c r="U225" i="14698"/>
  <c r="U224" i="14698"/>
  <c r="U230" i="14698"/>
  <c r="U229" i="14698"/>
  <c r="U226" i="14698"/>
  <c r="U228" i="14698"/>
  <c r="Y229" i="14698"/>
  <c r="Y224" i="14698"/>
  <c r="Y228" i="14698"/>
  <c r="Y225" i="14698"/>
  <c r="Y230" i="14698"/>
  <c r="Y231" i="14698"/>
  <c r="Y221" i="14698"/>
  <c r="Y227" i="14698"/>
  <c r="Y226" i="14698"/>
  <c r="Y223" i="14698"/>
  <c r="Y220" i="14698"/>
  <c r="Y222" i="14698"/>
  <c r="T231" i="14698"/>
  <c r="T228" i="14698"/>
  <c r="T227" i="14698"/>
  <c r="T230" i="14698"/>
  <c r="T229" i="14698"/>
  <c r="T225" i="14698"/>
  <c r="T226" i="14698"/>
  <c r="P140" i="14698"/>
  <c r="P141" i="14698"/>
  <c r="P139" i="14698"/>
  <c r="W139" i="14698"/>
  <c r="W134" i="14698"/>
  <c r="W133" i="14698"/>
  <c r="W141" i="14698"/>
  <c r="W136" i="14698"/>
  <c r="W138" i="14698"/>
  <c r="W132" i="14698"/>
  <c r="W137" i="14698"/>
  <c r="W140" i="14698"/>
  <c r="W135" i="14698"/>
  <c r="G124" i="14701"/>
  <c r="S118" i="14700" a="1"/>
  <c r="D124" i="14701"/>
  <c r="P121" i="14700" a="1"/>
  <c r="R82" i="14700"/>
  <c r="R81" i="14700"/>
  <c r="R80" i="14700"/>
  <c r="R83" i="14700"/>
  <c r="R84" i="14700"/>
  <c r="P139" i="14700" a="1"/>
  <c r="D142" i="14701"/>
  <c r="N141" i="14700"/>
  <c r="N142" i="14700" s="1"/>
  <c r="B142" i="14701"/>
  <c r="E142" i="14701"/>
  <c r="Q138" i="14700" a="1"/>
  <c r="U134" i="14700" a="1"/>
  <c r="I142" i="14701"/>
  <c r="E160" i="14701"/>
  <c r="Q156" i="14700" a="1"/>
  <c r="W150" i="14700" a="1"/>
  <c r="K160" i="14701"/>
  <c r="M160" i="14701"/>
  <c r="Y148" i="14700" a="1"/>
  <c r="P157" i="14700" a="1"/>
  <c r="D160" i="14701"/>
  <c r="N231" i="14700"/>
  <c r="N232" i="14700" s="1"/>
  <c r="B232" i="14701"/>
  <c r="J232" i="14701"/>
  <c r="V223" i="14700" a="1"/>
  <c r="R227" i="14700" a="1"/>
  <c r="F232" i="14701"/>
  <c r="H232" i="14701"/>
  <c r="T225" i="14700" a="1"/>
  <c r="Y166" i="14700" a="1"/>
  <c r="M178" i="14701"/>
  <c r="J178" i="14701"/>
  <c r="V169" i="14700" a="1"/>
  <c r="Q174" i="14700" a="1"/>
  <c r="E178" i="14701"/>
  <c r="W151" i="14698"/>
  <c r="W154" i="14698"/>
  <c r="W158" i="14698"/>
  <c r="W153" i="14698"/>
  <c r="W156" i="14698"/>
  <c r="W152" i="14698"/>
  <c r="W155" i="14698"/>
  <c r="W159" i="14698"/>
  <c r="W150" i="14698"/>
  <c r="W157" i="14698"/>
  <c r="B55" i="14700"/>
  <c r="V122" i="14698"/>
  <c r="V115" i="14698"/>
  <c r="V116" i="14698"/>
  <c r="V120" i="14698"/>
  <c r="V121" i="14698"/>
  <c r="V118" i="14698"/>
  <c r="V123" i="14698"/>
  <c r="V119" i="14698"/>
  <c r="V117" i="14698"/>
  <c r="P211" i="14698"/>
  <c r="P212" i="14698"/>
  <c r="P213" i="14698"/>
  <c r="T136" i="14698"/>
  <c r="T141" i="14698"/>
  <c r="T138" i="14698"/>
  <c r="T137" i="14698"/>
  <c r="T140" i="14698"/>
  <c r="T135" i="14698"/>
  <c r="T139" i="14698"/>
  <c r="Q139" i="14698"/>
  <c r="Q141" i="14698"/>
  <c r="Q140" i="14698"/>
  <c r="Q138" i="14698"/>
  <c r="U242" i="14700" a="1"/>
  <c r="I250" i="14701"/>
  <c r="L250" i="14701"/>
  <c r="X239" i="14700" a="1"/>
  <c r="T243" i="14700" a="1"/>
  <c r="H250" i="14701"/>
  <c r="K250" i="14701"/>
  <c r="W240" i="14700" a="1"/>
  <c r="B214" i="14701"/>
  <c r="N213" i="14700"/>
  <c r="N214" i="14700" s="1"/>
  <c r="F214" i="14701"/>
  <c r="R209" i="14700" a="1"/>
  <c r="K214" i="14701"/>
  <c r="W204" i="14700" a="1"/>
  <c r="W171" i="14698"/>
  <c r="W176" i="14698"/>
  <c r="W170" i="14698"/>
  <c r="W177" i="14698"/>
  <c r="W168" i="14698"/>
  <c r="W172" i="14698"/>
  <c r="W175" i="14698"/>
  <c r="W174" i="14698"/>
  <c r="W169" i="14698"/>
  <c r="W173" i="14698"/>
  <c r="P248" i="14698"/>
  <c r="P247" i="14698"/>
  <c r="P249" i="14698"/>
  <c r="T155" i="14698"/>
  <c r="T153" i="14698"/>
  <c r="T159" i="14698"/>
  <c r="T156" i="14698"/>
  <c r="T154" i="14698"/>
  <c r="T157" i="14698"/>
  <c r="T158" i="14698"/>
  <c r="P159" i="14698"/>
  <c r="P157" i="14698"/>
  <c r="P158" i="14698"/>
  <c r="P122" i="14698"/>
  <c r="P123" i="14698"/>
  <c r="P121" i="14698"/>
  <c r="S85" i="14698"/>
  <c r="R121" i="14698"/>
  <c r="R120" i="14698"/>
  <c r="R122" i="14698"/>
  <c r="R123" i="14698"/>
  <c r="R119" i="14698"/>
  <c r="Y206" i="14698"/>
  <c r="Y208" i="14698"/>
  <c r="Y213" i="14698"/>
  <c r="Y212" i="14698"/>
  <c r="Y202" i="14698"/>
  <c r="Y210" i="14698"/>
  <c r="Y209" i="14698"/>
  <c r="Y204" i="14698"/>
  <c r="Y203" i="14698"/>
  <c r="Y211" i="14698"/>
  <c r="Y207" i="14698"/>
  <c r="Y205" i="14698"/>
  <c r="W224" i="14698"/>
  <c r="W226" i="14698"/>
  <c r="W231" i="14698"/>
  <c r="W230" i="14698"/>
  <c r="W229" i="14698"/>
  <c r="W223" i="14698"/>
  <c r="W227" i="14698"/>
  <c r="W225" i="14698"/>
  <c r="W222" i="14698"/>
  <c r="W228" i="14698"/>
  <c r="X223" i="14698"/>
  <c r="X224" i="14698"/>
  <c r="X227" i="14698"/>
  <c r="X222" i="14698"/>
  <c r="X221" i="14698"/>
  <c r="X230" i="14698"/>
  <c r="X231" i="14698"/>
  <c r="X228" i="14698"/>
  <c r="X229" i="14698"/>
  <c r="X226" i="14698"/>
  <c r="X225" i="14698"/>
  <c r="R228" i="14698"/>
  <c r="R229" i="14698"/>
  <c r="R227" i="14698"/>
  <c r="R231" i="14698"/>
  <c r="R230" i="14698"/>
  <c r="R141" i="14698"/>
  <c r="R137" i="14698"/>
  <c r="R139" i="14698"/>
  <c r="R140" i="14698"/>
  <c r="R138" i="14698"/>
  <c r="Y141" i="14698"/>
  <c r="Y130" i="14698"/>
  <c r="Y137" i="14698"/>
  <c r="Y132" i="14698"/>
  <c r="Y136" i="14698"/>
  <c r="Y140" i="14698"/>
  <c r="Y134" i="14698"/>
  <c r="Y135" i="14698"/>
  <c r="Y139" i="14698"/>
  <c r="Y133" i="14698"/>
  <c r="Y131" i="14698"/>
  <c r="Y138" i="14698"/>
  <c r="I124" i="14701"/>
  <c r="U116" i="14700" a="1"/>
  <c r="N35" i="14701"/>
  <c r="M40" i="14701"/>
  <c r="R98" i="14701" a="1"/>
  <c r="R98" i="14701" s="1"/>
  <c r="N102" i="14701" a="1"/>
  <c r="N102" i="14701" s="1"/>
  <c r="Y91" i="14701" a="1"/>
  <c r="Y91" i="14701" s="1"/>
  <c r="O101" i="14701" a="1"/>
  <c r="O101" i="14701" s="1"/>
  <c r="S97" i="14701" a="1"/>
  <c r="S97" i="14701" s="1"/>
  <c r="Q99" i="14701" a="1"/>
  <c r="Q99" i="14701" s="1"/>
  <c r="M103" i="14701" a="1"/>
  <c r="M103" i="14701" s="1"/>
  <c r="P100" i="14701" a="1"/>
  <c r="P100" i="14701" s="1"/>
  <c r="U95" i="14701" a="1"/>
  <c r="U95" i="14701" s="1"/>
  <c r="X92" i="14701" a="1"/>
  <c r="X92" i="14701" s="1"/>
  <c r="T96" i="14701" a="1"/>
  <c r="T96" i="14701" s="1"/>
  <c r="W93" i="14701" a="1"/>
  <c r="W93" i="14701" s="1"/>
  <c r="V94" i="14701" a="1"/>
  <c r="V94" i="14701" s="1"/>
  <c r="N33" i="14701"/>
  <c r="N98" i="14701" a="1"/>
  <c r="N98" i="14701" s="1"/>
  <c r="R94" i="14701" a="1"/>
  <c r="R94" i="14701" s="1"/>
  <c r="M99" i="14701" a="1"/>
  <c r="M99" i="14701" s="1"/>
  <c r="I40" i="14701"/>
  <c r="U91" i="14701" a="1"/>
  <c r="U91" i="14701" s="1"/>
  <c r="J102" i="14701" a="1"/>
  <c r="J102" i="14701" s="1"/>
  <c r="I103" i="14701" a="1"/>
  <c r="I103" i="14701" s="1"/>
  <c r="O97" i="14701" a="1"/>
  <c r="O97" i="14701" s="1"/>
  <c r="K101" i="14701" a="1"/>
  <c r="K101" i="14701" s="1"/>
  <c r="P96" i="14701" a="1"/>
  <c r="P96" i="14701" s="1"/>
  <c r="Q95" i="14701" a="1"/>
  <c r="Q95" i="14701" s="1"/>
  <c r="S93" i="14701" a="1"/>
  <c r="S93" i="14701" s="1"/>
  <c r="L100" i="14701" a="1"/>
  <c r="L100" i="14701" s="1"/>
  <c r="T92" i="14701" a="1"/>
  <c r="T92" i="14701" s="1"/>
  <c r="K98" i="14701" a="1"/>
  <c r="K98" i="14701" s="1"/>
  <c r="N95" i="14701" a="1"/>
  <c r="N95" i="14701" s="1"/>
  <c r="Q92" i="14701" a="1"/>
  <c r="Q92" i="14701" s="1"/>
  <c r="F40" i="14701"/>
  <c r="H101" i="14701" a="1"/>
  <c r="H101" i="14701" s="1"/>
  <c r="R91" i="14701" a="1"/>
  <c r="R91" i="14701" s="1"/>
  <c r="L97" i="14701" a="1"/>
  <c r="L97" i="14701" s="1"/>
  <c r="O94" i="14701" a="1"/>
  <c r="O94" i="14701" s="1"/>
  <c r="F103" i="14701" a="1"/>
  <c r="F103" i="14701" s="1"/>
  <c r="G102" i="14701" a="1"/>
  <c r="G102" i="14701" s="1"/>
  <c r="J99" i="14701" a="1"/>
  <c r="J99" i="14701" s="1"/>
  <c r="I100" i="14701" a="1"/>
  <c r="I100" i="14701" s="1"/>
  <c r="M96" i="14701" a="1"/>
  <c r="M96" i="14701" s="1"/>
  <c r="P93" i="14701" a="1"/>
  <c r="P93" i="14701" s="1"/>
  <c r="N36" i="14701"/>
  <c r="N91" i="14701" a="1"/>
  <c r="N91" i="14701" s="1"/>
  <c r="M92" i="14701" a="1"/>
  <c r="M92" i="14701" s="1"/>
  <c r="F99" i="14701" a="1"/>
  <c r="F99" i="14701" s="1"/>
  <c r="E100" i="14701" a="1"/>
  <c r="E100" i="14701" s="1"/>
  <c r="K94" i="14701" a="1"/>
  <c r="K94" i="14701" s="1"/>
  <c r="C102" i="14701" a="1"/>
  <c r="C102" i="14701" s="1"/>
  <c r="B103" i="14701" a="1"/>
  <c r="B103" i="14701" s="1"/>
  <c r="I96" i="14701" a="1"/>
  <c r="I96" i="14701" s="1"/>
  <c r="H97" i="14701" a="1"/>
  <c r="H97" i="14701" s="1"/>
  <c r="J95" i="14701" a="1"/>
  <c r="J95" i="14701" s="1"/>
  <c r="D101" i="14701" a="1"/>
  <c r="D101" i="14701" s="1"/>
  <c r="N32" i="14701"/>
  <c r="L93" i="14701" a="1"/>
  <c r="L93" i="14701" s="1"/>
  <c r="B40" i="14701"/>
  <c r="G98" i="14701" a="1"/>
  <c r="G98" i="14701" s="1"/>
  <c r="T94" i="14701" a="1"/>
  <c r="T94" i="14701" s="1"/>
  <c r="M101" i="14701" a="1"/>
  <c r="M101" i="14701" s="1"/>
  <c r="L102" i="14701" a="1"/>
  <c r="L102" i="14701" s="1"/>
  <c r="W91" i="14701" a="1"/>
  <c r="W91" i="14701" s="1"/>
  <c r="O99" i="14701" a="1"/>
  <c r="O99" i="14701" s="1"/>
  <c r="N100" i="14701" a="1"/>
  <c r="N100" i="14701" s="1"/>
  <c r="K40" i="14701"/>
  <c r="P98" i="14701" a="1"/>
  <c r="P98" i="14701" s="1"/>
  <c r="K103" i="14701" a="1"/>
  <c r="K103" i="14701" s="1"/>
  <c r="V92" i="14701" a="1"/>
  <c r="V92" i="14701" s="1"/>
  <c r="Q97" i="14701" a="1"/>
  <c r="Q97" i="14701" s="1"/>
  <c r="U93" i="14701" a="1"/>
  <c r="U93" i="14701" s="1"/>
  <c r="S95" i="14701" a="1"/>
  <c r="S95" i="14701" s="1"/>
  <c r="R96" i="14701" a="1"/>
  <c r="R96" i="14701" s="1"/>
  <c r="N92" i="14701" a="1"/>
  <c r="N92" i="14701" s="1"/>
  <c r="C103" i="14701" a="1"/>
  <c r="C103" i="14701" s="1"/>
  <c r="O103" i="14700" s="1"/>
  <c r="F100" i="14701" a="1"/>
  <c r="F100" i="14701" s="1"/>
  <c r="G99" i="14701" a="1"/>
  <c r="G99" i="14701" s="1"/>
  <c r="K95" i="14701" a="1"/>
  <c r="K95" i="14701" s="1"/>
  <c r="H98" i="14701" a="1"/>
  <c r="H98" i="14701" s="1"/>
  <c r="C40" i="14701"/>
  <c r="L94" i="14701" a="1"/>
  <c r="L94" i="14701" s="1"/>
  <c r="M93" i="14701" a="1"/>
  <c r="M93" i="14701" s="1"/>
  <c r="J96" i="14701" a="1"/>
  <c r="J96" i="14701" s="1"/>
  <c r="I97" i="14701" a="1"/>
  <c r="I97" i="14701" s="1"/>
  <c r="D102" i="14701" a="1"/>
  <c r="D102" i="14701" s="1"/>
  <c r="O91" i="14701" a="1"/>
  <c r="O91" i="14701" s="1"/>
  <c r="E101" i="14701" a="1"/>
  <c r="E101" i="14701" s="1"/>
  <c r="S83" i="14700"/>
  <c r="S82" i="14700"/>
  <c r="S79" i="14700"/>
  <c r="S84" i="14700"/>
  <c r="S81" i="14700"/>
  <c r="S80" i="14700"/>
  <c r="Y81" i="14700"/>
  <c r="Y75" i="14700"/>
  <c r="Y77" i="14700"/>
  <c r="Y83" i="14700"/>
  <c r="Y84" i="14700"/>
  <c r="Y76" i="14700"/>
  <c r="Y78" i="14700"/>
  <c r="Y82" i="14700"/>
  <c r="Y74" i="14700"/>
  <c r="Y73" i="14700"/>
  <c r="Y80" i="14700"/>
  <c r="Y79" i="14700"/>
  <c r="B9" i="14670"/>
  <c r="I9" i="14670"/>
  <c r="H9" i="14670"/>
  <c r="F9" i="14670"/>
  <c r="G9" i="14670"/>
  <c r="C9" i="14670"/>
  <c r="J9" i="14670"/>
  <c r="M9" i="14670"/>
  <c r="L9" i="14670"/>
  <c r="E9" i="14670"/>
  <c r="K9" i="14670"/>
  <c r="D9" i="14670"/>
  <c r="P82" i="14700"/>
  <c r="P83" i="14700"/>
  <c r="P84" i="14700"/>
  <c r="E124" i="14701"/>
  <c r="Q120" i="14700" a="1"/>
  <c r="W84" i="14700"/>
  <c r="W81" i="14700"/>
  <c r="W79" i="14700"/>
  <c r="W77" i="14700"/>
  <c r="W83" i="14700"/>
  <c r="W76" i="14700"/>
  <c r="W75" i="14700"/>
  <c r="W82" i="14700"/>
  <c r="W78" i="14700"/>
  <c r="W80" i="14700"/>
  <c r="K196" i="14701"/>
  <c r="W186" i="14700" a="1"/>
  <c r="Y184" i="14700" a="1"/>
  <c r="M196" i="14701"/>
  <c r="D196" i="14701"/>
  <c r="P193" i="14700" a="1"/>
  <c r="R191" i="14700" a="1"/>
  <c r="F196" i="14701"/>
  <c r="C160" i="14701"/>
  <c r="O158" i="14700"/>
  <c r="O160" i="14700" s="1"/>
  <c r="V151" i="14700" a="1"/>
  <c r="J160" i="14701"/>
  <c r="H160" i="14701"/>
  <c r="T153" i="14700" a="1"/>
  <c r="O230" i="14700"/>
  <c r="O232" i="14700" s="1"/>
  <c r="C232" i="14701"/>
  <c r="L178" i="14701"/>
  <c r="X167" i="14700" a="1"/>
  <c r="S172" i="14700" a="1"/>
  <c r="G178" i="14701"/>
  <c r="P175" i="14700" a="1"/>
  <c r="D178" i="14701"/>
  <c r="D74" i="14643"/>
  <c r="U177" i="14698"/>
  <c r="U172" i="14698"/>
  <c r="U170" i="14698"/>
  <c r="U171" i="14698"/>
  <c r="U176" i="14698"/>
  <c r="U175" i="14698"/>
  <c r="U173" i="14698"/>
  <c r="U174" i="14698"/>
  <c r="R174" i="14698"/>
  <c r="R173" i="14698"/>
  <c r="R176" i="14698"/>
  <c r="R177" i="14698"/>
  <c r="R175" i="14698"/>
  <c r="R249" i="14698"/>
  <c r="R245" i="14698"/>
  <c r="R247" i="14698"/>
  <c r="R246" i="14698"/>
  <c r="R248" i="14698"/>
  <c r="U246" i="14698"/>
  <c r="U248" i="14698"/>
  <c r="U244" i="14698"/>
  <c r="U242" i="14698"/>
  <c r="U245" i="14698"/>
  <c r="U249" i="14698"/>
  <c r="U243" i="14698"/>
  <c r="U247" i="14698"/>
  <c r="Q246" i="14698"/>
  <c r="Q248" i="14698"/>
  <c r="Q247" i="14698"/>
  <c r="Q249" i="14698"/>
  <c r="U82" i="14700"/>
  <c r="U83" i="14700"/>
  <c r="U78" i="14700"/>
  <c r="U77" i="14700"/>
  <c r="U80" i="14700"/>
  <c r="U81" i="14700"/>
  <c r="U84" i="14700"/>
  <c r="U79" i="14700"/>
  <c r="G39" i="14683"/>
  <c r="G37" i="14683"/>
  <c r="G40" i="14683"/>
  <c r="G34" i="14683"/>
  <c r="G38" i="14683"/>
  <c r="G36" i="14683"/>
  <c r="G35" i="14683"/>
  <c r="G41" i="14683"/>
  <c r="Q81" i="14700"/>
  <c r="Q82" i="14700"/>
  <c r="Q83" i="14700"/>
  <c r="Q84" i="14700"/>
  <c r="T189" i="14700" a="1"/>
  <c r="H196" i="14701"/>
  <c r="M142" i="14701"/>
  <c r="Y130" i="14700" a="1"/>
  <c r="S194" i="14698"/>
  <c r="S192" i="14698"/>
  <c r="S193" i="14698"/>
  <c r="S190" i="14698"/>
  <c r="S195" i="14698"/>
  <c r="S191" i="14698"/>
  <c r="V176" i="14698"/>
  <c r="V169" i="14698"/>
  <c r="V171" i="14698"/>
  <c r="V177" i="14698"/>
  <c r="V174" i="14698"/>
  <c r="V172" i="14698"/>
  <c r="V175" i="14698"/>
  <c r="V173" i="14698"/>
  <c r="V170" i="14698"/>
  <c r="P176" i="14698"/>
  <c r="P177" i="14698"/>
  <c r="P175" i="14698"/>
  <c r="W247" i="14698"/>
  <c r="W245" i="14698"/>
  <c r="W244" i="14698"/>
  <c r="W246" i="14698"/>
  <c r="W249" i="14698"/>
  <c r="W241" i="14698"/>
  <c r="W240" i="14698"/>
  <c r="W248" i="14698"/>
  <c r="W243" i="14698"/>
  <c r="W242" i="14698"/>
  <c r="N47" i="14624"/>
  <c r="N49" i="14624"/>
  <c r="N45" i="14624"/>
  <c r="N50" i="14624"/>
  <c r="N48" i="14624"/>
  <c r="N51" i="14624"/>
  <c r="N42" i="14624"/>
  <c r="N38" i="14624"/>
  <c r="N46" i="14624"/>
  <c r="N37" i="14624"/>
  <c r="N44" i="14624"/>
  <c r="N41" i="14624"/>
  <c r="N43" i="14624"/>
  <c r="N40" i="14624"/>
  <c r="N39" i="14624"/>
  <c r="N36" i="14624"/>
  <c r="N35" i="14624"/>
  <c r="V27" i="14655"/>
  <c r="U28" i="14655"/>
  <c r="B15" i="14667"/>
  <c r="G26" i="14622"/>
  <c r="G28" i="14622" s="1"/>
  <c r="B13" i="14706"/>
  <c r="I11" i="14622"/>
  <c r="C22" i="11"/>
  <c r="C21" i="14625"/>
  <c r="J21" i="14625"/>
  <c r="L21" i="14625"/>
  <c r="D21" i="14625"/>
  <c r="D26" i="11"/>
  <c r="G24" i="14626"/>
  <c r="G21" i="14626" s="1"/>
  <c r="G16" i="14626" s="1"/>
  <c r="D29" i="14706"/>
  <c r="M21" i="14625"/>
  <c r="D40" i="14667"/>
  <c r="N21" i="14625"/>
  <c r="H21" i="14625"/>
  <c r="E21" i="14625"/>
  <c r="K21" i="14625"/>
  <c r="F21" i="14625"/>
  <c r="G21" i="14625"/>
  <c r="I21" i="14625"/>
  <c r="E23" i="4128" l="1"/>
  <c r="C48" i="14648" a="1"/>
  <c r="C6" i="14641" a="1"/>
  <c r="N7" i="14640"/>
  <c r="J42" i="14645"/>
  <c r="J43" i="14645" s="1"/>
  <c r="H42" i="14645"/>
  <c r="H43" i="14645" s="1"/>
  <c r="Q174" i="14702"/>
  <c r="J17" i="14667"/>
  <c r="Q175" i="14702"/>
  <c r="J12" i="14706"/>
  <c r="J11" i="14706"/>
  <c r="K42" i="14645"/>
  <c r="K43" i="14645" s="1"/>
  <c r="E42" i="14645"/>
  <c r="E43" i="14645" s="1"/>
  <c r="B42" i="14645"/>
  <c r="I42" i="14645"/>
  <c r="I43" i="14645" s="1"/>
  <c r="C7" i="14676" a="1"/>
  <c r="D42" i="14645"/>
  <c r="D43" i="14645" s="1"/>
  <c r="L42" i="14645"/>
  <c r="L43" i="14645" s="1"/>
  <c r="M42" i="14645"/>
  <c r="G42" i="14645"/>
  <c r="G43" i="14645" s="1"/>
  <c r="F42" i="14645"/>
  <c r="F43" i="14645" s="1"/>
  <c r="C42" i="14645"/>
  <c r="Q176" i="14702"/>
  <c r="Q210" i="14702"/>
  <c r="P229" i="14702"/>
  <c r="C27" i="14678"/>
  <c r="C10" i="14671" s="1"/>
  <c r="P85" i="14702"/>
  <c r="Q212" i="14702"/>
  <c r="Q213" i="14702"/>
  <c r="Q85" i="14702"/>
  <c r="E27" i="14678"/>
  <c r="E10" i="14671" s="1"/>
  <c r="H27" i="14678"/>
  <c r="H10" i="14671" s="1"/>
  <c r="D27" i="14678"/>
  <c r="D10" i="14671" s="1"/>
  <c r="F27" i="14678"/>
  <c r="F10" i="14671" s="1"/>
  <c r="U104" i="14704"/>
  <c r="N36" i="14668"/>
  <c r="C250" i="14702"/>
  <c r="N15" i="14678"/>
  <c r="L40" i="14668"/>
  <c r="M40" i="14668"/>
  <c r="D40" i="14668"/>
  <c r="I40" i="14668"/>
  <c r="F40" i="14668"/>
  <c r="E40" i="14668"/>
  <c r="C40" i="14668"/>
  <c r="H40" i="14668"/>
  <c r="B40" i="14668"/>
  <c r="K40" i="14668"/>
  <c r="J40" i="14668"/>
  <c r="G40" i="14668"/>
  <c r="Q28" i="14678"/>
  <c r="E24" i="14679" a="1"/>
  <c r="N37" i="14668"/>
  <c r="B39" i="14710"/>
  <c r="N39" i="14710" s="1"/>
  <c r="N5" i="14670"/>
  <c r="J5" i="14617" s="1" a="1"/>
  <c r="B7" i="14670" a="1"/>
  <c r="F11" i="14657"/>
  <c r="E8" i="14710"/>
  <c r="F25" i="14679" a="1"/>
  <c r="R28" i="14678"/>
  <c r="N32" i="14668"/>
  <c r="K39" i="14652"/>
  <c r="K40" i="14652"/>
  <c r="K36" i="14652"/>
  <c r="K33" i="14652"/>
  <c r="K35" i="14652"/>
  <c r="K34" i="14652"/>
  <c r="K38" i="14652"/>
  <c r="K37" i="14652"/>
  <c r="G32" i="14707"/>
  <c r="H24" i="14707" s="1" a="1"/>
  <c r="P28" i="14678"/>
  <c r="D23" i="14679" a="1"/>
  <c r="E56" i="14690" a="1"/>
  <c r="P231" i="14702"/>
  <c r="B21" i="14679" a="1"/>
  <c r="N28" i="14678"/>
  <c r="N39" i="14668"/>
  <c r="G27" i="14683"/>
  <c r="C22" i="14679" a="1"/>
  <c r="O28" i="14678"/>
  <c r="B45" i="14681"/>
  <c r="N45" i="14681" s="1"/>
  <c r="G23" i="14657" s="1"/>
  <c r="N25" i="14669"/>
  <c r="B5" i="14671" a="1"/>
  <c r="N34" i="14668"/>
  <c r="B14" i="14693" a="1"/>
  <c r="M27" i="14678"/>
  <c r="M28" i="14678" s="1"/>
  <c r="I36" i="14675"/>
  <c r="H34" i="14675"/>
  <c r="J36" i="14675"/>
  <c r="L35" i="14675"/>
  <c r="E34" i="14675"/>
  <c r="L37" i="14675"/>
  <c r="M38" i="14675"/>
  <c r="C34" i="14675"/>
  <c r="F33" i="14675"/>
  <c r="M33" i="14675"/>
  <c r="N32" i="14675"/>
  <c r="D34" i="14675"/>
  <c r="I37" i="14675"/>
  <c r="L34" i="14675"/>
  <c r="H33" i="14675"/>
  <c r="L33" i="14675"/>
  <c r="G38" i="14675"/>
  <c r="I35" i="14675"/>
  <c r="C32" i="14675"/>
  <c r="D32" i="14675"/>
  <c r="G31" i="14675"/>
  <c r="D36" i="14675"/>
  <c r="E33" i="14675"/>
  <c r="M32" i="14675"/>
  <c r="M35" i="14675"/>
  <c r="E32" i="14675"/>
  <c r="E37" i="14675"/>
  <c r="L38" i="14675"/>
  <c r="E38" i="14675"/>
  <c r="F37" i="14675"/>
  <c r="G33" i="14675"/>
  <c r="D31" i="14675"/>
  <c r="N37" i="14675"/>
  <c r="N34" i="14675"/>
  <c r="D33" i="14675"/>
  <c r="M31" i="14675"/>
  <c r="M36" i="14675"/>
  <c r="H32" i="14675"/>
  <c r="E31" i="14675"/>
  <c r="G34" i="14675"/>
  <c r="I38" i="14675"/>
  <c r="G32" i="14675"/>
  <c r="F36" i="14675"/>
  <c r="G36" i="14675"/>
  <c r="N36" i="14675"/>
  <c r="I32" i="14675"/>
  <c r="M37" i="14675"/>
  <c r="K38" i="14675"/>
  <c r="F31" i="14675"/>
  <c r="L31" i="14675"/>
  <c r="D37" i="14675"/>
  <c r="L36" i="14675"/>
  <c r="D35" i="14675"/>
  <c r="J35" i="14675"/>
  <c r="J32" i="14675"/>
  <c r="G37" i="14675"/>
  <c r="I33" i="14675"/>
  <c r="J34" i="14675"/>
  <c r="I31" i="14675"/>
  <c r="K34" i="14675"/>
  <c r="H36" i="14675"/>
  <c r="N35" i="14675"/>
  <c r="K31" i="14675"/>
  <c r="N31" i="14675"/>
  <c r="F34" i="14675"/>
  <c r="C37" i="14675"/>
  <c r="K33" i="14675"/>
  <c r="H37" i="14675"/>
  <c r="K35" i="14675"/>
  <c r="C38" i="14675"/>
  <c r="H35" i="14675"/>
  <c r="C35" i="14675"/>
  <c r="H38" i="14675"/>
  <c r="L32" i="14675"/>
  <c r="M34" i="14675"/>
  <c r="K32" i="14675"/>
  <c r="E36" i="14675"/>
  <c r="C33" i="14675"/>
  <c r="J38" i="14675"/>
  <c r="F35" i="14675"/>
  <c r="G35" i="14675"/>
  <c r="K36" i="14675"/>
  <c r="E35" i="14675"/>
  <c r="I34" i="14675"/>
  <c r="N33" i="14675"/>
  <c r="H31" i="14675"/>
  <c r="K37" i="14675"/>
  <c r="J31" i="14675"/>
  <c r="F32" i="14675"/>
  <c r="D38" i="14675"/>
  <c r="N38" i="14675"/>
  <c r="F38" i="14675"/>
  <c r="J33" i="14675"/>
  <c r="C36" i="14675"/>
  <c r="J37" i="14675"/>
  <c r="C31" i="14675"/>
  <c r="N38" i="14668"/>
  <c r="K27" i="14678"/>
  <c r="K10" i="14671" s="1"/>
  <c r="G26" i="14679"/>
  <c r="S28" i="14678"/>
  <c r="F13" i="14679"/>
  <c r="K12" i="14679"/>
  <c r="B13" i="14679"/>
  <c r="K7" i="14679"/>
  <c r="B10" i="14679"/>
  <c r="G8" i="14679"/>
  <c r="M8" i="14679"/>
  <c r="J7" i="14679"/>
  <c r="M11" i="14679"/>
  <c r="H12" i="14679"/>
  <c r="F9" i="14679"/>
  <c r="L14" i="14679"/>
  <c r="C13" i="14679"/>
  <c r="B12" i="14679"/>
  <c r="F8" i="14679"/>
  <c r="F7" i="14679"/>
  <c r="G13" i="14679"/>
  <c r="L10" i="14679"/>
  <c r="B11" i="14679"/>
  <c r="I13" i="14679"/>
  <c r="K11" i="14679"/>
  <c r="D12" i="14679"/>
  <c r="E11" i="14679"/>
  <c r="I10" i="14679"/>
  <c r="J13" i="14679"/>
  <c r="L7" i="14679"/>
  <c r="E7" i="14679"/>
  <c r="G12" i="14679"/>
  <c r="I11" i="14679"/>
  <c r="C11" i="14679"/>
  <c r="L11" i="14679"/>
  <c r="H7" i="14679"/>
  <c r="F14" i="14679"/>
  <c r="H11" i="14679"/>
  <c r="H10" i="14679"/>
  <c r="D14" i="14679"/>
  <c r="E8" i="14679"/>
  <c r="F12" i="14679"/>
  <c r="I8" i="14679"/>
  <c r="G9" i="14679"/>
  <c r="E13" i="14679"/>
  <c r="D7" i="14679"/>
  <c r="D11" i="14679"/>
  <c r="B7" i="14679"/>
  <c r="K14" i="14679"/>
  <c r="L9" i="14679"/>
  <c r="D13" i="14679"/>
  <c r="M10" i="14679"/>
  <c r="B14" i="14679"/>
  <c r="J10" i="14679"/>
  <c r="C14" i="14679"/>
  <c r="J9" i="14679"/>
  <c r="L8" i="14679"/>
  <c r="D10" i="14679"/>
  <c r="C9" i="14679"/>
  <c r="K9" i="14679"/>
  <c r="M13" i="14679"/>
  <c r="K13" i="14679"/>
  <c r="J11" i="14679"/>
  <c r="K8" i="14679"/>
  <c r="I14" i="14679"/>
  <c r="L13" i="14679"/>
  <c r="K10" i="14679"/>
  <c r="F10" i="14679"/>
  <c r="L12" i="14679"/>
  <c r="M12" i="14679"/>
  <c r="M14" i="14679"/>
  <c r="C12" i="14679"/>
  <c r="J8" i="14679"/>
  <c r="I9" i="14679"/>
  <c r="G7" i="14679"/>
  <c r="E14" i="14679"/>
  <c r="J14" i="14679"/>
  <c r="B8" i="14679"/>
  <c r="H9" i="14679"/>
  <c r="H8" i="14679"/>
  <c r="H14" i="14679"/>
  <c r="C8" i="14679"/>
  <c r="I12" i="14679"/>
  <c r="D9" i="14679"/>
  <c r="C10" i="14679"/>
  <c r="G11" i="14679"/>
  <c r="M9" i="14679"/>
  <c r="D8" i="14679"/>
  <c r="E12" i="14679"/>
  <c r="H13" i="14679"/>
  <c r="E9" i="14679"/>
  <c r="C7" i="14679"/>
  <c r="B9" i="14679"/>
  <c r="I7" i="14679"/>
  <c r="G14" i="14679"/>
  <c r="J12" i="14679"/>
  <c r="G10" i="14679"/>
  <c r="F11" i="14679"/>
  <c r="E10" i="14679"/>
  <c r="M7" i="14679"/>
  <c r="J27" i="14678"/>
  <c r="J10" i="14671" s="1"/>
  <c r="L27" i="14678"/>
  <c r="I27" i="14678"/>
  <c r="I10" i="14671" s="1"/>
  <c r="I19" i="14683" a="1"/>
  <c r="B32" i="14669" a="1"/>
  <c r="I24" i="14707" a="1"/>
  <c r="C92" i="14643" a="1"/>
  <c r="E30" i="14690" a="1"/>
  <c r="N35" i="14668"/>
  <c r="N33" i="14668"/>
  <c r="C41" i="14674" a="1"/>
  <c r="O39" i="14674"/>
  <c r="G27" i="14678"/>
  <c r="O19" i="14674"/>
  <c r="C87" i="14643"/>
  <c r="N55" i="14624"/>
  <c r="B29" i="14682" a="1"/>
  <c r="P176" i="14702"/>
  <c r="P175" i="14702"/>
  <c r="S226" i="14701" a="1"/>
  <c r="S228" i="14701" s="1"/>
  <c r="E250" i="14702"/>
  <c r="E52" i="14683"/>
  <c r="E53" i="14683"/>
  <c r="E51" i="14683"/>
  <c r="Q120" i="14701" a="1"/>
  <c r="Q120" i="14701" s="1"/>
  <c r="O232" i="14701"/>
  <c r="R173" i="14701" a="1"/>
  <c r="R173" i="14701" s="1"/>
  <c r="O196" i="14701"/>
  <c r="X104" i="14704"/>
  <c r="N33" i="14667"/>
  <c r="N32" i="14667" s="1"/>
  <c r="L32" i="14667"/>
  <c r="N35" i="14706"/>
  <c r="N34" i="14706" s="1"/>
  <c r="L34" i="14706"/>
  <c r="E64" i="14703"/>
  <c r="C65" i="14703"/>
  <c r="L65" i="14703"/>
  <c r="H65" i="14703"/>
  <c r="M64" i="14703"/>
  <c r="K65" i="14703"/>
  <c r="E65" i="14703"/>
  <c r="I59" i="14703"/>
  <c r="I64" i="14703"/>
  <c r="R122" i="14702"/>
  <c r="Q82" i="14701"/>
  <c r="F62" i="14703"/>
  <c r="M62" i="14703"/>
  <c r="K62" i="14703"/>
  <c r="N249" i="14701"/>
  <c r="N250" i="14701" s="1"/>
  <c r="L66" i="14703"/>
  <c r="M59" i="14703"/>
  <c r="H61" i="14703"/>
  <c r="Q195" i="14702"/>
  <c r="U157" i="14702"/>
  <c r="T118" i="14702"/>
  <c r="F59" i="14703"/>
  <c r="J64" i="14703"/>
  <c r="H64" i="14703"/>
  <c r="B64" i="14703"/>
  <c r="F63" i="14703"/>
  <c r="R123" i="14702"/>
  <c r="C62" i="14703"/>
  <c r="P194" i="14702"/>
  <c r="Q81" i="14701"/>
  <c r="D66" i="14703"/>
  <c r="C66" i="14703"/>
  <c r="D196" i="14702"/>
  <c r="F61" i="14703"/>
  <c r="W115" i="14702"/>
  <c r="X74" i="14701"/>
  <c r="U158" i="14702"/>
  <c r="V205" i="14702"/>
  <c r="Y249" i="14702"/>
  <c r="B59" i="14703"/>
  <c r="H59" i="14703"/>
  <c r="J59" i="14703"/>
  <c r="C64" i="14703"/>
  <c r="F64" i="14703"/>
  <c r="K64" i="14703"/>
  <c r="G64" i="14703"/>
  <c r="D64" i="14703"/>
  <c r="L63" i="14703"/>
  <c r="C63" i="14703"/>
  <c r="S190" i="14702"/>
  <c r="R121" i="14702"/>
  <c r="U137" i="14702"/>
  <c r="J62" i="14703"/>
  <c r="P195" i="14702"/>
  <c r="Y176" i="14702"/>
  <c r="I36" i="14683"/>
  <c r="S136" i="14702"/>
  <c r="Q84" i="14701"/>
  <c r="E66" i="14703"/>
  <c r="F66" i="14703"/>
  <c r="B66" i="14703"/>
  <c r="I66" i="14703"/>
  <c r="K142" i="14702"/>
  <c r="V135" i="14702"/>
  <c r="W213" i="14702"/>
  <c r="W159" i="14702"/>
  <c r="X193" i="14702"/>
  <c r="O84" i="14701"/>
  <c r="O85" i="14701" s="1"/>
  <c r="W223" i="14702"/>
  <c r="Y175" i="14702"/>
  <c r="Y167" i="14702"/>
  <c r="I35" i="14683"/>
  <c r="P121" i="14702"/>
  <c r="E61" i="14703"/>
  <c r="W140" i="14702"/>
  <c r="U207" i="14702"/>
  <c r="V175" i="14702"/>
  <c r="D60" i="14703"/>
  <c r="B60" i="14703"/>
  <c r="C61" i="14703"/>
  <c r="I61" i="14703"/>
  <c r="J61" i="14703"/>
  <c r="U190" i="14702"/>
  <c r="Q192" i="14702"/>
  <c r="W117" i="14702"/>
  <c r="R210" i="14702"/>
  <c r="O142" i="14701"/>
  <c r="X77" i="14701"/>
  <c r="X82" i="14701"/>
  <c r="R173" i="14702"/>
  <c r="U156" i="14702"/>
  <c r="U155" i="14702"/>
  <c r="F65" i="14703"/>
  <c r="V208" i="14702"/>
  <c r="V210" i="14702"/>
  <c r="W168" i="14702"/>
  <c r="Y239" i="14702"/>
  <c r="T140" i="14702"/>
  <c r="S249" i="14702"/>
  <c r="V81" i="14701"/>
  <c r="K60" i="14703"/>
  <c r="E60" i="14703"/>
  <c r="Y77" i="14701"/>
  <c r="X85" i="14702"/>
  <c r="K61" i="14703"/>
  <c r="L61" i="14703"/>
  <c r="G61" i="14703"/>
  <c r="D61" i="14703"/>
  <c r="M61" i="14703"/>
  <c r="W137" i="14702"/>
  <c r="X207" i="14702"/>
  <c r="Q193" i="14702"/>
  <c r="W119" i="14702"/>
  <c r="W114" i="14702"/>
  <c r="W118" i="14702"/>
  <c r="R209" i="14702"/>
  <c r="X79" i="14701"/>
  <c r="X78" i="14701"/>
  <c r="X83" i="14701"/>
  <c r="S173" i="14702"/>
  <c r="R174" i="14702"/>
  <c r="U153" i="14702"/>
  <c r="U152" i="14702"/>
  <c r="U159" i="14702"/>
  <c r="J65" i="14703"/>
  <c r="M65" i="14703"/>
  <c r="B65" i="14703"/>
  <c r="V209" i="14702"/>
  <c r="V213" i="14702"/>
  <c r="W175" i="14702"/>
  <c r="Y247" i="14702"/>
  <c r="T136" i="14702"/>
  <c r="S245" i="14702"/>
  <c r="V78" i="14701"/>
  <c r="G65" i="14703"/>
  <c r="I65" i="14703"/>
  <c r="I60" i="14703"/>
  <c r="F60" i="14703"/>
  <c r="H60" i="14703"/>
  <c r="M60" i="14703"/>
  <c r="C60" i="14703"/>
  <c r="J60" i="14703"/>
  <c r="G60" i="14703"/>
  <c r="J232" i="14702"/>
  <c r="O85" i="14702"/>
  <c r="G59" i="14703"/>
  <c r="E59" i="14703"/>
  <c r="D59" i="14703"/>
  <c r="L59" i="14703"/>
  <c r="C59" i="14703"/>
  <c r="G63" i="14703"/>
  <c r="J63" i="14703"/>
  <c r="H63" i="14703"/>
  <c r="P213" i="14702"/>
  <c r="S212" i="14702"/>
  <c r="B142" i="14702"/>
  <c r="U171" i="14702"/>
  <c r="V141" i="14702"/>
  <c r="Y189" i="14702"/>
  <c r="W211" i="14702"/>
  <c r="S83" i="14701"/>
  <c r="N231" i="14701"/>
  <c r="N232" i="14701" s="1"/>
  <c r="W156" i="14702"/>
  <c r="Y135" i="14702"/>
  <c r="R119" i="14702"/>
  <c r="U136" i="14702"/>
  <c r="X191" i="14702"/>
  <c r="W225" i="14702"/>
  <c r="I62" i="14703"/>
  <c r="D62" i="14703"/>
  <c r="G62" i="14703"/>
  <c r="X150" i="14702"/>
  <c r="Y170" i="14702"/>
  <c r="Y168" i="14702"/>
  <c r="Y171" i="14702"/>
  <c r="B104" i="14704"/>
  <c r="I41" i="14683"/>
  <c r="I40" i="14683"/>
  <c r="X249" i="14702"/>
  <c r="S141" i="14702"/>
  <c r="S137" i="14702"/>
  <c r="T121" i="14702"/>
  <c r="T123" i="14702"/>
  <c r="L62" i="14703"/>
  <c r="B62" i="14703"/>
  <c r="E62" i="14703"/>
  <c r="H66" i="14703"/>
  <c r="G66" i="14703"/>
  <c r="M66" i="14703"/>
  <c r="J66" i="14703"/>
  <c r="R137" i="14701" a="1"/>
  <c r="R139" i="14701" s="1"/>
  <c r="Q100" i="14702" a="1"/>
  <c r="Q103" i="14702" s="1"/>
  <c r="N54" i="14703"/>
  <c r="P141" i="14702"/>
  <c r="W135" i="14702"/>
  <c r="U229" i="14702"/>
  <c r="P158" i="14702"/>
  <c r="S176" i="14702"/>
  <c r="S177" i="14702"/>
  <c r="N159" i="14701"/>
  <c r="N160" i="14701" s="1"/>
  <c r="W173" i="14702"/>
  <c r="W169" i="14702"/>
  <c r="W176" i="14702"/>
  <c r="Y245" i="14702"/>
  <c r="Y240" i="14702"/>
  <c r="Y241" i="14702"/>
  <c r="T141" i="14702"/>
  <c r="S248" i="14702"/>
  <c r="V80" i="14701"/>
  <c r="V82" i="14701"/>
  <c r="U152" i="14701" a="1"/>
  <c r="U157" i="14701" s="1"/>
  <c r="R191" i="14701" a="1"/>
  <c r="R192" i="14701" s="1"/>
  <c r="D63" i="14703"/>
  <c r="E63" i="14703"/>
  <c r="M63" i="14703"/>
  <c r="I63" i="14703"/>
  <c r="B63" i="14703"/>
  <c r="X115" i="14702"/>
  <c r="O178" i="14701"/>
  <c r="S194" i="14702"/>
  <c r="S193" i="14702"/>
  <c r="S211" i="14702"/>
  <c r="U173" i="14702"/>
  <c r="V134" i="14702"/>
  <c r="V137" i="14702"/>
  <c r="W206" i="14702"/>
  <c r="W209" i="14702"/>
  <c r="W205" i="14702"/>
  <c r="T81" i="14701"/>
  <c r="W150" i="14702"/>
  <c r="W151" i="14702"/>
  <c r="W155" i="14702"/>
  <c r="Y131" i="14702"/>
  <c r="Q157" i="14702"/>
  <c r="U138" i="14702"/>
  <c r="U134" i="14702"/>
  <c r="X188" i="14702"/>
  <c r="T189" i="14702"/>
  <c r="X155" i="14702"/>
  <c r="S231" i="14702"/>
  <c r="Y115" i="14702"/>
  <c r="Y177" i="14702"/>
  <c r="Y166" i="14702"/>
  <c r="Y172" i="14702"/>
  <c r="Y174" i="14702"/>
  <c r="Y169" i="14702"/>
  <c r="Y73" i="14701"/>
  <c r="I39" i="14683"/>
  <c r="I34" i="14683"/>
  <c r="I37" i="14683"/>
  <c r="S139" i="14702"/>
  <c r="S138" i="14702"/>
  <c r="T173" i="14702"/>
  <c r="T120" i="14702"/>
  <c r="T122" i="14702"/>
  <c r="T119" i="14702"/>
  <c r="X221" i="14701" a="1"/>
  <c r="X230" i="14701" s="1"/>
  <c r="P211" i="14701" a="1"/>
  <c r="P211" i="14701" s="1"/>
  <c r="K214" i="14702"/>
  <c r="D142" i="14702"/>
  <c r="W85" i="14702"/>
  <c r="Q210" i="14701" a="1"/>
  <c r="Q210" i="14701" s="1"/>
  <c r="Q192" i="14701" a="1"/>
  <c r="Q195" i="14701" s="1"/>
  <c r="N196" i="14702"/>
  <c r="S190" i="14701" a="1"/>
  <c r="S193" i="14701" s="1"/>
  <c r="P193" i="14701" a="1"/>
  <c r="P193" i="14701" s="1"/>
  <c r="Y85" i="14702"/>
  <c r="R141" i="14702"/>
  <c r="W138" i="14702"/>
  <c r="W134" i="14702"/>
  <c r="X204" i="14702"/>
  <c r="B178" i="14702"/>
  <c r="V121" i="14702"/>
  <c r="E98" i="14643"/>
  <c r="Y151" i="14702"/>
  <c r="W120" i="14702"/>
  <c r="W123" i="14702"/>
  <c r="W116" i="14702"/>
  <c r="W122" i="14702"/>
  <c r="R211" i="14702"/>
  <c r="R212" i="14702"/>
  <c r="X81" i="14701"/>
  <c r="X80" i="14701"/>
  <c r="X84" i="14701"/>
  <c r="X75" i="14701"/>
  <c r="S175" i="14702"/>
  <c r="S174" i="14702"/>
  <c r="R177" i="14702"/>
  <c r="R176" i="14702"/>
  <c r="X229" i="14702"/>
  <c r="V206" i="14702"/>
  <c r="V207" i="14702"/>
  <c r="V211" i="14702"/>
  <c r="W172" i="14702"/>
  <c r="W171" i="14702"/>
  <c r="W177" i="14702"/>
  <c r="W174" i="14702"/>
  <c r="Y246" i="14702"/>
  <c r="Y248" i="14702"/>
  <c r="Y244" i="14702"/>
  <c r="Y238" i="14702"/>
  <c r="Y242" i="14702"/>
  <c r="T135" i="14702"/>
  <c r="T139" i="14702"/>
  <c r="T137" i="14702"/>
  <c r="X137" i="14702"/>
  <c r="S246" i="14702"/>
  <c r="S244" i="14702"/>
  <c r="V83" i="14701"/>
  <c r="V84" i="14701"/>
  <c r="V77" i="14701"/>
  <c r="V79" i="14701"/>
  <c r="O124" i="14702"/>
  <c r="J196" i="14702"/>
  <c r="C142" i="14702"/>
  <c r="G196" i="14702"/>
  <c r="B215" i="14704" a="1"/>
  <c r="R215" i="14704" s="1"/>
  <c r="X122" i="14702"/>
  <c r="X118" i="14702"/>
  <c r="Y193" i="14702"/>
  <c r="Y185" i="14702"/>
  <c r="Y132" i="14702"/>
  <c r="T192" i="14702"/>
  <c r="J9" i="14671"/>
  <c r="W83" i="14701"/>
  <c r="U123" i="14702"/>
  <c r="Y120" i="14702"/>
  <c r="Y230" i="14702"/>
  <c r="T225" i="14702"/>
  <c r="P104" i="14704"/>
  <c r="N160" i="14702"/>
  <c r="N40" i="14704"/>
  <c r="P140" i="14702"/>
  <c r="R137" i="14702"/>
  <c r="N213" i="14701"/>
  <c r="N214" i="14701" s="1"/>
  <c r="X177" i="14702"/>
  <c r="V224" i="14702"/>
  <c r="Y159" i="14702"/>
  <c r="X221" i="14702"/>
  <c r="W244" i="14702"/>
  <c r="I232" i="14702"/>
  <c r="V169" i="14701" a="1"/>
  <c r="V173" i="14701" s="1"/>
  <c r="X171" i="14702"/>
  <c r="P84" i="14701"/>
  <c r="W241" i="14702"/>
  <c r="D214" i="14702"/>
  <c r="H196" i="14702"/>
  <c r="S118" i="14701" a="1"/>
  <c r="S120" i="14701" s="1"/>
  <c r="O97" i="14702" a="1"/>
  <c r="O97" i="14702" s="1"/>
  <c r="H178" i="14702"/>
  <c r="N178" i="14702"/>
  <c r="T153" i="14701" a="1"/>
  <c r="T158" i="14701" s="1"/>
  <c r="F232" i="14702"/>
  <c r="S104" i="14704"/>
  <c r="W104" i="14704"/>
  <c r="W204" i="14701" a="1"/>
  <c r="W204" i="14701" s="1"/>
  <c r="K160" i="14702"/>
  <c r="E104" i="14704"/>
  <c r="F196" i="14702"/>
  <c r="X113" i="14702"/>
  <c r="X117" i="14702"/>
  <c r="X120" i="14702"/>
  <c r="S213" i="14702"/>
  <c r="C160" i="14702"/>
  <c r="U170" i="14702"/>
  <c r="U172" i="14702"/>
  <c r="Y195" i="14702"/>
  <c r="Y187" i="14702"/>
  <c r="Y184" i="14702"/>
  <c r="N123" i="14701"/>
  <c r="N124" i="14701" s="1"/>
  <c r="T83" i="14701"/>
  <c r="Y136" i="14702"/>
  <c r="Y138" i="14702"/>
  <c r="Y133" i="14702"/>
  <c r="Q159" i="14702"/>
  <c r="X195" i="14702"/>
  <c r="X189" i="14702"/>
  <c r="T190" i="14702"/>
  <c r="T191" i="14702"/>
  <c r="E9" i="14671"/>
  <c r="C9" i="14671"/>
  <c r="Y229" i="14702"/>
  <c r="V193" i="14702"/>
  <c r="V154" i="14702"/>
  <c r="F250" i="14702"/>
  <c r="S208" i="14701" a="1"/>
  <c r="S212" i="14701" s="1"/>
  <c r="V151" i="14701" a="1"/>
  <c r="V159" i="14701" s="1"/>
  <c r="B161" i="14704" a="1"/>
  <c r="G161" i="14704" s="1"/>
  <c r="T243" i="14701" a="1"/>
  <c r="T248" i="14701" s="1"/>
  <c r="Y130" i="14701" a="1"/>
  <c r="Y130" i="14701" s="1"/>
  <c r="K178" i="14702"/>
  <c r="B197" i="14704" a="1"/>
  <c r="B197" i="14704" s="1"/>
  <c r="T135" i="14701" a="1"/>
  <c r="T137" i="14701" s="1"/>
  <c r="S85" i="14702"/>
  <c r="F100" i="14702" a="1"/>
  <c r="F100" i="14702" s="1"/>
  <c r="B46" i="14704" a="1"/>
  <c r="E46" i="14704" s="1"/>
  <c r="J214" i="14702"/>
  <c r="B53" i="14704" a="1"/>
  <c r="L53" i="14704" s="1"/>
  <c r="W132" i="14701" a="1"/>
  <c r="W137" i="14701" s="1"/>
  <c r="F178" i="14702"/>
  <c r="H160" i="14702"/>
  <c r="S244" i="14701" a="1"/>
  <c r="S248" i="14701" s="1"/>
  <c r="K104" i="14704"/>
  <c r="O142" i="14702"/>
  <c r="R209" i="14701" a="1"/>
  <c r="R213" i="14701" s="1"/>
  <c r="D178" i="14702"/>
  <c r="I160" i="14702"/>
  <c r="R245" i="14701" a="1"/>
  <c r="R247" i="14701" s="1"/>
  <c r="S229" i="14702"/>
  <c r="S230" i="14702"/>
  <c r="S227" i="14702"/>
  <c r="U116" i="14702"/>
  <c r="U120" i="14702"/>
  <c r="U118" i="14702"/>
  <c r="U122" i="14702"/>
  <c r="T177" i="14702"/>
  <c r="T171" i="14702"/>
  <c r="T175" i="14702"/>
  <c r="Y113" i="14702"/>
  <c r="Y114" i="14702"/>
  <c r="Y119" i="14702"/>
  <c r="Y122" i="14702"/>
  <c r="Y112" i="14702"/>
  <c r="Y121" i="14702"/>
  <c r="V85" i="14702"/>
  <c r="Q140" i="14702"/>
  <c r="Q139" i="14702"/>
  <c r="X154" i="14702"/>
  <c r="X159" i="14702"/>
  <c r="X158" i="14702"/>
  <c r="X153" i="14702"/>
  <c r="X149" i="14702"/>
  <c r="X245" i="14702"/>
  <c r="X242" i="14702"/>
  <c r="X244" i="14702"/>
  <c r="X243" i="14702"/>
  <c r="X239" i="14702"/>
  <c r="X248" i="14702"/>
  <c r="W228" i="14702"/>
  <c r="W231" i="14702"/>
  <c r="W230" i="14702"/>
  <c r="W81" i="14701"/>
  <c r="W80" i="14701"/>
  <c r="W79" i="14701"/>
  <c r="W193" i="14702"/>
  <c r="W195" i="14702"/>
  <c r="W190" i="14702"/>
  <c r="W186" i="14702"/>
  <c r="Y222" i="14702"/>
  <c r="Y220" i="14702"/>
  <c r="Y224" i="14702"/>
  <c r="Y227" i="14702"/>
  <c r="Y225" i="14702"/>
  <c r="Y221" i="14702"/>
  <c r="T226" i="14702"/>
  <c r="T228" i="14702"/>
  <c r="T227" i="14702"/>
  <c r="T229" i="14702"/>
  <c r="R247" i="14702"/>
  <c r="R245" i="14702"/>
  <c r="Q247" i="14702"/>
  <c r="Q246" i="14702"/>
  <c r="Y84" i="14701"/>
  <c r="Y80" i="14701"/>
  <c r="Y83" i="14701"/>
  <c r="Y75" i="14701"/>
  <c r="Y79" i="14701"/>
  <c r="Y74" i="14701"/>
  <c r="R227" i="14701" a="1"/>
  <c r="R227" i="14701" s="1"/>
  <c r="I104" i="14704"/>
  <c r="X114" i="14702"/>
  <c r="X116" i="14702"/>
  <c r="X119" i="14702"/>
  <c r="X121" i="14702"/>
  <c r="C178" i="14702"/>
  <c r="P212" i="14702"/>
  <c r="S195" i="14702"/>
  <c r="S191" i="14702"/>
  <c r="S208" i="14702"/>
  <c r="S210" i="14702"/>
  <c r="O160" i="14701"/>
  <c r="U176" i="14702"/>
  <c r="U174" i="14702"/>
  <c r="U177" i="14702"/>
  <c r="V139" i="14702"/>
  <c r="V133" i="14702"/>
  <c r="V136" i="14702"/>
  <c r="V138" i="14702"/>
  <c r="Y191" i="14702"/>
  <c r="Y188" i="14702"/>
  <c r="Y190" i="14702"/>
  <c r="Y194" i="14702"/>
  <c r="Y192" i="14702"/>
  <c r="W207" i="14702"/>
  <c r="W212" i="14702"/>
  <c r="W204" i="14702"/>
  <c r="W208" i="14702"/>
  <c r="S84" i="14701"/>
  <c r="S82" i="14701"/>
  <c r="T80" i="14701"/>
  <c r="T79" i="14701"/>
  <c r="W158" i="14702"/>
  <c r="W154" i="14702"/>
  <c r="W153" i="14702"/>
  <c r="W152" i="14702"/>
  <c r="Y137" i="14702"/>
  <c r="Y139" i="14702"/>
  <c r="Y140" i="14702"/>
  <c r="Y130" i="14702"/>
  <c r="Y134" i="14702"/>
  <c r="Q156" i="14702"/>
  <c r="U141" i="14702"/>
  <c r="U140" i="14702"/>
  <c r="U135" i="14702"/>
  <c r="X186" i="14702"/>
  <c r="X185" i="14702"/>
  <c r="X194" i="14702"/>
  <c r="X192" i="14702"/>
  <c r="X190" i="14702"/>
  <c r="T194" i="14702"/>
  <c r="T195" i="14702"/>
  <c r="K9" i="14671"/>
  <c r="H9" i="14671"/>
  <c r="D9" i="14671"/>
  <c r="W226" i="14702"/>
  <c r="W227" i="14702"/>
  <c r="W229" i="14702"/>
  <c r="W224" i="14702"/>
  <c r="R249" i="14702"/>
  <c r="R246" i="14702"/>
  <c r="C196" i="14702"/>
  <c r="X151" i="14702"/>
  <c r="X157" i="14702"/>
  <c r="X156" i="14702"/>
  <c r="W84" i="14701"/>
  <c r="Q246" i="14701" a="1"/>
  <c r="Q246" i="14701" s="1"/>
  <c r="C232" i="14702"/>
  <c r="S228" i="14702"/>
  <c r="B196" i="14702"/>
  <c r="W188" i="14702"/>
  <c r="U117" i="14702"/>
  <c r="U119" i="14702"/>
  <c r="Y118" i="14702"/>
  <c r="Y117" i="14702"/>
  <c r="Y123" i="14702"/>
  <c r="G214" i="14702"/>
  <c r="J160" i="14702"/>
  <c r="Y231" i="14702"/>
  <c r="Y223" i="14702"/>
  <c r="Y228" i="14702"/>
  <c r="C104" i="14704"/>
  <c r="Y78" i="14701"/>
  <c r="Y76" i="14701"/>
  <c r="Y82" i="14701"/>
  <c r="E124" i="14702"/>
  <c r="X241" i="14702"/>
  <c r="X246" i="14702"/>
  <c r="X240" i="14702"/>
  <c r="T172" i="14702"/>
  <c r="T176" i="14702"/>
  <c r="T230" i="14702"/>
  <c r="Q141" i="14702"/>
  <c r="P123" i="14702"/>
  <c r="Q248" i="14702"/>
  <c r="X167" i="14701" a="1"/>
  <c r="X177" i="14701" s="1"/>
  <c r="U188" i="14701" a="1"/>
  <c r="U192" i="14701" s="1"/>
  <c r="F160" i="14702"/>
  <c r="F142" i="14702"/>
  <c r="W94" i="14702" a="1"/>
  <c r="W103" i="14702" s="1"/>
  <c r="O214" i="14702"/>
  <c r="J104" i="14704"/>
  <c r="E232" i="14702"/>
  <c r="F214" i="14702"/>
  <c r="P175" i="14701" a="1"/>
  <c r="P175" i="14701" s="1"/>
  <c r="N91" i="14702" a="1"/>
  <c r="N91" i="14702" s="1"/>
  <c r="W186" i="14701" a="1"/>
  <c r="W187" i="14701" s="1"/>
  <c r="O196" i="14702"/>
  <c r="O178" i="14702"/>
  <c r="X149" i="14701" a="1"/>
  <c r="X151" i="14701" s="1"/>
  <c r="V223" i="14701" a="1"/>
  <c r="V231" i="14701" s="1"/>
  <c r="G104" i="14704"/>
  <c r="X131" i="14701" a="1"/>
  <c r="X137" i="14701" s="1"/>
  <c r="P139" i="14701" a="1"/>
  <c r="P141" i="14701" s="1"/>
  <c r="M196" i="14702"/>
  <c r="P229" i="14701" a="1"/>
  <c r="P231" i="14701" s="1"/>
  <c r="R93" i="14702" a="1"/>
  <c r="R93" i="14702" s="1"/>
  <c r="B47" i="14704" a="1"/>
  <c r="F47" i="14704" s="1"/>
  <c r="B50" i="14704" a="1"/>
  <c r="E50" i="14704" s="1"/>
  <c r="T189" i="14701" a="1"/>
  <c r="T194" i="14701" s="1"/>
  <c r="I214" i="14702"/>
  <c r="B233" i="14704" a="1"/>
  <c r="J233" i="14704" s="1"/>
  <c r="K124" i="14702"/>
  <c r="F124" i="14702"/>
  <c r="G250" i="14702"/>
  <c r="Q104" i="14704"/>
  <c r="M142" i="14702"/>
  <c r="Q138" i="14701" a="1"/>
  <c r="Q138" i="14701" s="1"/>
  <c r="V205" i="14701" a="1"/>
  <c r="V209" i="14701" s="1"/>
  <c r="V187" i="14701" a="1"/>
  <c r="V192" i="14701" s="1"/>
  <c r="W168" i="14701" a="1"/>
  <c r="W168" i="14701" s="1"/>
  <c r="R85" i="14702"/>
  <c r="U224" i="14701" a="1"/>
  <c r="U230" i="14701" s="1"/>
  <c r="T104" i="14704"/>
  <c r="P98" i="14702" a="1"/>
  <c r="P98" i="14702" s="1"/>
  <c r="L100" i="14702" a="1"/>
  <c r="L100" i="14702" s="1"/>
  <c r="L97" i="14702" a="1"/>
  <c r="L97" i="14702" s="1"/>
  <c r="I97" i="14702" a="1"/>
  <c r="I97" i="14702" s="1"/>
  <c r="M94" i="14702" a="1"/>
  <c r="M94" i="14702" s="1"/>
  <c r="U77" i="14701"/>
  <c r="U80" i="14701"/>
  <c r="U81" i="14701"/>
  <c r="M124" i="14702"/>
  <c r="B48" i="14704" a="1"/>
  <c r="M48" i="14704" s="1"/>
  <c r="R195" i="14702"/>
  <c r="R192" i="14702"/>
  <c r="R191" i="14702"/>
  <c r="R194" i="14702"/>
  <c r="T155" i="14702"/>
  <c r="T159" i="14702"/>
  <c r="T156" i="14702"/>
  <c r="T154" i="14702"/>
  <c r="T158" i="14702"/>
  <c r="X176" i="14702"/>
  <c r="X169" i="14702"/>
  <c r="X174" i="14702"/>
  <c r="X173" i="14702"/>
  <c r="X175" i="14702"/>
  <c r="Y207" i="14702"/>
  <c r="Y213" i="14702"/>
  <c r="Y209" i="14702"/>
  <c r="Y210" i="14702"/>
  <c r="Y203" i="14702"/>
  <c r="Y208" i="14702"/>
  <c r="Y206" i="14702"/>
  <c r="Y211" i="14702"/>
  <c r="Y212" i="14702"/>
  <c r="V190" i="14702"/>
  <c r="V192" i="14702"/>
  <c r="V194" i="14702"/>
  <c r="V189" i="14702"/>
  <c r="V187" i="14702"/>
  <c r="V188" i="14702"/>
  <c r="X213" i="14702"/>
  <c r="X211" i="14702"/>
  <c r="X208" i="14702"/>
  <c r="X206" i="14702"/>
  <c r="X212" i="14702"/>
  <c r="V118" i="14702"/>
  <c r="V119" i="14702"/>
  <c r="V122" i="14702"/>
  <c r="V116" i="14702"/>
  <c r="V123" i="14702"/>
  <c r="T212" i="14702"/>
  <c r="T209" i="14702"/>
  <c r="T208" i="14702"/>
  <c r="T210" i="14702"/>
  <c r="V230" i="14702"/>
  <c r="V225" i="14702"/>
  <c r="V226" i="14702"/>
  <c r="V227" i="14702"/>
  <c r="V228" i="14702"/>
  <c r="T207" i="14701" a="1"/>
  <c r="T208" i="14701" s="1"/>
  <c r="H214" i="14702"/>
  <c r="L196" i="14702"/>
  <c r="X185" i="14701" a="1"/>
  <c r="X188" i="14701" s="1"/>
  <c r="S154" i="14701" a="1"/>
  <c r="S156" i="14701" s="1"/>
  <c r="G160" i="14702"/>
  <c r="V171" i="14702"/>
  <c r="V170" i="14702"/>
  <c r="V172" i="14702"/>
  <c r="V169" i="14702"/>
  <c r="V176" i="14702"/>
  <c r="W243" i="14702"/>
  <c r="W247" i="14702"/>
  <c r="W249" i="14702"/>
  <c r="W242" i="14702"/>
  <c r="W240" i="14702"/>
  <c r="E92" i="14643"/>
  <c r="E97" i="14643"/>
  <c r="E95" i="14643"/>
  <c r="E94" i="14643"/>
  <c r="V158" i="14702"/>
  <c r="V159" i="14702"/>
  <c r="V156" i="14702"/>
  <c r="V152" i="14702"/>
  <c r="V151" i="14702"/>
  <c r="V153" i="14702"/>
  <c r="U245" i="14702"/>
  <c r="U249" i="14702"/>
  <c r="U248" i="14702"/>
  <c r="U244" i="14702"/>
  <c r="U242" i="14702"/>
  <c r="U247" i="14702"/>
  <c r="X223" i="14702"/>
  <c r="X228" i="14702"/>
  <c r="X230" i="14702"/>
  <c r="X227" i="14702"/>
  <c r="X231" i="14702"/>
  <c r="Y152" i="14702"/>
  <c r="Y149" i="14702"/>
  <c r="Y158" i="14702"/>
  <c r="Y153" i="14702"/>
  <c r="Y156" i="14702"/>
  <c r="Y150" i="14702"/>
  <c r="U226" i="14702"/>
  <c r="U228" i="14702"/>
  <c r="U230" i="14702"/>
  <c r="U224" i="14702"/>
  <c r="Q228" i="14702"/>
  <c r="Q231" i="14702"/>
  <c r="V243" i="14702"/>
  <c r="V248" i="14702"/>
  <c r="V249" i="14702"/>
  <c r="V247" i="14702"/>
  <c r="V241" i="14702"/>
  <c r="V242" i="14702"/>
  <c r="V246" i="14702"/>
  <c r="B51" i="14704" a="1"/>
  <c r="D51" i="14704" s="1"/>
  <c r="B143" i="14704" a="1"/>
  <c r="B179" i="14704" a="1"/>
  <c r="C179" i="14704" s="1"/>
  <c r="S154" i="14702"/>
  <c r="S155" i="14702"/>
  <c r="S156" i="14702"/>
  <c r="S159" i="14702"/>
  <c r="S157" i="14702"/>
  <c r="V133" i="14701" a="1"/>
  <c r="V140" i="14701" s="1"/>
  <c r="J142" i="14702"/>
  <c r="M214" i="14702"/>
  <c r="Y202" i="14701" a="1"/>
  <c r="Y212" i="14701" s="1"/>
  <c r="Q156" i="14701" a="1"/>
  <c r="Q156" i="14701" s="1"/>
  <c r="E160" i="14702"/>
  <c r="P247" i="14702"/>
  <c r="P249" i="14702"/>
  <c r="P248" i="14702"/>
  <c r="D104" i="14704"/>
  <c r="P101" i="14702" a="1"/>
  <c r="P103" i="14702" s="1"/>
  <c r="N104" i="14704"/>
  <c r="S172" i="14701" a="1"/>
  <c r="S177" i="14701" s="1"/>
  <c r="G178" i="14702"/>
  <c r="Y166" i="14701" a="1"/>
  <c r="Y176" i="14701" s="1"/>
  <c r="M160" i="14702"/>
  <c r="U85" i="14702"/>
  <c r="U96" i="14702" a="1"/>
  <c r="U98" i="14702" s="1"/>
  <c r="L232" i="14702"/>
  <c r="K232" i="14702"/>
  <c r="B125" i="14704" a="1"/>
  <c r="B125" i="14704" s="1"/>
  <c r="H104" i="14704"/>
  <c r="F104" i="14704"/>
  <c r="R99" i="14702" a="1"/>
  <c r="R100" i="14702" s="1"/>
  <c r="V104" i="14704"/>
  <c r="X93" i="14702" a="1"/>
  <c r="X97" i="14702" s="1"/>
  <c r="L104" i="14704"/>
  <c r="R104" i="14704"/>
  <c r="Y92" i="14702" a="1"/>
  <c r="Y99" i="14702" s="1"/>
  <c r="O104" i="14704"/>
  <c r="Q120" i="14702"/>
  <c r="Q121" i="14702"/>
  <c r="Q123" i="14702"/>
  <c r="B251" i="14704" a="1"/>
  <c r="U251" i="14704" s="1"/>
  <c r="X133" i="14702"/>
  <c r="X131" i="14702"/>
  <c r="X134" i="14702"/>
  <c r="X136" i="14702"/>
  <c r="X138" i="14702"/>
  <c r="X135" i="14702"/>
  <c r="X141" i="14702"/>
  <c r="X140" i="14702"/>
  <c r="D160" i="14702"/>
  <c r="P157" i="14701" a="1"/>
  <c r="P159" i="14701" s="1"/>
  <c r="U194" i="14702"/>
  <c r="U193" i="14702"/>
  <c r="U191" i="14702"/>
  <c r="U189" i="14702"/>
  <c r="S136" i="14701" a="1"/>
  <c r="S137" i="14701" s="1"/>
  <c r="N142" i="14702"/>
  <c r="U134" i="14701" a="1"/>
  <c r="U137" i="14701" s="1"/>
  <c r="I142" i="14702"/>
  <c r="H142" i="14702"/>
  <c r="X203" i="14701" a="1"/>
  <c r="X207" i="14701" s="1"/>
  <c r="N214" i="14702"/>
  <c r="E214" i="14702"/>
  <c r="O213" i="14701"/>
  <c r="O214" i="14701" s="1"/>
  <c r="C214" i="14702"/>
  <c r="E196" i="14702"/>
  <c r="U170" i="14701" a="1"/>
  <c r="T171" i="14701" a="1"/>
  <c r="T176" i="14701" s="1"/>
  <c r="Q174" i="14701" a="1"/>
  <c r="Q175" i="14701" s="1"/>
  <c r="J178" i="14702"/>
  <c r="O160" i="14702"/>
  <c r="U213" i="14702"/>
  <c r="U206" i="14702"/>
  <c r="U208" i="14702"/>
  <c r="U209" i="14702"/>
  <c r="H232" i="14702"/>
  <c r="T225" i="14701" a="1"/>
  <c r="T231" i="14701" s="1"/>
  <c r="S123" i="14702"/>
  <c r="S119" i="14702"/>
  <c r="S122" i="14702"/>
  <c r="S120" i="14702"/>
  <c r="T248" i="14702"/>
  <c r="T244" i="14702"/>
  <c r="T249" i="14702"/>
  <c r="T243" i="14702"/>
  <c r="B49" i="14704" a="1"/>
  <c r="L49" i="14704" s="1"/>
  <c r="R155" i="14702"/>
  <c r="R158" i="14702"/>
  <c r="R159" i="14702"/>
  <c r="R228" i="14702"/>
  <c r="R227" i="14702"/>
  <c r="R140" i="14702"/>
  <c r="R139" i="14702"/>
  <c r="W133" i="14702"/>
  <c r="W139" i="14702"/>
  <c r="W136" i="14702"/>
  <c r="W141" i="14702"/>
  <c r="I178" i="14702"/>
  <c r="X209" i="14702"/>
  <c r="X210" i="14702"/>
  <c r="X205" i="14702"/>
  <c r="E142" i="14702"/>
  <c r="K196" i="14702"/>
  <c r="Y184" i="14701" a="1"/>
  <c r="Y193" i="14701" s="1"/>
  <c r="L178" i="14702"/>
  <c r="M178" i="14702"/>
  <c r="L160" i="14702"/>
  <c r="X167" i="14702"/>
  <c r="X168" i="14702"/>
  <c r="X172" i="14702"/>
  <c r="Q229" i="14702"/>
  <c r="U188" i="14702"/>
  <c r="U195" i="14702"/>
  <c r="V117" i="14702"/>
  <c r="V120" i="14702"/>
  <c r="M104" i="14704"/>
  <c r="V95" i="14702" a="1"/>
  <c r="S98" i="14702" a="1"/>
  <c r="S99" i="14702" s="1"/>
  <c r="T211" i="14702"/>
  <c r="T213" i="14702"/>
  <c r="O94" i="14702" a="1"/>
  <c r="O94" i="14702" s="1"/>
  <c r="E96" i="14643"/>
  <c r="E93" i="14643"/>
  <c r="D232" i="14702"/>
  <c r="V223" i="14702"/>
  <c r="V229" i="14702"/>
  <c r="Y157" i="14702"/>
  <c r="Y155" i="14702"/>
  <c r="Y148" i="14702"/>
  <c r="T246" i="14702"/>
  <c r="T245" i="14702"/>
  <c r="U210" i="14702"/>
  <c r="U212" i="14702"/>
  <c r="G142" i="14702"/>
  <c r="I196" i="14702"/>
  <c r="E178" i="14702"/>
  <c r="Y148" i="14701" a="1"/>
  <c r="Y150" i="14701" s="1"/>
  <c r="R155" i="14701" a="1"/>
  <c r="R155" i="14701" s="1"/>
  <c r="U225" i="14702"/>
  <c r="U231" i="14702"/>
  <c r="R229" i="14702"/>
  <c r="R230" i="14702"/>
  <c r="R157" i="14702"/>
  <c r="P159" i="14702"/>
  <c r="P82" i="14701"/>
  <c r="U82" i="14701"/>
  <c r="O248" i="14701"/>
  <c r="O250" i="14701" s="1"/>
  <c r="Q228" i="14701" a="1"/>
  <c r="Q231" i="14701" s="1"/>
  <c r="V177" i="14702"/>
  <c r="V173" i="14702"/>
  <c r="X224" i="14702"/>
  <c r="X222" i="14702"/>
  <c r="X225" i="14702"/>
  <c r="W248" i="14702"/>
  <c r="W245" i="14702"/>
  <c r="L214" i="14702"/>
  <c r="G232" i="14702"/>
  <c r="T153" i="14702"/>
  <c r="X139" i="14702"/>
  <c r="R193" i="14702"/>
  <c r="S121" i="14702"/>
  <c r="V195" i="14702"/>
  <c r="Y204" i="14702"/>
  <c r="Y202" i="14702"/>
  <c r="L142" i="14702"/>
  <c r="U206" i="14701" a="1"/>
  <c r="U207" i="14701" s="1"/>
  <c r="W150" i="14701" a="1"/>
  <c r="W151" i="14701" s="1"/>
  <c r="S158" i="14702"/>
  <c r="V157" i="14702"/>
  <c r="T97" i="14702" a="1"/>
  <c r="T100" i="14702" s="1"/>
  <c r="B55" i="14704"/>
  <c r="V244" i="14702"/>
  <c r="U243" i="14702"/>
  <c r="B52" i="14704" a="1"/>
  <c r="F52" i="14704" s="1"/>
  <c r="R98" i="14702" a="1"/>
  <c r="R98" i="14702" s="1"/>
  <c r="P247" i="14701" a="1"/>
  <c r="P248" i="14701" s="1"/>
  <c r="Y220" i="14701" a="1"/>
  <c r="Y227" i="14701" s="1"/>
  <c r="N232" i="14702"/>
  <c r="J250" i="14702"/>
  <c r="R92" i="14702" a="1"/>
  <c r="R92" i="14702" s="1"/>
  <c r="O100" i="14702" a="1"/>
  <c r="O100" i="14702" s="1"/>
  <c r="N99" i="14702" a="1"/>
  <c r="N99" i="14702" s="1"/>
  <c r="W114" i="14701" a="1"/>
  <c r="W119" i="14701" s="1"/>
  <c r="H250" i="14702"/>
  <c r="W222" i="14701" a="1"/>
  <c r="W224" i="14701" s="1"/>
  <c r="N33" i="14702"/>
  <c r="P97" i="14702" a="1"/>
  <c r="P97" i="14702" s="1"/>
  <c r="I101" i="14702" a="1"/>
  <c r="I101" i="14702" s="1"/>
  <c r="O232" i="14702"/>
  <c r="T85" i="14702"/>
  <c r="R119" i="14701" a="1"/>
  <c r="R123" i="14701" s="1"/>
  <c r="G124" i="14702"/>
  <c r="V115" i="14701" a="1"/>
  <c r="V123" i="14701" s="1"/>
  <c r="U95" i="14702" a="1"/>
  <c r="U95" i="14702" s="1"/>
  <c r="I103" i="14702" a="1"/>
  <c r="I103" i="14702" s="1"/>
  <c r="O92" i="14702" a="1"/>
  <c r="O92" i="14702" s="1"/>
  <c r="G102" i="14702" a="1"/>
  <c r="G102" i="14702" s="1"/>
  <c r="Q94" i="14702" a="1"/>
  <c r="Q94" i="14702" s="1"/>
  <c r="X91" i="14702" a="1"/>
  <c r="X91" i="14702" s="1"/>
  <c r="C40" i="14702"/>
  <c r="S95" i="14702" a="1"/>
  <c r="S95" i="14702" s="1"/>
  <c r="Y238" i="14701" a="1"/>
  <c r="F40" i="14702"/>
  <c r="P96" i="14702" a="1"/>
  <c r="P96" i="14702" s="1"/>
  <c r="S81" i="14701"/>
  <c r="S79" i="14701"/>
  <c r="T78" i="14701"/>
  <c r="T82" i="14701"/>
  <c r="F9" i="14671"/>
  <c r="L9" i="14671"/>
  <c r="G9" i="14671"/>
  <c r="M9" i="14671"/>
  <c r="I9" i="14671"/>
  <c r="W75" i="14701"/>
  <c r="W77" i="14701"/>
  <c r="W82" i="14701"/>
  <c r="W76" i="14701"/>
  <c r="W194" i="14702"/>
  <c r="W192" i="14702"/>
  <c r="W189" i="14702"/>
  <c r="W191" i="14702"/>
  <c r="N32" i="14702"/>
  <c r="K97" i="14702" a="1"/>
  <c r="K97" i="14702" s="1"/>
  <c r="S91" i="14702" a="1"/>
  <c r="S91" i="14702" s="1"/>
  <c r="P100" i="14702" a="1"/>
  <c r="P100" i="14702" s="1"/>
  <c r="N38" i="14702"/>
  <c r="L101" i="14702" a="1"/>
  <c r="L101" i="14702" s="1"/>
  <c r="U116" i="14701" a="1"/>
  <c r="U117" i="14701" s="1"/>
  <c r="L250" i="14702"/>
  <c r="W240" i="14701" a="1"/>
  <c r="W241" i="14701" s="1"/>
  <c r="N250" i="14702"/>
  <c r="M250" i="14702"/>
  <c r="O250" i="14702"/>
  <c r="B87" i="14702"/>
  <c r="E100" i="14702" a="1"/>
  <c r="E100" i="14702" s="1"/>
  <c r="D124" i="14702"/>
  <c r="I99" i="14702" a="1"/>
  <c r="I99" i="14702" s="1"/>
  <c r="U93" i="14702" a="1"/>
  <c r="U93" i="14702" s="1"/>
  <c r="K100" i="14702" a="1"/>
  <c r="K100" i="14702" s="1"/>
  <c r="R94" i="14702" a="1"/>
  <c r="R94" i="14702" s="1"/>
  <c r="N34" i="14702"/>
  <c r="J99" i="14702" a="1"/>
  <c r="J99" i="14702" s="1"/>
  <c r="D102" i="14702" a="1"/>
  <c r="D102" i="14702" s="1"/>
  <c r="P99" i="14702" a="1"/>
  <c r="P99" i="14702" s="1"/>
  <c r="H99" i="14702" a="1"/>
  <c r="H99" i="14702" s="1"/>
  <c r="X113" i="14701" a="1"/>
  <c r="X123" i="14701" s="1"/>
  <c r="I250" i="14702"/>
  <c r="N92" i="14702" a="1"/>
  <c r="N92" i="14702" s="1"/>
  <c r="C103" i="14702" a="1"/>
  <c r="C103" i="14702" s="1"/>
  <c r="O103" i="14701" s="1"/>
  <c r="J96" i="14702" a="1"/>
  <c r="J96" i="14702" s="1"/>
  <c r="I100" i="14702" a="1"/>
  <c r="I100" i="14702" s="1"/>
  <c r="N95" i="14702" a="1"/>
  <c r="N95" i="14702" s="1"/>
  <c r="K101" i="14702" a="1"/>
  <c r="K101" i="14702" s="1"/>
  <c r="M99" i="14702" a="1"/>
  <c r="M99" i="14702" s="1"/>
  <c r="S92" i="14702" a="1"/>
  <c r="S92" i="14702" s="1"/>
  <c r="M98" i="14702" a="1"/>
  <c r="M98" i="14702" s="1"/>
  <c r="F42" i="14622"/>
  <c r="V241" i="14701" a="1"/>
  <c r="V247" i="14701" s="1"/>
  <c r="U83" i="14701"/>
  <c r="U84" i="14701"/>
  <c r="U79" i="14701"/>
  <c r="D101" i="14702" a="1"/>
  <c r="D101" i="14702" s="1"/>
  <c r="N101" i="14702" a="1"/>
  <c r="N101" i="14702" s="1"/>
  <c r="N94" i="14702" a="1"/>
  <c r="N94" i="14702" s="1"/>
  <c r="N102" i="14702" a="1"/>
  <c r="N102" i="14702" s="1"/>
  <c r="K96" i="14702" a="1"/>
  <c r="K96" i="14702" s="1"/>
  <c r="C124" i="14702"/>
  <c r="K250" i="14702"/>
  <c r="C11" i="14639" a="1"/>
  <c r="T117" i="14701" a="1"/>
  <c r="T120" i="14701" s="1"/>
  <c r="Y112" i="14701" a="1"/>
  <c r="Y114" i="14701" s="1"/>
  <c r="J124" i="14702"/>
  <c r="N35" i="14702"/>
  <c r="N37" i="14702"/>
  <c r="J102" i="14702" a="1"/>
  <c r="J102" i="14702" s="1"/>
  <c r="R91" i="14702" a="1"/>
  <c r="R91" i="14702" s="1"/>
  <c r="M93" i="14702" a="1"/>
  <c r="M93" i="14702" s="1"/>
  <c r="U242" i="14701" a="1"/>
  <c r="U249" i="14701" s="1"/>
  <c r="N96" i="14702" a="1"/>
  <c r="N96" i="14702" s="1"/>
  <c r="P94" i="14702" a="1"/>
  <c r="P94" i="14702" s="1"/>
  <c r="O95" i="14702" a="1"/>
  <c r="O95" i="14702" s="1"/>
  <c r="G40" i="14702"/>
  <c r="L98" i="14702" a="1"/>
  <c r="L98" i="14702" s="1"/>
  <c r="H102" i="14702" a="1"/>
  <c r="H102" i="14702" s="1"/>
  <c r="M97" i="14702" a="1"/>
  <c r="M97" i="14702" s="1"/>
  <c r="S97" i="14702" a="1"/>
  <c r="S97" i="14702" s="1"/>
  <c r="Q99" i="14702" a="1"/>
  <c r="Q99" i="14702" s="1"/>
  <c r="M40" i="14702"/>
  <c r="O101" i="14702" a="1"/>
  <c r="O101" i="14702" s="1"/>
  <c r="W93" i="14702" a="1"/>
  <c r="W93" i="14702" s="1"/>
  <c r="X92" i="14702" a="1"/>
  <c r="X92" i="14702" s="1"/>
  <c r="M103" i="14702" a="1"/>
  <c r="M103" i="14702" s="1"/>
  <c r="M100" i="14702" a="1"/>
  <c r="M100" i="14702" s="1"/>
  <c r="J103" i="14702" a="1"/>
  <c r="J103" i="14702" s="1"/>
  <c r="K102" i="14702" a="1"/>
  <c r="K102" i="14702" s="1"/>
  <c r="V91" i="14702" a="1"/>
  <c r="V91" i="14702" s="1"/>
  <c r="S94" i="14702" a="1"/>
  <c r="S94" i="14702" s="1"/>
  <c r="T93" i="14702" a="1"/>
  <c r="T93" i="14702" s="1"/>
  <c r="J40" i="14702"/>
  <c r="R80" i="14701"/>
  <c r="R82" i="14701"/>
  <c r="R84" i="14701"/>
  <c r="P121" i="14701" a="1"/>
  <c r="P121" i="14701" s="1"/>
  <c r="N124" i="14702"/>
  <c r="J95" i="14702" a="1"/>
  <c r="J95" i="14702" s="1"/>
  <c r="B103" i="14702" a="1"/>
  <c r="B103" i="14702" s="1"/>
  <c r="N103" i="14701" s="1"/>
  <c r="N104" i="14701" s="1"/>
  <c r="L93" i="14702" a="1"/>
  <c r="L93" i="14702" s="1"/>
  <c r="G98" i="14702" a="1"/>
  <c r="G98" i="14702" s="1"/>
  <c r="H97" i="14702" a="1"/>
  <c r="H97" i="14702" s="1"/>
  <c r="B40" i="14702"/>
  <c r="C102" i="14702" a="1"/>
  <c r="C102" i="14702" s="1"/>
  <c r="O102" i="14701" s="1"/>
  <c r="P92" i="14702" a="1"/>
  <c r="P92" i="14702" s="1"/>
  <c r="G101" i="14702" a="1"/>
  <c r="G101" i="14702" s="1"/>
  <c r="F102" i="14702" a="1"/>
  <c r="F102" i="14702" s="1"/>
  <c r="E40" i="14702"/>
  <c r="J98" i="14702" a="1"/>
  <c r="J98" i="14702" s="1"/>
  <c r="O93" i="14702" a="1"/>
  <c r="O93" i="14702" s="1"/>
  <c r="M95" i="14702" a="1"/>
  <c r="M95" i="14702" s="1"/>
  <c r="Q97" i="14702" a="1"/>
  <c r="Q97" i="14702" s="1"/>
  <c r="R96" i="14702" a="1"/>
  <c r="R96" i="14702" s="1"/>
  <c r="L102" i="14702" a="1"/>
  <c r="L102" i="14702" s="1"/>
  <c r="K40" i="14702"/>
  <c r="M101" i="14702" a="1"/>
  <c r="M101" i="14702" s="1"/>
  <c r="V92" i="14702" a="1"/>
  <c r="V92" i="14702" s="1"/>
  <c r="T94" i="14702" a="1"/>
  <c r="T94" i="14702" s="1"/>
  <c r="N36" i="14702"/>
  <c r="L99" i="14702" a="1"/>
  <c r="L99" i="14702" s="1"/>
  <c r="H40" i="14702"/>
  <c r="T91" i="14702" a="1"/>
  <c r="T91" i="14702" s="1"/>
  <c r="H103" i="14702" a="1"/>
  <c r="H103" i="14702" s="1"/>
  <c r="L103" i="14702" a="1"/>
  <c r="L103" i="14702" s="1"/>
  <c r="Q98" i="14702" a="1"/>
  <c r="Q98" i="14702" s="1"/>
  <c r="U94" i="14702" a="1"/>
  <c r="U94" i="14702" s="1"/>
  <c r="W92" i="14702" a="1"/>
  <c r="W92" i="14702" s="1"/>
  <c r="T95" i="14702" a="1"/>
  <c r="T95" i="14702" s="1"/>
  <c r="L40" i="14702"/>
  <c r="R97" i="14702" a="1"/>
  <c r="R97" i="14702" s="1"/>
  <c r="F101" i="14702" a="1"/>
  <c r="F101" i="14702" s="1"/>
  <c r="D40" i="14702"/>
  <c r="J97" i="14702" a="1"/>
  <c r="J97" i="14702" s="1"/>
  <c r="E102" i="14702" a="1"/>
  <c r="E102" i="14702" s="1"/>
  <c r="D103" i="14702" a="1"/>
  <c r="D103" i="14702" s="1"/>
  <c r="N93" i="14702" a="1"/>
  <c r="N93" i="14702" s="1"/>
  <c r="P91" i="14702" a="1"/>
  <c r="P91" i="14702" s="1"/>
  <c r="N39" i="14702"/>
  <c r="L124" i="14702"/>
  <c r="K95" i="14702" a="1"/>
  <c r="K95" i="14702" s="1"/>
  <c r="L94" i="14702" a="1"/>
  <c r="L94" i="14702" s="1"/>
  <c r="E101" i="14702" a="1"/>
  <c r="E101" i="14702" s="1"/>
  <c r="G99" i="14702" a="1"/>
  <c r="G99" i="14702" s="1"/>
  <c r="H98" i="14702" a="1"/>
  <c r="H98" i="14702" s="1"/>
  <c r="O91" i="14702" a="1"/>
  <c r="O91" i="14702" s="1"/>
  <c r="M96" i="14702" a="1"/>
  <c r="M96" i="14702" s="1"/>
  <c r="F103" i="14702" a="1"/>
  <c r="F103" i="14702" s="1"/>
  <c r="Q92" i="14702" a="1"/>
  <c r="Q92" i="14702" s="1"/>
  <c r="K98" i="14702" a="1"/>
  <c r="K98" i="14702" s="1"/>
  <c r="P93" i="14702" a="1"/>
  <c r="P93" i="14702" s="1"/>
  <c r="H101" i="14702" a="1"/>
  <c r="H101" i="14702" s="1"/>
  <c r="N98" i="14702" a="1"/>
  <c r="N98" i="14702" s="1"/>
  <c r="U91" i="14702" a="1"/>
  <c r="U91" i="14702" s="1"/>
  <c r="Q95" i="14702" a="1"/>
  <c r="Q95" i="14702" s="1"/>
  <c r="S93" i="14702" a="1"/>
  <c r="S93" i="14702" s="1"/>
  <c r="T92" i="14702" a="1"/>
  <c r="T92" i="14702" s="1"/>
  <c r="I40" i="14702"/>
  <c r="N97" i="14702" a="1"/>
  <c r="N97" i="14702" s="1"/>
  <c r="J101" i="14702" a="1"/>
  <c r="J101" i="14702" s="1"/>
  <c r="I102" i="14702" a="1"/>
  <c r="I102" i="14702" s="1"/>
  <c r="P95" i="14702" a="1"/>
  <c r="P95" i="14702" s="1"/>
  <c r="O96" i="14702" a="1"/>
  <c r="O96" i="14702" s="1"/>
  <c r="O99" i="14702" a="1"/>
  <c r="O99" i="14702" s="1"/>
  <c r="W91" i="14702" a="1"/>
  <c r="W91" i="14702" s="1"/>
  <c r="N100" i="14702" a="1"/>
  <c r="N100" i="14702" s="1"/>
  <c r="K103" i="14702" a="1"/>
  <c r="K103" i="14702" s="1"/>
  <c r="H124" i="14702"/>
  <c r="X239" i="14701" a="1"/>
  <c r="X249" i="14701" s="1"/>
  <c r="I124" i="14702"/>
  <c r="I96" i="14702" a="1"/>
  <c r="I96" i="14702" s="1"/>
  <c r="M92" i="14702" a="1"/>
  <c r="M92" i="14702" s="1"/>
  <c r="F99" i="14702" a="1"/>
  <c r="F99" i="14702" s="1"/>
  <c r="K94" i="14702" a="1"/>
  <c r="K94" i="14702" s="1"/>
  <c r="K99" i="14702" a="1"/>
  <c r="K99" i="14702" s="1"/>
  <c r="J100" i="14702" a="1"/>
  <c r="J100" i="14702" s="1"/>
  <c r="G103" i="14702" a="1"/>
  <c r="G103" i="14702" s="1"/>
  <c r="Q93" i="14702" a="1"/>
  <c r="Q93" i="14702" s="1"/>
  <c r="S96" i="14702" a="1"/>
  <c r="S96" i="14702" s="1"/>
  <c r="V93" i="14702" a="1"/>
  <c r="V93" i="14702" s="1"/>
  <c r="M102" i="14702" a="1"/>
  <c r="M102" i="14702" s="1"/>
  <c r="Q91" i="14702" a="1"/>
  <c r="Q91" i="14702" s="1"/>
  <c r="L96" i="14702" a="1"/>
  <c r="L96" i="14702" s="1"/>
  <c r="E103" i="14702" a="1"/>
  <c r="E103" i="14702" s="1"/>
  <c r="H100" i="14702" a="1"/>
  <c r="H100" i="14702" s="1"/>
  <c r="T96" i="14702" a="1"/>
  <c r="T96" i="14702" s="1"/>
  <c r="Y91" i="14702" a="1"/>
  <c r="Y91" i="14702" s="1"/>
  <c r="V94" i="14702" a="1"/>
  <c r="V94" i="14702" s="1"/>
  <c r="L95" i="14702" a="1"/>
  <c r="L95" i="14702" s="1"/>
  <c r="I98" i="14702" a="1"/>
  <c r="I98" i="14702" s="1"/>
  <c r="G100" i="14702" a="1"/>
  <c r="G100" i="14702" s="1"/>
  <c r="Q96" i="14702" a="1"/>
  <c r="Q96" i="14702" s="1"/>
  <c r="R95" i="14702" a="1"/>
  <c r="R95" i="14702" s="1"/>
  <c r="O98" i="14702" a="1"/>
  <c r="O98" i="14702" s="1"/>
  <c r="U92" i="14702" a="1"/>
  <c r="U92" i="14702" s="1"/>
  <c r="R81" i="14701"/>
  <c r="D250" i="14702"/>
  <c r="M232" i="14702"/>
  <c r="O124" i="14701"/>
  <c r="B37" i="14645" a="1"/>
  <c r="B19" i="14678" a="1"/>
  <c r="B71" i="14702" a="1"/>
  <c r="N71" i="14701" a="1"/>
  <c r="B71" i="14704" a="1"/>
  <c r="N71" i="14702" a="1"/>
  <c r="B19" i="14679" a="1"/>
  <c r="B48" i="14645" a="1"/>
  <c r="E14" i="14693"/>
  <c r="E20" i="14693" s="1"/>
  <c r="F14" i="14693"/>
  <c r="F20" i="14693" s="1"/>
  <c r="D14" i="14693"/>
  <c r="D20" i="14693" s="1"/>
  <c r="C14" i="14693"/>
  <c r="C20" i="14693" s="1"/>
  <c r="B14" i="14693"/>
  <c r="B71" i="14701" a="1"/>
  <c r="N71" i="14700" a="1"/>
  <c r="B19" i="14638" a="1"/>
  <c r="B27" i="14645" a="1"/>
  <c r="C18" i="14652"/>
  <c r="A18" i="14652"/>
  <c r="B19" i="14623" a="1"/>
  <c r="B7" i="14645" a="1"/>
  <c r="N71" i="14703" a="1"/>
  <c r="B71" i="14698" a="1"/>
  <c r="N71" i="14704" a="1"/>
  <c r="N19" i="14679" a="1"/>
  <c r="B7" i="14693" a="1"/>
  <c r="N71" i="14698" a="1"/>
  <c r="B71" i="14700" a="1"/>
  <c r="B19" i="14632" a="1"/>
  <c r="B17" i="14645" a="1"/>
  <c r="N3" i="14706"/>
  <c r="N3" i="14667"/>
  <c r="H5" i="14617" a="1"/>
  <c r="H5" i="14617" s="1"/>
  <c r="B10" i="14671"/>
  <c r="N60" i="14624"/>
  <c r="T142" i="14698"/>
  <c r="W160" i="14698"/>
  <c r="S160" i="14698"/>
  <c r="R124" i="14698"/>
  <c r="Y232" i="14698"/>
  <c r="S232" i="14698"/>
  <c r="W250" i="14698"/>
  <c r="R196" i="14698"/>
  <c r="S142" i="14698"/>
  <c r="P232" i="14698"/>
  <c r="Y124" i="14698"/>
  <c r="T194" i="14700"/>
  <c r="T190" i="14700"/>
  <c r="T192" i="14700"/>
  <c r="T191" i="14700"/>
  <c r="T189" i="14700"/>
  <c r="T193" i="14700"/>
  <c r="T195" i="14700"/>
  <c r="Q85" i="14700"/>
  <c r="Q250" i="14698"/>
  <c r="R250" i="14698"/>
  <c r="U178" i="14698"/>
  <c r="P175" i="14700"/>
  <c r="P177" i="14700"/>
  <c r="P176" i="14700"/>
  <c r="S177" i="14700"/>
  <c r="S172" i="14700"/>
  <c r="S176" i="14700"/>
  <c r="S173" i="14700"/>
  <c r="S174" i="14700"/>
  <c r="S175" i="14700"/>
  <c r="V153" i="14700"/>
  <c r="V155" i="14700"/>
  <c r="V158" i="14700"/>
  <c r="V156" i="14700"/>
  <c r="V159" i="14700"/>
  <c r="V154" i="14700"/>
  <c r="V151" i="14700"/>
  <c r="V157" i="14700"/>
  <c r="V152" i="14700"/>
  <c r="R194" i="14700"/>
  <c r="R193" i="14700"/>
  <c r="R195" i="14700"/>
  <c r="R192" i="14700"/>
  <c r="R191" i="14700"/>
  <c r="Y184" i="14700"/>
  <c r="Y192" i="14700"/>
  <c r="Y186" i="14700"/>
  <c r="Y191" i="14700"/>
  <c r="Y189" i="14700"/>
  <c r="Y194" i="14700"/>
  <c r="Y195" i="14700"/>
  <c r="Y190" i="14700"/>
  <c r="Y185" i="14700"/>
  <c r="Y188" i="14700"/>
  <c r="Y193" i="14700"/>
  <c r="Y187" i="14700"/>
  <c r="Q120" i="14700"/>
  <c r="Q123" i="14700"/>
  <c r="Q121" i="14700"/>
  <c r="Q122" i="14700"/>
  <c r="P85" i="14700"/>
  <c r="N9" i="14670"/>
  <c r="S85" i="14700"/>
  <c r="G104" i="14701"/>
  <c r="S98" i="14700" a="1"/>
  <c r="L104" i="14701"/>
  <c r="X93" i="14700" a="1"/>
  <c r="D104" i="14701"/>
  <c r="P101" i="14700" a="1"/>
  <c r="H104" i="14701"/>
  <c r="T97" i="14700" a="1"/>
  <c r="N103" i="14700"/>
  <c r="N104" i="14700" s="1"/>
  <c r="B104" i="14701"/>
  <c r="W94" i="14700" a="1"/>
  <c r="K104" i="14701"/>
  <c r="F104" i="14701"/>
  <c r="R99" i="14700" a="1"/>
  <c r="U117" i="14700"/>
  <c r="U118" i="14700"/>
  <c r="U122" i="14700"/>
  <c r="U123" i="14700"/>
  <c r="U121" i="14700"/>
  <c r="U120" i="14700"/>
  <c r="U119" i="14700"/>
  <c r="U116" i="14700"/>
  <c r="R142" i="14698"/>
  <c r="R232" i="14698"/>
  <c r="T160" i="14698"/>
  <c r="W178" i="14698"/>
  <c r="T245" i="14700"/>
  <c r="T244" i="14700"/>
  <c r="T247" i="14700"/>
  <c r="T246" i="14700"/>
  <c r="T249" i="14700"/>
  <c r="T243" i="14700"/>
  <c r="T248" i="14700"/>
  <c r="X245" i="14700"/>
  <c r="X244" i="14700"/>
  <c r="X246" i="14700"/>
  <c r="X242" i="14700"/>
  <c r="X240" i="14700"/>
  <c r="X247" i="14700"/>
  <c r="X239" i="14700"/>
  <c r="X241" i="14700"/>
  <c r="X243" i="14700"/>
  <c r="X248" i="14700"/>
  <c r="X249" i="14700"/>
  <c r="P214" i="14698"/>
  <c r="G56" i="14690"/>
  <c r="E56" i="14690"/>
  <c r="F56" i="14690"/>
  <c r="H56" i="14690"/>
  <c r="V174" i="14700"/>
  <c r="V169" i="14700"/>
  <c r="V172" i="14700"/>
  <c r="V175" i="14700"/>
  <c r="V170" i="14700"/>
  <c r="V177" i="14700"/>
  <c r="V176" i="14700"/>
  <c r="V171" i="14700"/>
  <c r="V173" i="14700"/>
  <c r="T229" i="14700"/>
  <c r="T225" i="14700"/>
  <c r="T231" i="14700"/>
  <c r="T227" i="14700"/>
  <c r="T230" i="14700"/>
  <c r="T228" i="14700"/>
  <c r="T226" i="14700"/>
  <c r="R229" i="14700"/>
  <c r="R227" i="14700"/>
  <c r="R230" i="14700"/>
  <c r="R231" i="14700"/>
  <c r="R228" i="14700"/>
  <c r="P158" i="14700"/>
  <c r="P159" i="14700"/>
  <c r="P157" i="14700"/>
  <c r="W155" i="14700"/>
  <c r="W157" i="14700"/>
  <c r="W153" i="14700"/>
  <c r="W151" i="14700"/>
  <c r="W156" i="14700"/>
  <c r="W159" i="14700"/>
  <c r="W154" i="14700"/>
  <c r="W150" i="14700"/>
  <c r="W158" i="14700"/>
  <c r="W152" i="14700"/>
  <c r="U139" i="14700"/>
  <c r="U135" i="14700"/>
  <c r="U140" i="14700"/>
  <c r="U137" i="14700"/>
  <c r="U138" i="14700"/>
  <c r="U136" i="14700"/>
  <c r="U134" i="14700"/>
  <c r="U141" i="14700"/>
  <c r="P139" i="14700"/>
  <c r="P141" i="14700"/>
  <c r="P140" i="14700"/>
  <c r="P123" i="14700"/>
  <c r="P122" i="14700"/>
  <c r="P121" i="14700"/>
  <c r="S120" i="14700"/>
  <c r="S122" i="14700"/>
  <c r="S123" i="14700"/>
  <c r="S119" i="14700"/>
  <c r="S118" i="14700"/>
  <c r="S121" i="14700"/>
  <c r="P142" i="14698"/>
  <c r="T232" i="14698"/>
  <c r="U232" i="14698"/>
  <c r="T214" i="14698"/>
  <c r="S214" i="14698"/>
  <c r="S98" i="14698"/>
  <c r="S102" i="14698"/>
  <c r="S100" i="14698"/>
  <c r="S99" i="14698"/>
  <c r="S101" i="14698"/>
  <c r="S103" i="14698"/>
  <c r="X103" i="14698"/>
  <c r="X95" i="14698"/>
  <c r="X101" i="14698"/>
  <c r="X96" i="14698"/>
  <c r="X97" i="14698"/>
  <c r="X98" i="14698"/>
  <c r="X102" i="14698"/>
  <c r="X93" i="14698"/>
  <c r="X94" i="14698"/>
  <c r="X100" i="14698"/>
  <c r="X99" i="14698"/>
  <c r="P101" i="14698"/>
  <c r="P102" i="14698"/>
  <c r="P103" i="14698"/>
  <c r="B106" i="14700"/>
  <c r="Q101" i="14698"/>
  <c r="Q102" i="14698"/>
  <c r="Q100" i="14698"/>
  <c r="Q103" i="14698"/>
  <c r="S124" i="14698"/>
  <c r="W196" i="14698"/>
  <c r="V142" i="14698"/>
  <c r="F67" i="14643"/>
  <c r="F72" i="14643"/>
  <c r="F73" i="14643"/>
  <c r="F66" i="14643"/>
  <c r="F68" i="14643"/>
  <c r="F71" i="14643"/>
  <c r="F69" i="14643"/>
  <c r="F70" i="14643"/>
  <c r="G74" i="14643"/>
  <c r="U160" i="14698"/>
  <c r="W168" i="14700"/>
  <c r="W176" i="14700"/>
  <c r="W170" i="14700"/>
  <c r="W174" i="14700"/>
  <c r="W171" i="14700"/>
  <c r="W172" i="14700"/>
  <c r="W175" i="14700"/>
  <c r="W177" i="14700"/>
  <c r="W169" i="14700"/>
  <c r="W173" i="14700"/>
  <c r="P231" i="14700"/>
  <c r="P229" i="14700"/>
  <c r="P230" i="14700"/>
  <c r="W132" i="14700"/>
  <c r="W137" i="14700"/>
  <c r="W134" i="14700"/>
  <c r="W140" i="14700"/>
  <c r="W141" i="14700"/>
  <c r="W133" i="14700"/>
  <c r="W135" i="14700"/>
  <c r="W139" i="14700"/>
  <c r="W136" i="14700"/>
  <c r="W138" i="14700"/>
  <c r="S193" i="14700"/>
  <c r="S190" i="14700"/>
  <c r="S194" i="14700"/>
  <c r="S195" i="14700"/>
  <c r="S192" i="14700"/>
  <c r="S191" i="14700"/>
  <c r="B55" i="14701"/>
  <c r="Y112" i="14700"/>
  <c r="Y122" i="14700"/>
  <c r="Y121" i="14700"/>
  <c r="Y123" i="14700"/>
  <c r="Y115" i="14700"/>
  <c r="Y119" i="14700"/>
  <c r="Y120" i="14700"/>
  <c r="Y113" i="14700"/>
  <c r="Y118" i="14700"/>
  <c r="Y116" i="14700"/>
  <c r="Y117" i="14700"/>
  <c r="Y114" i="14700"/>
  <c r="X85" i="14700"/>
  <c r="V214" i="14698"/>
  <c r="U214" i="14698"/>
  <c r="V99" i="14698"/>
  <c r="V95" i="14698"/>
  <c r="V100" i="14698"/>
  <c r="V103" i="14698"/>
  <c r="V101" i="14698"/>
  <c r="V96" i="14698"/>
  <c r="V97" i="14698"/>
  <c r="V98" i="14698"/>
  <c r="V102" i="14698"/>
  <c r="E54" i="14683"/>
  <c r="X124" i="14698"/>
  <c r="R160" i="14698"/>
  <c r="Y202" i="14700"/>
  <c r="Y207" i="14700"/>
  <c r="Y208" i="14700"/>
  <c r="Y204" i="14700"/>
  <c r="Y203" i="14700"/>
  <c r="Y209" i="14700"/>
  <c r="Y213" i="14700"/>
  <c r="Y210" i="14700"/>
  <c r="Y206" i="14700"/>
  <c r="Y205" i="14700"/>
  <c r="Y211" i="14700"/>
  <c r="Y212" i="14700"/>
  <c r="V207" i="14700"/>
  <c r="V212" i="14700"/>
  <c r="V213" i="14700"/>
  <c r="V206" i="14700"/>
  <c r="V210" i="14700"/>
  <c r="V205" i="14700"/>
  <c r="V208" i="14700"/>
  <c r="V211" i="14700"/>
  <c r="V209" i="14700"/>
  <c r="V244" i="14700"/>
  <c r="V249" i="14700"/>
  <c r="V242" i="14700"/>
  <c r="V241" i="14700"/>
  <c r="V248" i="14700"/>
  <c r="V246" i="14700"/>
  <c r="V243" i="14700"/>
  <c r="V247" i="14700"/>
  <c r="V245" i="14700"/>
  <c r="V192" i="14700"/>
  <c r="V190" i="14700"/>
  <c r="V195" i="14700"/>
  <c r="V189" i="14700"/>
  <c r="V191" i="14700"/>
  <c r="V194" i="14700"/>
  <c r="V187" i="14700"/>
  <c r="V188" i="14700"/>
  <c r="V193" i="14700"/>
  <c r="X116" i="14700"/>
  <c r="X115" i="14700"/>
  <c r="X119" i="14700"/>
  <c r="X121" i="14700"/>
  <c r="X122" i="14700"/>
  <c r="X113" i="14700"/>
  <c r="X123" i="14700"/>
  <c r="X117" i="14700"/>
  <c r="X120" i="14700"/>
  <c r="X118" i="14700"/>
  <c r="X114" i="14700"/>
  <c r="S250" i="14698"/>
  <c r="T250" i="14698"/>
  <c r="Y196" i="14698"/>
  <c r="X228" i="14700"/>
  <c r="X229" i="14700"/>
  <c r="X222" i="14700"/>
  <c r="X224" i="14700"/>
  <c r="X225" i="14700"/>
  <c r="X221" i="14700"/>
  <c r="X223" i="14700"/>
  <c r="X226" i="14700"/>
  <c r="X231" i="14700"/>
  <c r="X227" i="14700"/>
  <c r="X230" i="14700"/>
  <c r="S229" i="14700"/>
  <c r="S231" i="14700"/>
  <c r="S230" i="14700"/>
  <c r="S228" i="14700"/>
  <c r="S226" i="14700"/>
  <c r="S227" i="14700"/>
  <c r="Y231" i="14700"/>
  <c r="Y229" i="14700"/>
  <c r="Y226" i="14700"/>
  <c r="Y224" i="14700"/>
  <c r="Y220" i="14700"/>
  <c r="Y221" i="14700"/>
  <c r="Y230" i="14700"/>
  <c r="Y225" i="14700"/>
  <c r="Y228" i="14700"/>
  <c r="Y227" i="14700"/>
  <c r="Y223" i="14700"/>
  <c r="Y222" i="14700"/>
  <c r="R158" i="14700"/>
  <c r="R155" i="14700"/>
  <c r="R159" i="14700"/>
  <c r="R157" i="14700"/>
  <c r="R156" i="14700"/>
  <c r="X157" i="14700"/>
  <c r="X153" i="14700"/>
  <c r="X159" i="14700"/>
  <c r="X149" i="14700"/>
  <c r="X151" i="14700"/>
  <c r="X155" i="14700"/>
  <c r="X152" i="14700"/>
  <c r="X156" i="14700"/>
  <c r="X154" i="14700"/>
  <c r="X150" i="14700"/>
  <c r="X158" i="14700"/>
  <c r="X138" i="14700"/>
  <c r="X136" i="14700"/>
  <c r="X132" i="14700"/>
  <c r="X139" i="14700"/>
  <c r="X135" i="14700"/>
  <c r="X140" i="14700"/>
  <c r="X133" i="14700"/>
  <c r="X131" i="14700"/>
  <c r="X134" i="14700"/>
  <c r="X137" i="14700"/>
  <c r="X141" i="14700"/>
  <c r="S141" i="14700"/>
  <c r="S140" i="14700"/>
  <c r="S139" i="14700"/>
  <c r="S136" i="14700"/>
  <c r="S137" i="14700"/>
  <c r="S138" i="14700"/>
  <c r="Q195" i="14700"/>
  <c r="Q193" i="14700"/>
  <c r="Q194" i="14700"/>
  <c r="Q192" i="14700"/>
  <c r="U194" i="14700"/>
  <c r="U188" i="14700"/>
  <c r="U192" i="14700"/>
  <c r="U195" i="14700"/>
  <c r="U190" i="14700"/>
  <c r="U193" i="14700"/>
  <c r="U189" i="14700"/>
  <c r="U191" i="14700"/>
  <c r="T121" i="14700"/>
  <c r="T119" i="14700"/>
  <c r="T118" i="14700"/>
  <c r="T123" i="14700"/>
  <c r="T117" i="14700"/>
  <c r="T120" i="14700"/>
  <c r="T122" i="14700"/>
  <c r="T85" i="14700"/>
  <c r="R122" i="14700"/>
  <c r="R120" i="14700"/>
  <c r="R119" i="14700"/>
  <c r="R121" i="14700"/>
  <c r="R123" i="14700"/>
  <c r="U142" i="14698"/>
  <c r="Q214" i="14698"/>
  <c r="E50" i="14683"/>
  <c r="Q124" i="14698"/>
  <c r="V250" i="14698"/>
  <c r="Y250" i="14698"/>
  <c r="P196" i="14698"/>
  <c r="B43" i="14645"/>
  <c r="S208" i="14700"/>
  <c r="S212" i="14700"/>
  <c r="S213" i="14700"/>
  <c r="S210" i="14700"/>
  <c r="S209" i="14700"/>
  <c r="S211" i="14700"/>
  <c r="R249" i="14700"/>
  <c r="R247" i="14700"/>
  <c r="R246" i="14700"/>
  <c r="R248" i="14700"/>
  <c r="R245" i="14700"/>
  <c r="V232" i="14698"/>
  <c r="R214" i="14698"/>
  <c r="W214" i="14698"/>
  <c r="T124" i="14698"/>
  <c r="X160" i="14698"/>
  <c r="Y94" i="14698"/>
  <c r="Y93" i="14698"/>
  <c r="Y102" i="14698"/>
  <c r="Y92" i="14698"/>
  <c r="Y101" i="14698"/>
  <c r="Y97" i="14698"/>
  <c r="Y99" i="14698"/>
  <c r="Y103" i="14698"/>
  <c r="Y98" i="14698"/>
  <c r="Y95" i="14698"/>
  <c r="Y96" i="14698"/>
  <c r="Y100" i="14698"/>
  <c r="P248" i="14700"/>
  <c r="P249" i="14700"/>
  <c r="P247" i="14700"/>
  <c r="P178" i="14698"/>
  <c r="V178" i="14698"/>
  <c r="S196" i="14698"/>
  <c r="Y131" i="14700"/>
  <c r="Y136" i="14700"/>
  <c r="Y137" i="14700"/>
  <c r="Y140" i="14700"/>
  <c r="Y134" i="14700"/>
  <c r="Y141" i="14700"/>
  <c r="Y132" i="14700"/>
  <c r="Y135" i="14700"/>
  <c r="Y133" i="14700"/>
  <c r="Y138" i="14700"/>
  <c r="Y130" i="14700"/>
  <c r="Y139" i="14700"/>
  <c r="G42" i="14683"/>
  <c r="H34" i="14683" s="1" a="1"/>
  <c r="U85" i="14700"/>
  <c r="U250" i="14698"/>
  <c r="R178" i="14698"/>
  <c r="X176" i="14700"/>
  <c r="X174" i="14700"/>
  <c r="X170" i="14700"/>
  <c r="X169" i="14700"/>
  <c r="X167" i="14700"/>
  <c r="X172" i="14700"/>
  <c r="X175" i="14700"/>
  <c r="X173" i="14700"/>
  <c r="X171" i="14700"/>
  <c r="X168" i="14700"/>
  <c r="X177" i="14700"/>
  <c r="T153" i="14700"/>
  <c r="T157" i="14700"/>
  <c r="T159" i="14700"/>
  <c r="T154" i="14700"/>
  <c r="T155" i="14700"/>
  <c r="T156" i="14700"/>
  <c r="T158" i="14700"/>
  <c r="P194" i="14700"/>
  <c r="P193" i="14700"/>
  <c r="P195" i="14700"/>
  <c r="W186" i="14700"/>
  <c r="W192" i="14700"/>
  <c r="W188" i="14700"/>
  <c r="W190" i="14700"/>
  <c r="W193" i="14700"/>
  <c r="W191" i="14700"/>
  <c r="W194" i="14700"/>
  <c r="W195" i="14700"/>
  <c r="W187" i="14700"/>
  <c r="W189" i="14700"/>
  <c r="W85" i="14700"/>
  <c r="Y85" i="14700"/>
  <c r="N40" i="14701"/>
  <c r="G49" i="14683" s="1" a="1"/>
  <c r="G50" i="14683" s="1"/>
  <c r="J104" i="14701"/>
  <c r="V95" i="14700" a="1"/>
  <c r="U96" i="14700" a="1"/>
  <c r="I104" i="14701"/>
  <c r="C104" i="14701"/>
  <c r="O102" i="14700"/>
  <c r="O104" i="14700" s="1"/>
  <c r="E104" i="14701"/>
  <c r="Q100" i="14700" a="1"/>
  <c r="Y92" i="14700" a="1"/>
  <c r="M104" i="14701"/>
  <c r="Y142" i="14698"/>
  <c r="X232" i="14698"/>
  <c r="W232" i="14698"/>
  <c r="Y214" i="14698"/>
  <c r="P124" i="14698"/>
  <c r="P160" i="14698"/>
  <c r="P250" i="14698"/>
  <c r="W205" i="14700"/>
  <c r="W210" i="14700"/>
  <c r="W211" i="14700"/>
  <c r="W206" i="14700"/>
  <c r="W213" i="14700"/>
  <c r="W209" i="14700"/>
  <c r="W208" i="14700"/>
  <c r="W204" i="14700"/>
  <c r="W212" i="14700"/>
  <c r="W207" i="14700"/>
  <c r="R209" i="14700"/>
  <c r="R213" i="14700"/>
  <c r="R211" i="14700"/>
  <c r="R212" i="14700"/>
  <c r="R210" i="14700"/>
  <c r="W247" i="14700"/>
  <c r="W244" i="14700"/>
  <c r="W243" i="14700"/>
  <c r="W249" i="14700"/>
  <c r="W248" i="14700"/>
  <c r="W246" i="14700"/>
  <c r="W240" i="14700"/>
  <c r="W242" i="14700"/>
  <c r="W245" i="14700"/>
  <c r="W241" i="14700"/>
  <c r="U245" i="14700"/>
  <c r="U244" i="14700"/>
  <c r="U246" i="14700"/>
  <c r="U249" i="14700"/>
  <c r="U248" i="14700"/>
  <c r="U247" i="14700"/>
  <c r="U242" i="14700"/>
  <c r="U243" i="14700"/>
  <c r="Q142" i="14698"/>
  <c r="V124" i="14698"/>
  <c r="G67" i="14690"/>
  <c r="H67" i="14690"/>
  <c r="E67" i="14690"/>
  <c r="F67" i="14690"/>
  <c r="E30" i="14690"/>
  <c r="G30" i="14690"/>
  <c r="F30" i="14690"/>
  <c r="H30" i="14690"/>
  <c r="Q174" i="14700"/>
  <c r="Q177" i="14700"/>
  <c r="Q176" i="14700"/>
  <c r="Q175" i="14700"/>
  <c r="Y169" i="14700"/>
  <c r="Y173" i="14700"/>
  <c r="Y172" i="14700"/>
  <c r="Y176" i="14700"/>
  <c r="Y177" i="14700"/>
  <c r="Y167" i="14700"/>
  <c r="Y171" i="14700"/>
  <c r="Y166" i="14700"/>
  <c r="Y174" i="14700"/>
  <c r="Y168" i="14700"/>
  <c r="Y170" i="14700"/>
  <c r="Y175" i="14700"/>
  <c r="V225" i="14700"/>
  <c r="V224" i="14700"/>
  <c r="V228" i="14700"/>
  <c r="V230" i="14700"/>
  <c r="V226" i="14700"/>
  <c r="V231" i="14700"/>
  <c r="V223" i="14700"/>
  <c r="V229" i="14700"/>
  <c r="V227" i="14700"/>
  <c r="Y149" i="14700"/>
  <c r="Y152" i="14700"/>
  <c r="Y157" i="14700"/>
  <c r="Y154" i="14700"/>
  <c r="Y156" i="14700"/>
  <c r="Y153" i="14700"/>
  <c r="Y151" i="14700"/>
  <c r="Y148" i="14700"/>
  <c r="Y155" i="14700"/>
  <c r="Y150" i="14700"/>
  <c r="Y159" i="14700"/>
  <c r="Y158" i="14700"/>
  <c r="Q157" i="14700"/>
  <c r="Q158" i="14700"/>
  <c r="Q159" i="14700"/>
  <c r="Q156" i="14700"/>
  <c r="Q141" i="14700"/>
  <c r="Q139" i="14700"/>
  <c r="Q140" i="14700"/>
  <c r="Q138" i="14700"/>
  <c r="R85" i="14700"/>
  <c r="W142" i="14698"/>
  <c r="E49" i="14683"/>
  <c r="E55" i="14683"/>
  <c r="E56" i="14683"/>
  <c r="U98" i="14698"/>
  <c r="U100" i="14698"/>
  <c r="U96" i="14698"/>
  <c r="U99" i="14698"/>
  <c r="U103" i="14698"/>
  <c r="U101" i="14698"/>
  <c r="U102" i="14698"/>
  <c r="U97" i="14698"/>
  <c r="R99" i="14698"/>
  <c r="R100" i="14698"/>
  <c r="R103" i="14698"/>
  <c r="R102" i="14698"/>
  <c r="R101" i="14698"/>
  <c r="Q160" i="14698"/>
  <c r="V160" i="14698"/>
  <c r="X178" i="14698"/>
  <c r="T209" i="14700"/>
  <c r="T208" i="14700"/>
  <c r="T207" i="14700"/>
  <c r="T213" i="14700"/>
  <c r="T210" i="14700"/>
  <c r="T211" i="14700"/>
  <c r="T212" i="14700"/>
  <c r="U124" i="14698"/>
  <c r="G73" i="14643"/>
  <c r="G71" i="14643"/>
  <c r="G67" i="14643"/>
  <c r="G70" i="14643"/>
  <c r="G72" i="14643"/>
  <c r="G68" i="14643"/>
  <c r="G69" i="14643"/>
  <c r="G66" i="14643"/>
  <c r="Y160" i="14698"/>
  <c r="U173" i="14700"/>
  <c r="U172" i="14700"/>
  <c r="U170" i="14700"/>
  <c r="U176" i="14700"/>
  <c r="U175" i="14700"/>
  <c r="U171" i="14700"/>
  <c r="U177" i="14700"/>
  <c r="U174" i="14700"/>
  <c r="T172" i="14700"/>
  <c r="T173" i="14700"/>
  <c r="T174" i="14700"/>
  <c r="T171" i="14700"/>
  <c r="T176" i="14700"/>
  <c r="T175" i="14700"/>
  <c r="T177" i="14700"/>
  <c r="W223" i="14700"/>
  <c r="W226" i="14700"/>
  <c r="W227" i="14700"/>
  <c r="W230" i="14700"/>
  <c r="W231" i="14700"/>
  <c r="W225" i="14700"/>
  <c r="W222" i="14700"/>
  <c r="W229" i="14700"/>
  <c r="W224" i="14700"/>
  <c r="W228" i="14700"/>
  <c r="S157" i="14700"/>
  <c r="S154" i="14700"/>
  <c r="S155" i="14700"/>
  <c r="S159" i="14700"/>
  <c r="S156" i="14700"/>
  <c r="S158" i="14700"/>
  <c r="V137" i="14700"/>
  <c r="V134" i="14700"/>
  <c r="V140" i="14700"/>
  <c r="V138" i="14700"/>
  <c r="V139" i="14700"/>
  <c r="V136" i="14700"/>
  <c r="V135" i="14700"/>
  <c r="V141" i="14700"/>
  <c r="V133" i="14700"/>
  <c r="X194" i="14700"/>
  <c r="X192" i="14700"/>
  <c r="X193" i="14700"/>
  <c r="X187" i="14700"/>
  <c r="X189" i="14700"/>
  <c r="X195" i="14700"/>
  <c r="X190" i="14700"/>
  <c r="X186" i="14700"/>
  <c r="X191" i="14700"/>
  <c r="X188" i="14700"/>
  <c r="X185" i="14700"/>
  <c r="V85" i="14700"/>
  <c r="X142" i="14698"/>
  <c r="T103" i="14698"/>
  <c r="T100" i="14698"/>
  <c r="T102" i="14698"/>
  <c r="T99" i="14698"/>
  <c r="T101" i="14698"/>
  <c r="T97" i="14698"/>
  <c r="T98" i="14698"/>
  <c r="Y178" i="14698"/>
  <c r="X196" i="14698"/>
  <c r="P213" i="14700"/>
  <c r="P211" i="14700"/>
  <c r="P212" i="14700"/>
  <c r="Q213" i="14700"/>
  <c r="Q211" i="14700"/>
  <c r="Q210" i="14700"/>
  <c r="Q212" i="14700"/>
  <c r="X205" i="14700"/>
  <c r="X203" i="14700"/>
  <c r="X212" i="14700"/>
  <c r="X208" i="14700"/>
  <c r="X211" i="14700"/>
  <c r="X209" i="14700"/>
  <c r="X210" i="14700"/>
  <c r="X213" i="14700"/>
  <c r="X206" i="14700"/>
  <c r="X207" i="14700"/>
  <c r="X204" i="14700"/>
  <c r="Y249" i="14700"/>
  <c r="Y240" i="14700"/>
  <c r="Y246" i="14700"/>
  <c r="Y241" i="14700"/>
  <c r="Y245" i="14700"/>
  <c r="Y247" i="14700"/>
  <c r="Y248" i="14700"/>
  <c r="Y243" i="14700"/>
  <c r="Y238" i="14700"/>
  <c r="Y244" i="14700"/>
  <c r="Y239" i="14700"/>
  <c r="Y242" i="14700"/>
  <c r="Q247" i="14700"/>
  <c r="Q249" i="14700"/>
  <c r="Q246" i="14700"/>
  <c r="Q248" i="14700"/>
  <c r="Q232" i="14698"/>
  <c r="X214" i="14698"/>
  <c r="W124" i="14698"/>
  <c r="W116" i="14700"/>
  <c r="W117" i="14700"/>
  <c r="W119" i="14700"/>
  <c r="W115" i="14700"/>
  <c r="W114" i="14700"/>
  <c r="W120" i="14700"/>
  <c r="W118" i="14700"/>
  <c r="W123" i="14700"/>
  <c r="W121" i="14700"/>
  <c r="W122" i="14700"/>
  <c r="E87" i="14643"/>
  <c r="G79" i="14643" a="1"/>
  <c r="T178" i="14698"/>
  <c r="Q196" i="14698"/>
  <c r="R173" i="14700"/>
  <c r="R174" i="14700"/>
  <c r="R177" i="14700"/>
  <c r="R175" i="14700"/>
  <c r="R176" i="14700"/>
  <c r="U226" i="14700"/>
  <c r="U225" i="14700"/>
  <c r="U229" i="14700"/>
  <c r="U231" i="14700"/>
  <c r="U224" i="14700"/>
  <c r="U230" i="14700"/>
  <c r="U227" i="14700"/>
  <c r="U228" i="14700"/>
  <c r="Q228" i="14700"/>
  <c r="Q231" i="14700"/>
  <c r="Q229" i="14700"/>
  <c r="Q230" i="14700"/>
  <c r="U159" i="14700"/>
  <c r="U154" i="14700"/>
  <c r="U155" i="14700"/>
  <c r="U156" i="14700"/>
  <c r="U158" i="14700"/>
  <c r="U152" i="14700"/>
  <c r="U153" i="14700"/>
  <c r="U157" i="14700"/>
  <c r="R138" i="14700"/>
  <c r="R141" i="14700"/>
  <c r="R140" i="14700"/>
  <c r="R137" i="14700"/>
  <c r="R139" i="14700"/>
  <c r="T136" i="14700"/>
  <c r="T135" i="14700"/>
  <c r="T137" i="14700"/>
  <c r="T140" i="14700"/>
  <c r="T141" i="14700"/>
  <c r="T139" i="14700"/>
  <c r="T138" i="14700"/>
  <c r="V118" i="14700"/>
  <c r="V119" i="14700"/>
  <c r="V123" i="14700"/>
  <c r="V117" i="14700"/>
  <c r="V115" i="14700"/>
  <c r="V120" i="14700"/>
  <c r="V116" i="14700"/>
  <c r="V122" i="14700"/>
  <c r="V121" i="14700"/>
  <c r="X250" i="14698"/>
  <c r="Q178" i="14698"/>
  <c r="T196" i="14698"/>
  <c r="U207" i="14700"/>
  <c r="U212" i="14700"/>
  <c r="U211" i="14700"/>
  <c r="U206" i="14700"/>
  <c r="U209" i="14700"/>
  <c r="U213" i="14700"/>
  <c r="U208" i="14700"/>
  <c r="U210" i="14700"/>
  <c r="S247" i="14700"/>
  <c r="S246" i="14700"/>
  <c r="S248" i="14700"/>
  <c r="S244" i="14700"/>
  <c r="S249" i="14700"/>
  <c r="S245" i="14700"/>
  <c r="F40" i="14683"/>
  <c r="F41" i="14683"/>
  <c r="F39" i="14683"/>
  <c r="F37" i="14683"/>
  <c r="F42" i="14683"/>
  <c r="F38" i="14683"/>
  <c r="F35" i="14683"/>
  <c r="F34" i="14683"/>
  <c r="F36" i="14683"/>
  <c r="U196" i="14698"/>
  <c r="W96" i="14698"/>
  <c r="W98" i="14698"/>
  <c r="W94" i="14698"/>
  <c r="W102" i="14698"/>
  <c r="W103" i="14698"/>
  <c r="W95" i="14698"/>
  <c r="W97" i="14698"/>
  <c r="W99" i="14698"/>
  <c r="W100" i="14698"/>
  <c r="W101" i="14698"/>
  <c r="S178" i="14698"/>
  <c r="V196" i="14698"/>
  <c r="C6" i="14628" a="1"/>
  <c r="D37" i="14667"/>
  <c r="D26" i="14706"/>
  <c r="O21" i="14625"/>
  <c r="D13" i="14706"/>
  <c r="C21" i="14626"/>
  <c r="D15" i="14667"/>
  <c r="C39" i="14667"/>
  <c r="B50" i="14667"/>
  <c r="C50" i="14667" s="1"/>
  <c r="W27" i="14655"/>
  <c r="V28" i="14655"/>
  <c r="D22" i="11"/>
  <c r="C16" i="11"/>
  <c r="R28" i="14655"/>
  <c r="B51" i="14706"/>
  <c r="C51" i="14706" s="1"/>
  <c r="C38" i="14706"/>
  <c r="B6" i="14706"/>
  <c r="B22" i="14667"/>
  <c r="B13" i="14667" s="1"/>
  <c r="C43" i="14645" l="1"/>
  <c r="N42" i="14645"/>
  <c r="L48" i="14648"/>
  <c r="N48" i="14648"/>
  <c r="G48" i="14648"/>
  <c r="E6" i="14641"/>
  <c r="M6" i="14641"/>
  <c r="H6" i="14641"/>
  <c r="J6" i="14641"/>
  <c r="I48" i="14648"/>
  <c r="J48" i="14648"/>
  <c r="K48" i="14648"/>
  <c r="D48" i="14648"/>
  <c r="N6" i="14641"/>
  <c r="E48" i="14648"/>
  <c r="C48" i="14648"/>
  <c r="H48" i="14648"/>
  <c r="F48" i="14648"/>
  <c r="M48" i="14648"/>
  <c r="D7" i="14676"/>
  <c r="J7" i="14676"/>
  <c r="I7" i="14676"/>
  <c r="C7" i="14676"/>
  <c r="G7" i="14676"/>
  <c r="K7" i="14676"/>
  <c r="M7" i="14676"/>
  <c r="H7" i="14676"/>
  <c r="L7" i="14676"/>
  <c r="F7" i="14676"/>
  <c r="E7" i="14676"/>
  <c r="N7" i="14676"/>
  <c r="C6" i="14641"/>
  <c r="F6" i="14641"/>
  <c r="K6" i="14641"/>
  <c r="L6" i="14641"/>
  <c r="I6" i="14641"/>
  <c r="G6" i="14641"/>
  <c r="D6" i="14641"/>
  <c r="Q178" i="14702"/>
  <c r="C28" i="14678"/>
  <c r="Q214" i="14702"/>
  <c r="P232" i="14702"/>
  <c r="E28" i="14678"/>
  <c r="D28" i="14678"/>
  <c r="H28" i="14678"/>
  <c r="F28" i="14678"/>
  <c r="P214" i="14702"/>
  <c r="S229" i="14701"/>
  <c r="N8" i="14679"/>
  <c r="N12" i="14679"/>
  <c r="O33" i="14675"/>
  <c r="N14" i="14679"/>
  <c r="C26" i="14679"/>
  <c r="C24" i="14679"/>
  <c r="C22" i="14679"/>
  <c r="C23" i="14679"/>
  <c r="C25" i="14679"/>
  <c r="E7" i="14670"/>
  <c r="D7" i="14670"/>
  <c r="K7" i="14670"/>
  <c r="M7" i="14670"/>
  <c r="C7" i="14670"/>
  <c r="I7" i="14670"/>
  <c r="B7" i="14670"/>
  <c r="J7" i="14670"/>
  <c r="H7" i="14670"/>
  <c r="G7" i="14670"/>
  <c r="F7" i="14670"/>
  <c r="L7" i="14670"/>
  <c r="Q24" i="14679" a="1"/>
  <c r="Q24" i="14679" s="1"/>
  <c r="N21" i="14679" a="1"/>
  <c r="N21" i="14679" s="1"/>
  <c r="M20" i="14679" a="1"/>
  <c r="M20" i="14679" s="1"/>
  <c r="R25" i="14679" a="1"/>
  <c r="R25" i="14679" s="1"/>
  <c r="M15" i="14679"/>
  <c r="O22" i="14679" a="1"/>
  <c r="O22" i="14679" s="1"/>
  <c r="S26" i="14679" a="1"/>
  <c r="S26" i="14679" s="1"/>
  <c r="S28" i="14679" s="1"/>
  <c r="P23" i="14679" a="1"/>
  <c r="P23" i="14679" s="1"/>
  <c r="J39" i="14675"/>
  <c r="J19" i="14675" a="1"/>
  <c r="J19" i="14675" s="1"/>
  <c r="N19" i="14675" a="1"/>
  <c r="N19" i="14675" s="1"/>
  <c r="N39" i="14675"/>
  <c r="J5" i="14617"/>
  <c r="J6" i="14617"/>
  <c r="O37" i="14675"/>
  <c r="G10" i="14671"/>
  <c r="G28" i="14678"/>
  <c r="H41" i="14674"/>
  <c r="I41" i="14674"/>
  <c r="D41" i="14674"/>
  <c r="N41" i="14674"/>
  <c r="C41" i="14674"/>
  <c r="F41" i="14674"/>
  <c r="G41" i="14674"/>
  <c r="M41" i="14674"/>
  <c r="E41" i="14674"/>
  <c r="K41" i="14674"/>
  <c r="L41" i="14674"/>
  <c r="J41" i="14674"/>
  <c r="L25" i="14679" a="1"/>
  <c r="L25" i="14679" s="1"/>
  <c r="I22" i="14679" a="1"/>
  <c r="I22" i="14679" s="1"/>
  <c r="J23" i="14679" a="1"/>
  <c r="J23" i="14679" s="1"/>
  <c r="H21" i="14679" a="1"/>
  <c r="H21" i="14679" s="1"/>
  <c r="G20" i="14679" a="1"/>
  <c r="G20" i="14679" s="1"/>
  <c r="M26" i="14679" a="1"/>
  <c r="M26" i="14679" s="1"/>
  <c r="G15" i="14679"/>
  <c r="K24" i="14679" a="1"/>
  <c r="K24" i="14679" s="1"/>
  <c r="K19" i="14675" a="1"/>
  <c r="K19" i="14675" s="1"/>
  <c r="K39" i="14675"/>
  <c r="E19" i="14675" a="1"/>
  <c r="E19" i="14675" s="1"/>
  <c r="E39" i="14675"/>
  <c r="H19" i="14683" a="1"/>
  <c r="L8" i="14708"/>
  <c r="W24" i="14655" s="1"/>
  <c r="L7" i="14708"/>
  <c r="S31" i="14678"/>
  <c r="C7" i="14677" s="1" a="1"/>
  <c r="H39" i="14675"/>
  <c r="H19" i="14675" a="1"/>
  <c r="H19" i="14675" s="1"/>
  <c r="L39" i="14675"/>
  <c r="L19" i="14675" a="1"/>
  <c r="L19" i="14675" s="1"/>
  <c r="F19" i="14675" a="1"/>
  <c r="F19" i="14675" s="1"/>
  <c r="F39" i="14675"/>
  <c r="S30" i="14678"/>
  <c r="E26" i="14679"/>
  <c r="E24" i="14679"/>
  <c r="E25" i="14679"/>
  <c r="D22" i="14679" a="1"/>
  <c r="D22" i="14679" s="1"/>
  <c r="C21" i="14679" a="1"/>
  <c r="C21" i="14679" s="1"/>
  <c r="N7" i="14679"/>
  <c r="F24" i="14679" a="1"/>
  <c r="F24" i="14679" s="1"/>
  <c r="E23" i="14679" a="1"/>
  <c r="E23" i="14679" s="1"/>
  <c r="H26" i="14679" a="1"/>
  <c r="H26" i="14679" s="1"/>
  <c r="G25" i="14679" a="1"/>
  <c r="G25" i="14679" s="1"/>
  <c r="B15" i="14679"/>
  <c r="B20" i="14679" a="1"/>
  <c r="B20" i="14679" s="1"/>
  <c r="L24" i="14679" a="1"/>
  <c r="L24" i="14679" s="1"/>
  <c r="J22" i="14679" a="1"/>
  <c r="J22" i="14679" s="1"/>
  <c r="N26" i="14679" a="1"/>
  <c r="N26" i="14679" s="1"/>
  <c r="H20" i="14679" a="1"/>
  <c r="H20" i="14679" s="1"/>
  <c r="K23" i="14679" a="1"/>
  <c r="K23" i="14679" s="1"/>
  <c r="M25" i="14679" a="1"/>
  <c r="M25" i="14679" s="1"/>
  <c r="I21" i="14679" a="1"/>
  <c r="I21" i="14679" s="1"/>
  <c r="H15" i="14679"/>
  <c r="O25" i="14679" a="1"/>
  <c r="O25" i="14679" s="1"/>
  <c r="N24" i="14679" a="1"/>
  <c r="N24" i="14679" s="1"/>
  <c r="P26" i="14679" a="1"/>
  <c r="P26" i="14679" s="1"/>
  <c r="M23" i="14679" a="1"/>
  <c r="M23" i="14679" s="1"/>
  <c r="K21" i="14679" a="1"/>
  <c r="K21" i="14679" s="1"/>
  <c r="J20" i="14679" a="1"/>
  <c r="J20" i="14679" s="1"/>
  <c r="L22" i="14679" a="1"/>
  <c r="L22" i="14679" s="1"/>
  <c r="J15" i="14679"/>
  <c r="C39" i="14675"/>
  <c r="C19" i="14675" a="1"/>
  <c r="C19" i="14675" s="1"/>
  <c r="O31" i="14675"/>
  <c r="O35" i="14675"/>
  <c r="M39" i="14675"/>
  <c r="M19" i="14675" a="1"/>
  <c r="M19" i="14675" s="1"/>
  <c r="B25" i="14679"/>
  <c r="B21" i="14679"/>
  <c r="B26" i="14679"/>
  <c r="B23" i="14679"/>
  <c r="B22" i="14679"/>
  <c r="B24" i="14679"/>
  <c r="C98" i="14643"/>
  <c r="C95" i="14643"/>
  <c r="C92" i="14643"/>
  <c r="C93" i="14643"/>
  <c r="C94" i="14643"/>
  <c r="C97" i="14643"/>
  <c r="C96" i="14643"/>
  <c r="C99" i="14643"/>
  <c r="N11" i="14679"/>
  <c r="I39" i="14675"/>
  <c r="I19" i="14675" a="1"/>
  <c r="I19" i="14675" s="1"/>
  <c r="I28" i="14707"/>
  <c r="I31" i="14707"/>
  <c r="I26" i="14707"/>
  <c r="I30" i="14707"/>
  <c r="I24" i="14707"/>
  <c r="I25" i="14707"/>
  <c r="I27" i="14707"/>
  <c r="I29" i="14707"/>
  <c r="K22" i="14679" a="1"/>
  <c r="K22" i="14679" s="1"/>
  <c r="M24" i="14679" a="1"/>
  <c r="M24" i="14679" s="1"/>
  <c r="J21" i="14679" a="1"/>
  <c r="J21" i="14679" s="1"/>
  <c r="L23" i="14679" a="1"/>
  <c r="L23" i="14679" s="1"/>
  <c r="O26" i="14679" a="1"/>
  <c r="O26" i="14679" s="1"/>
  <c r="N25" i="14679" a="1"/>
  <c r="N25" i="14679" s="1"/>
  <c r="I15" i="14679"/>
  <c r="I20" i="14679" a="1"/>
  <c r="I20" i="14679" s="1"/>
  <c r="J26" i="14679" a="1"/>
  <c r="J26" i="14679" s="1"/>
  <c r="F22" i="14679" a="1"/>
  <c r="F22" i="14679" s="1"/>
  <c r="D15" i="14679"/>
  <c r="E21" i="14679" a="1"/>
  <c r="E21" i="14679" s="1"/>
  <c r="I25" i="14679" a="1"/>
  <c r="I25" i="14679" s="1"/>
  <c r="H24" i="14679" a="1"/>
  <c r="H24" i="14679" s="1"/>
  <c r="G23" i="14679" a="1"/>
  <c r="G23" i="14679" s="1"/>
  <c r="D20" i="14679" a="1"/>
  <c r="D20" i="14679" s="1"/>
  <c r="O36" i="14675"/>
  <c r="O38" i="14675"/>
  <c r="L10" i="14671"/>
  <c r="L28" i="14678"/>
  <c r="H36" i="14669"/>
  <c r="I36" i="14669"/>
  <c r="K38" i="14669"/>
  <c r="C35" i="14669"/>
  <c r="L33" i="14669"/>
  <c r="K37" i="14669"/>
  <c r="H33" i="14669"/>
  <c r="L39" i="14669"/>
  <c r="E34" i="14669"/>
  <c r="I38" i="14669"/>
  <c r="B34" i="14669"/>
  <c r="M32" i="14669"/>
  <c r="D39" i="14669"/>
  <c r="E39" i="14669"/>
  <c r="G39" i="14669"/>
  <c r="G35" i="14669"/>
  <c r="J37" i="14669"/>
  <c r="C33" i="14669"/>
  <c r="B32" i="14669"/>
  <c r="C38" i="14669"/>
  <c r="C36" i="14669"/>
  <c r="F34" i="14669"/>
  <c r="M37" i="14669"/>
  <c r="D35" i="14669"/>
  <c r="K33" i="14669"/>
  <c r="C34" i="14669"/>
  <c r="H35" i="14669"/>
  <c r="M39" i="14669"/>
  <c r="I33" i="14669"/>
  <c r="J38" i="14669"/>
  <c r="F37" i="14669"/>
  <c r="L36" i="14669"/>
  <c r="C37" i="14669"/>
  <c r="B37" i="14669"/>
  <c r="F35" i="14669"/>
  <c r="D37" i="14669"/>
  <c r="B33" i="14669"/>
  <c r="L38" i="14669"/>
  <c r="J32" i="14669"/>
  <c r="K39" i="14669"/>
  <c r="I35" i="14669"/>
  <c r="K32" i="14669"/>
  <c r="D38" i="14669"/>
  <c r="I34" i="14669"/>
  <c r="J33" i="14669"/>
  <c r="H37" i="14669"/>
  <c r="E37" i="14669"/>
  <c r="F38" i="14669"/>
  <c r="L34" i="14669"/>
  <c r="M34" i="14669"/>
  <c r="D34" i="14669"/>
  <c r="D36" i="14669"/>
  <c r="C32" i="14669"/>
  <c r="E38" i="14669"/>
  <c r="B35" i="14669"/>
  <c r="M33" i="14669"/>
  <c r="L37" i="14669"/>
  <c r="E32" i="14669"/>
  <c r="C39" i="14669"/>
  <c r="M38" i="14669"/>
  <c r="G37" i="14669"/>
  <c r="J36" i="14669"/>
  <c r="K35" i="14669"/>
  <c r="K34" i="14669"/>
  <c r="G36" i="14669"/>
  <c r="H38" i="14669"/>
  <c r="K36" i="14669"/>
  <c r="B36" i="14669"/>
  <c r="H34" i="14669"/>
  <c r="E36" i="14669"/>
  <c r="G33" i="14669"/>
  <c r="J39" i="14669"/>
  <c r="L32" i="14669"/>
  <c r="F36" i="14669"/>
  <c r="M36" i="14669"/>
  <c r="H39" i="14669"/>
  <c r="G34" i="14669"/>
  <c r="B38" i="14669"/>
  <c r="I37" i="14669"/>
  <c r="D33" i="14669"/>
  <c r="E35" i="14669"/>
  <c r="F32" i="14669"/>
  <c r="M35" i="14669"/>
  <c r="F33" i="14669"/>
  <c r="L35" i="14669"/>
  <c r="B39" i="14669"/>
  <c r="J34" i="14669"/>
  <c r="G38" i="14669"/>
  <c r="I32" i="14669"/>
  <c r="I39" i="14669"/>
  <c r="F39" i="14669"/>
  <c r="J35" i="14669"/>
  <c r="E33" i="14669"/>
  <c r="H32" i="14669"/>
  <c r="D32" i="14669"/>
  <c r="G32" i="14669"/>
  <c r="N9" i="14679"/>
  <c r="N10" i="14679"/>
  <c r="G39" i="14675"/>
  <c r="G19" i="14675" a="1"/>
  <c r="G19" i="14675" s="1"/>
  <c r="C5" i="14671"/>
  <c r="C48" i="14710" s="1"/>
  <c r="I5" i="14671"/>
  <c r="I48" i="14710" s="1"/>
  <c r="J5" i="14671"/>
  <c r="J48" i="14710" s="1"/>
  <c r="D5" i="14671"/>
  <c r="D48" i="14710" s="1"/>
  <c r="F5" i="14671"/>
  <c r="F48" i="14710" s="1"/>
  <c r="H5" i="14671"/>
  <c r="H48" i="14710" s="1"/>
  <c r="B5" i="14671"/>
  <c r="E5" i="14671"/>
  <c r="E48" i="14710" s="1"/>
  <c r="K5" i="14671"/>
  <c r="K48" i="14710" s="1"/>
  <c r="L5" i="14671"/>
  <c r="L48" i="14710" s="1"/>
  <c r="M5" i="14671"/>
  <c r="M48" i="14710" s="1"/>
  <c r="G5" i="14671"/>
  <c r="G48" i="14710" s="1"/>
  <c r="D23" i="14679"/>
  <c r="D26" i="14679"/>
  <c r="D25" i="14679"/>
  <c r="D24" i="14679"/>
  <c r="I28" i="14678"/>
  <c r="N22" i="14679" a="1"/>
  <c r="N22" i="14679" s="1"/>
  <c r="O23" i="14679" a="1"/>
  <c r="O23" i="14679" s="1"/>
  <c r="L20" i="14679" a="1"/>
  <c r="L20" i="14679" s="1"/>
  <c r="R26" i="14679" a="1"/>
  <c r="R26" i="14679" s="1"/>
  <c r="L15" i="14679"/>
  <c r="M21" i="14679" a="1"/>
  <c r="M21" i="14679" s="1"/>
  <c r="Q25" i="14679" a="1"/>
  <c r="Q25" i="14679" s="1"/>
  <c r="P24" i="14679" a="1"/>
  <c r="P24" i="14679" s="1"/>
  <c r="I19" i="14683"/>
  <c r="I21" i="14683"/>
  <c r="I26" i="14683"/>
  <c r="I24" i="14683"/>
  <c r="I23" i="14683"/>
  <c r="I20" i="14683"/>
  <c r="I25" i="14683"/>
  <c r="I22" i="14683"/>
  <c r="C15" i="14679"/>
  <c r="I26" i="14679" a="1"/>
  <c r="I26" i="14679" s="1"/>
  <c r="D21" i="14679" a="1"/>
  <c r="D21" i="14679" s="1"/>
  <c r="G24" i="14679" a="1"/>
  <c r="G24" i="14679" s="1"/>
  <c r="F23" i="14679" a="1"/>
  <c r="F23" i="14679" s="1"/>
  <c r="E22" i="14679" a="1"/>
  <c r="E22" i="14679" s="1"/>
  <c r="C20" i="14679" a="1"/>
  <c r="C20" i="14679" s="1"/>
  <c r="H25" i="14679" a="1"/>
  <c r="H25" i="14679" s="1"/>
  <c r="F20" i="14679" a="1"/>
  <c r="F20" i="14679" s="1"/>
  <c r="J24" i="14679" a="1"/>
  <c r="J24" i="14679" s="1"/>
  <c r="H22" i="14679" a="1"/>
  <c r="H22" i="14679" s="1"/>
  <c r="G21" i="14679" a="1"/>
  <c r="G21" i="14679" s="1"/>
  <c r="L26" i="14679" a="1"/>
  <c r="L26" i="14679" s="1"/>
  <c r="K25" i="14679" a="1"/>
  <c r="K25" i="14679" s="1"/>
  <c r="F15" i="14679"/>
  <c r="I23" i="14679" a="1"/>
  <c r="I23" i="14679" s="1"/>
  <c r="O24" i="14679" a="1"/>
  <c r="O24" i="14679" s="1"/>
  <c r="Q26" i="14679" a="1"/>
  <c r="Q26" i="14679" s="1"/>
  <c r="P25" i="14679" a="1"/>
  <c r="P25" i="14679" s="1"/>
  <c r="L21" i="14679" a="1"/>
  <c r="L21" i="14679" s="1"/>
  <c r="M22" i="14679" a="1"/>
  <c r="M22" i="14679" s="1"/>
  <c r="K15" i="14679"/>
  <c r="K20" i="14679" a="1"/>
  <c r="K20" i="14679" s="1"/>
  <c r="N23" i="14679" a="1"/>
  <c r="N23" i="14679" s="1"/>
  <c r="D19" i="14675" a="1"/>
  <c r="D19" i="14675" s="1"/>
  <c r="D39" i="14675"/>
  <c r="O34" i="14675"/>
  <c r="B40" i="14669" a="1"/>
  <c r="G9" i="14657"/>
  <c r="F25" i="14679"/>
  <c r="F26" i="14679"/>
  <c r="N40" i="14668"/>
  <c r="J28" i="14678"/>
  <c r="D85" i="14643"/>
  <c r="D83" i="14643"/>
  <c r="D80" i="14643"/>
  <c r="D84" i="14643"/>
  <c r="D79" i="14643"/>
  <c r="D86" i="14643"/>
  <c r="G14" i="14643"/>
  <c r="D82" i="14643"/>
  <c r="D81" i="14643"/>
  <c r="J25" i="14679" a="1"/>
  <c r="J25" i="14679" s="1"/>
  <c r="E15" i="14679"/>
  <c r="I24" i="14679" a="1"/>
  <c r="I24" i="14679" s="1"/>
  <c r="K26" i="14679" a="1"/>
  <c r="K26" i="14679" s="1"/>
  <c r="G22" i="14679" a="1"/>
  <c r="G22" i="14679" s="1"/>
  <c r="E20" i="14679" a="1"/>
  <c r="E20" i="14679" s="1"/>
  <c r="H23" i="14679" a="1"/>
  <c r="H23" i="14679" s="1"/>
  <c r="F21" i="14679" a="1"/>
  <c r="F21" i="14679" s="1"/>
  <c r="N13" i="14679"/>
  <c r="O32" i="14675"/>
  <c r="H26" i="14707"/>
  <c r="H28" i="14707"/>
  <c r="H24" i="14707"/>
  <c r="H30" i="14707"/>
  <c r="H25" i="14707"/>
  <c r="H29" i="14707"/>
  <c r="H31" i="14707"/>
  <c r="H32" i="14707"/>
  <c r="H27" i="14707"/>
  <c r="K28" i="14678"/>
  <c r="B30" i="14682"/>
  <c r="B32" i="14682"/>
  <c r="B34" i="14682"/>
  <c r="B36" i="14682"/>
  <c r="B38" i="14682"/>
  <c r="B40" i="14682"/>
  <c r="B42" i="14682"/>
  <c r="B44" i="14682"/>
  <c r="B46" i="14682"/>
  <c r="B48" i="14682"/>
  <c r="B50" i="14682"/>
  <c r="B29" i="14682"/>
  <c r="B31" i="14682"/>
  <c r="B33" i="14682"/>
  <c r="B35" i="14682"/>
  <c r="B37" i="14682"/>
  <c r="B39" i="14682"/>
  <c r="B41" i="14682"/>
  <c r="B43" i="14682"/>
  <c r="B45" i="14682"/>
  <c r="B47" i="14682"/>
  <c r="B49" i="14682"/>
  <c r="P178" i="14702"/>
  <c r="S231" i="14701"/>
  <c r="S227" i="14701"/>
  <c r="S230" i="14701"/>
  <c r="S226" i="14701"/>
  <c r="E52" i="14704"/>
  <c r="Q122" i="14701"/>
  <c r="R174" i="14701"/>
  <c r="R140" i="14701"/>
  <c r="R177" i="14701"/>
  <c r="O104" i="14701"/>
  <c r="R175" i="14701"/>
  <c r="R176" i="14701"/>
  <c r="Q101" i="14702"/>
  <c r="P196" i="14702"/>
  <c r="Q121" i="14701"/>
  <c r="P124" i="14702"/>
  <c r="Q160" i="14702"/>
  <c r="Q123" i="14701"/>
  <c r="X215" i="14704"/>
  <c r="Q196" i="14702"/>
  <c r="X226" i="14701"/>
  <c r="N59" i="14703"/>
  <c r="Q85" i="14701"/>
  <c r="R211" i="14701"/>
  <c r="X210" i="14701"/>
  <c r="B233" i="14704"/>
  <c r="R193" i="14701"/>
  <c r="Q192" i="14701"/>
  <c r="R138" i="14701"/>
  <c r="R124" i="14702"/>
  <c r="K67" i="14703"/>
  <c r="N64" i="14703"/>
  <c r="Q213" i="14701"/>
  <c r="U154" i="14701"/>
  <c r="W214" i="14702"/>
  <c r="G215" i="14704"/>
  <c r="B215" i="14704"/>
  <c r="S123" i="14701"/>
  <c r="X168" i="14701"/>
  <c r="I52" i="14704"/>
  <c r="S214" i="14702"/>
  <c r="S178" i="14702"/>
  <c r="D67" i="14703"/>
  <c r="C67" i="14703"/>
  <c r="J67" i="14703"/>
  <c r="P213" i="14701"/>
  <c r="F161" i="14704"/>
  <c r="P195" i="14701"/>
  <c r="C46" i="14704"/>
  <c r="V134" i="14701"/>
  <c r="I53" i="14704"/>
  <c r="U159" i="14701"/>
  <c r="V142" i="14702"/>
  <c r="P142" i="14702"/>
  <c r="H67" i="14703"/>
  <c r="N65" i="14703"/>
  <c r="U160" i="14702"/>
  <c r="X133" i="14701"/>
  <c r="R245" i="14701"/>
  <c r="S141" i="14701"/>
  <c r="M179" i="14704"/>
  <c r="Y187" i="14701"/>
  <c r="U228" i="14701"/>
  <c r="P102" i="14702"/>
  <c r="S176" i="14701"/>
  <c r="P212" i="14701"/>
  <c r="P177" i="14701"/>
  <c r="S161" i="14704"/>
  <c r="Q100" i="14702"/>
  <c r="E197" i="14704"/>
  <c r="S125" i="14704"/>
  <c r="P194" i="14701"/>
  <c r="Q212" i="14701"/>
  <c r="U155" i="14701"/>
  <c r="U152" i="14701"/>
  <c r="Y140" i="14701"/>
  <c r="I67" i="14703"/>
  <c r="N61" i="14703"/>
  <c r="B67" i="14703"/>
  <c r="N66" i="14703"/>
  <c r="B35" i="14623" a="1"/>
  <c r="H40" i="14623" s="1"/>
  <c r="G67" i="14703"/>
  <c r="M67" i="14703"/>
  <c r="N60" i="14703"/>
  <c r="L67" i="14703"/>
  <c r="F67" i="14703"/>
  <c r="U209" i="14701"/>
  <c r="S191" i="14701"/>
  <c r="T155" i="14701"/>
  <c r="Q176" i="14701"/>
  <c r="E215" i="14704"/>
  <c r="K215" i="14704"/>
  <c r="V215" i="14704"/>
  <c r="P233" i="14704"/>
  <c r="R191" i="14701"/>
  <c r="R194" i="14701"/>
  <c r="W139" i="14701"/>
  <c r="V170" i="14701"/>
  <c r="V195" i="14701"/>
  <c r="V154" i="14701"/>
  <c r="X225" i="14701"/>
  <c r="X221" i="14701"/>
  <c r="W213" i="14701"/>
  <c r="R141" i="14701"/>
  <c r="R137" i="14701"/>
  <c r="N62" i="14703"/>
  <c r="W246" i="14701"/>
  <c r="S211" i="14701"/>
  <c r="U134" i="14701"/>
  <c r="W171" i="14701"/>
  <c r="T210" i="14701"/>
  <c r="J49" i="14704"/>
  <c r="X120" i="14701"/>
  <c r="P161" i="14704"/>
  <c r="Q102" i="14702"/>
  <c r="S179" i="14704"/>
  <c r="M51" i="14704"/>
  <c r="K197" i="14704"/>
  <c r="Q211" i="14701"/>
  <c r="U156" i="14701"/>
  <c r="U153" i="14701"/>
  <c r="U158" i="14701"/>
  <c r="W195" i="14701"/>
  <c r="M50" i="14704"/>
  <c r="P160" i="14702"/>
  <c r="V85" i="14701"/>
  <c r="S250" i="14702"/>
  <c r="Y250" i="14702"/>
  <c r="R178" i="14702"/>
  <c r="X85" i="14701"/>
  <c r="R214" i="14702"/>
  <c r="W124" i="14702"/>
  <c r="T124" i="14702"/>
  <c r="S142" i="14702"/>
  <c r="I42" i="14683"/>
  <c r="J34" i="14683" s="1" a="1"/>
  <c r="J40" i="14683" s="1"/>
  <c r="T142" i="14702"/>
  <c r="Y178" i="14702"/>
  <c r="W178" i="14702"/>
  <c r="V214" i="14702"/>
  <c r="N63" i="14703"/>
  <c r="P249" i="14701"/>
  <c r="R101" i="14702"/>
  <c r="P158" i="14701"/>
  <c r="Y205" i="14701"/>
  <c r="R212" i="14701"/>
  <c r="R209" i="14701"/>
  <c r="Q248" i="14701"/>
  <c r="S192" i="14701"/>
  <c r="S194" i="14701"/>
  <c r="T153" i="14701"/>
  <c r="T193" i="14701"/>
  <c r="O215" i="14704"/>
  <c r="W215" i="14704"/>
  <c r="D215" i="14704"/>
  <c r="C215" i="14704"/>
  <c r="M215" i="14704"/>
  <c r="H215" i="14704"/>
  <c r="W233" i="14704"/>
  <c r="E233" i="14704"/>
  <c r="T245" i="14701"/>
  <c r="R195" i="14701"/>
  <c r="V176" i="14701"/>
  <c r="Q193" i="14701"/>
  <c r="B47" i="14704"/>
  <c r="X229" i="14701"/>
  <c r="X222" i="14701"/>
  <c r="X224" i="14701"/>
  <c r="W96" i="14702"/>
  <c r="X157" i="14701"/>
  <c r="X174" i="14701"/>
  <c r="W207" i="14701"/>
  <c r="T138" i="14701"/>
  <c r="B48" i="14704"/>
  <c r="E67" i="14703"/>
  <c r="T99" i="14702"/>
  <c r="X185" i="14701"/>
  <c r="Y211" i="14701"/>
  <c r="R210" i="14701"/>
  <c r="Q249" i="14701"/>
  <c r="Y116" i="14701"/>
  <c r="S195" i="14701"/>
  <c r="S190" i="14701"/>
  <c r="T156" i="14701"/>
  <c r="T159" i="14701"/>
  <c r="T190" i="14701"/>
  <c r="T191" i="14701"/>
  <c r="P139" i="14701"/>
  <c r="P215" i="14704"/>
  <c r="I215" i="14704"/>
  <c r="N215" i="14704"/>
  <c r="S215" i="14704"/>
  <c r="F215" i="14704"/>
  <c r="J215" i="14704"/>
  <c r="U215" i="14704"/>
  <c r="Y215" i="14704"/>
  <c r="L215" i="14704"/>
  <c r="Q215" i="14704"/>
  <c r="T215" i="14704"/>
  <c r="O233" i="14704"/>
  <c r="D233" i="14704"/>
  <c r="P229" i="14701"/>
  <c r="V177" i="14701"/>
  <c r="Q194" i="14701"/>
  <c r="V190" i="14701"/>
  <c r="T225" i="14701"/>
  <c r="G47" i="14704"/>
  <c r="X227" i="14701"/>
  <c r="X228" i="14701"/>
  <c r="X231" i="14701"/>
  <c r="X223" i="14701"/>
  <c r="S121" i="14701"/>
  <c r="W101" i="14702"/>
  <c r="X159" i="14701"/>
  <c r="T123" i="14701"/>
  <c r="U245" i="14701"/>
  <c r="Y244" i="14701"/>
  <c r="Y240" i="14701"/>
  <c r="V100" i="14702"/>
  <c r="V101" i="14702"/>
  <c r="U174" i="14701"/>
  <c r="U171" i="14701"/>
  <c r="M251" i="14704"/>
  <c r="T251" i="14704"/>
  <c r="X100" i="14702"/>
  <c r="X102" i="14702"/>
  <c r="X154" i="14701"/>
  <c r="X150" i="14701"/>
  <c r="X155" i="14701"/>
  <c r="X152" i="14701"/>
  <c r="X158" i="14701"/>
  <c r="X153" i="14701"/>
  <c r="W94" i="14702"/>
  <c r="W100" i="14702"/>
  <c r="W102" i="14702"/>
  <c r="W95" i="14702"/>
  <c r="W99" i="14702"/>
  <c r="X172" i="14701"/>
  <c r="X171" i="14701"/>
  <c r="X167" i="14701"/>
  <c r="X176" i="14701"/>
  <c r="X175" i="14701"/>
  <c r="R231" i="14701"/>
  <c r="R230" i="14701"/>
  <c r="R228" i="14701"/>
  <c r="W134" i="14701"/>
  <c r="W135" i="14701"/>
  <c r="W141" i="14701"/>
  <c r="W132" i="14701"/>
  <c r="W133" i="14701"/>
  <c r="T135" i="14701"/>
  <c r="T140" i="14701"/>
  <c r="T141" i="14701"/>
  <c r="T244" i="14701"/>
  <c r="T247" i="14701"/>
  <c r="T249" i="14701"/>
  <c r="T243" i="14701"/>
  <c r="V151" i="14701"/>
  <c r="V152" i="14701"/>
  <c r="V156" i="14701"/>
  <c r="V157" i="14701"/>
  <c r="V158" i="14701"/>
  <c r="W209" i="14701"/>
  <c r="W210" i="14701"/>
  <c r="W205" i="14701"/>
  <c r="W212" i="14701"/>
  <c r="W208" i="14701"/>
  <c r="S118" i="14701"/>
  <c r="S122" i="14701"/>
  <c r="S119" i="14701"/>
  <c r="V172" i="14701"/>
  <c r="V174" i="14701"/>
  <c r="V171" i="14701"/>
  <c r="V175" i="14701"/>
  <c r="V169" i="14701"/>
  <c r="U99" i="14702"/>
  <c r="U102" i="14702"/>
  <c r="I143" i="14704"/>
  <c r="X143" i="14704"/>
  <c r="D143" i="14704"/>
  <c r="V193" i="14701"/>
  <c r="V191" i="14701"/>
  <c r="V187" i="14701"/>
  <c r="V194" i="14701"/>
  <c r="Q139" i="14701"/>
  <c r="Q140" i="14701"/>
  <c r="Y233" i="14704"/>
  <c r="G233" i="14704"/>
  <c r="M233" i="14704"/>
  <c r="F233" i="14704"/>
  <c r="L233" i="14704"/>
  <c r="X233" i="14704"/>
  <c r="T233" i="14704"/>
  <c r="I233" i="14704"/>
  <c r="Q233" i="14704"/>
  <c r="N233" i="14704"/>
  <c r="D47" i="14704"/>
  <c r="J47" i="14704"/>
  <c r="H47" i="14704"/>
  <c r="E47" i="14704"/>
  <c r="K47" i="14704"/>
  <c r="C47" i="14704"/>
  <c r="P247" i="14701"/>
  <c r="R99" i="14702"/>
  <c r="X192" i="14701"/>
  <c r="X191" i="14701"/>
  <c r="U213" i="14701"/>
  <c r="Y208" i="14701"/>
  <c r="Q247" i="14701"/>
  <c r="X209" i="14701"/>
  <c r="X213" i="14701"/>
  <c r="T157" i="14701"/>
  <c r="T154" i="14701"/>
  <c r="T195" i="14701"/>
  <c r="T192" i="14701"/>
  <c r="T189" i="14701"/>
  <c r="P140" i="14701"/>
  <c r="R233" i="14704"/>
  <c r="U233" i="14704"/>
  <c r="H233" i="14704"/>
  <c r="S233" i="14704"/>
  <c r="V233" i="14704"/>
  <c r="C233" i="14704"/>
  <c r="K233" i="14704"/>
  <c r="P230" i="14701"/>
  <c r="T246" i="14701"/>
  <c r="V103" i="14702"/>
  <c r="W140" i="14701"/>
  <c r="W138" i="14701"/>
  <c r="W136" i="14701"/>
  <c r="Q141" i="14701"/>
  <c r="V189" i="14701"/>
  <c r="V188" i="14701"/>
  <c r="X101" i="14702"/>
  <c r="Q143" i="14704"/>
  <c r="V153" i="14701"/>
  <c r="V155" i="14701"/>
  <c r="R229" i="14701"/>
  <c r="M47" i="14704"/>
  <c r="I47" i="14704"/>
  <c r="L47" i="14704"/>
  <c r="H251" i="14704"/>
  <c r="Y156" i="14701"/>
  <c r="W97" i="14702"/>
  <c r="W98" i="14702"/>
  <c r="X149" i="14701"/>
  <c r="X156" i="14701"/>
  <c r="X170" i="14701"/>
  <c r="X173" i="14701"/>
  <c r="X169" i="14701"/>
  <c r="W211" i="14701"/>
  <c r="W206" i="14701"/>
  <c r="T139" i="14701"/>
  <c r="T136" i="14701"/>
  <c r="I48" i="14704"/>
  <c r="P85" i="14701"/>
  <c r="V246" i="14701"/>
  <c r="D52" i="14704"/>
  <c r="T178" i="14702"/>
  <c r="T196" i="14702"/>
  <c r="U142" i="14702"/>
  <c r="Y142" i="14702"/>
  <c r="W160" i="14702"/>
  <c r="U178" i="14702"/>
  <c r="S196" i="14702"/>
  <c r="Y230" i="14701"/>
  <c r="W156" i="14701"/>
  <c r="S213" i="14701"/>
  <c r="S209" i="14701"/>
  <c r="U141" i="14701"/>
  <c r="X138" i="14701"/>
  <c r="X135" i="14701"/>
  <c r="U118" i="14701"/>
  <c r="W177" i="14701"/>
  <c r="W175" i="14701"/>
  <c r="V225" i="14701"/>
  <c r="U188" i="14701"/>
  <c r="K161" i="14704"/>
  <c r="H161" i="14704"/>
  <c r="O161" i="14704"/>
  <c r="U179" i="14704"/>
  <c r="F51" i="14704"/>
  <c r="Y197" i="14704"/>
  <c r="Q125" i="14704"/>
  <c r="O125" i="14704"/>
  <c r="H46" i="14704"/>
  <c r="Y101" i="14702"/>
  <c r="E53" i="14704"/>
  <c r="Y131" i="14701"/>
  <c r="Y220" i="14701"/>
  <c r="W240" i="14701"/>
  <c r="W159" i="14701"/>
  <c r="P122" i="14701"/>
  <c r="U121" i="14701"/>
  <c r="W123" i="14701"/>
  <c r="E49" i="14704"/>
  <c r="Y185" i="14701"/>
  <c r="V210" i="14701"/>
  <c r="W227" i="14701"/>
  <c r="Y95" i="14702"/>
  <c r="Y175" i="14701"/>
  <c r="G50" i="14704"/>
  <c r="T214" i="14702"/>
  <c r="X124" i="14702"/>
  <c r="Y222" i="14701"/>
  <c r="W249" i="14701"/>
  <c r="W248" i="14701"/>
  <c r="W245" i="14701"/>
  <c r="C104" i="14702"/>
  <c r="W157" i="14701"/>
  <c r="W152" i="14701"/>
  <c r="W153" i="14701"/>
  <c r="S208" i="14701"/>
  <c r="S210" i="14701"/>
  <c r="U135" i="14701"/>
  <c r="U138" i="14701"/>
  <c r="X139" i="14701"/>
  <c r="X131" i="14701"/>
  <c r="X140" i="14701"/>
  <c r="R249" i="14701"/>
  <c r="U120" i="14701"/>
  <c r="U119" i="14701"/>
  <c r="Y115" i="14701"/>
  <c r="Y121" i="14701"/>
  <c r="W116" i="14701"/>
  <c r="W172" i="14701"/>
  <c r="W174" i="14701"/>
  <c r="S174" i="14701"/>
  <c r="S172" i="14701"/>
  <c r="T211" i="14701"/>
  <c r="T209" i="14701"/>
  <c r="F49" i="14704"/>
  <c r="V226" i="14701"/>
  <c r="E161" i="14704"/>
  <c r="R161" i="14704"/>
  <c r="L161" i="14704"/>
  <c r="T161" i="14704"/>
  <c r="Q161" i="14704"/>
  <c r="F179" i="14704"/>
  <c r="N179" i="14704"/>
  <c r="C197" i="14704"/>
  <c r="J197" i="14704"/>
  <c r="L125" i="14704"/>
  <c r="C125" i="14704"/>
  <c r="V117" i="14701"/>
  <c r="Y170" i="14701"/>
  <c r="U232" i="14702"/>
  <c r="W232" i="14702"/>
  <c r="Y85" i="14701"/>
  <c r="Q250" i="14702"/>
  <c r="Y232" i="14702"/>
  <c r="X160" i="14702"/>
  <c r="Q142" i="14702"/>
  <c r="S232" i="14702"/>
  <c r="Y96" i="14702"/>
  <c r="Y92" i="14702"/>
  <c r="Y94" i="14702"/>
  <c r="Y102" i="14702"/>
  <c r="Y93" i="14702"/>
  <c r="Y97" i="14702"/>
  <c r="B179" i="14704"/>
  <c r="P179" i="14704"/>
  <c r="G179" i="14704"/>
  <c r="J179" i="14704"/>
  <c r="I179" i="14704"/>
  <c r="X179" i="14704"/>
  <c r="Y179" i="14704"/>
  <c r="O179" i="14704"/>
  <c r="H179" i="14704"/>
  <c r="Q179" i="14704"/>
  <c r="W179" i="14704"/>
  <c r="L179" i="14704"/>
  <c r="V206" i="14701"/>
  <c r="V213" i="14701"/>
  <c r="V212" i="14701"/>
  <c r="V207" i="14701"/>
  <c r="V224" i="14701"/>
  <c r="V227" i="14701"/>
  <c r="V229" i="14701"/>
  <c r="V223" i="14701"/>
  <c r="W191" i="14701"/>
  <c r="W189" i="14701"/>
  <c r="W186" i="14701"/>
  <c r="W193" i="14701"/>
  <c r="W188" i="14701"/>
  <c r="U194" i="14701"/>
  <c r="U195" i="14701"/>
  <c r="U191" i="14701"/>
  <c r="U190" i="14701"/>
  <c r="X196" i="14702"/>
  <c r="Y196" i="14702"/>
  <c r="R250" i="14702"/>
  <c r="T232" i="14702"/>
  <c r="X250" i="14702"/>
  <c r="Y124" i="14702"/>
  <c r="U124" i="14702"/>
  <c r="S247" i="14701"/>
  <c r="S245" i="14701"/>
  <c r="S244" i="14701"/>
  <c r="F53" i="14704"/>
  <c r="J53" i="14704"/>
  <c r="G53" i="14704"/>
  <c r="D53" i="14704"/>
  <c r="H53" i="14704"/>
  <c r="C53" i="14704"/>
  <c r="M46" i="14704"/>
  <c r="J46" i="14704"/>
  <c r="I46" i="14704"/>
  <c r="B46" i="14704"/>
  <c r="K46" i="14704"/>
  <c r="L46" i="14704"/>
  <c r="R197" i="14704"/>
  <c r="T197" i="14704"/>
  <c r="U197" i="14704"/>
  <c r="S197" i="14704"/>
  <c r="V197" i="14704"/>
  <c r="H197" i="14704"/>
  <c r="P197" i="14704"/>
  <c r="F197" i="14704"/>
  <c r="L197" i="14704"/>
  <c r="O197" i="14704"/>
  <c r="W197" i="14704"/>
  <c r="X197" i="14704"/>
  <c r="Y133" i="14701"/>
  <c r="Y139" i="14701"/>
  <c r="Y136" i="14701"/>
  <c r="Y135" i="14701"/>
  <c r="Y141" i="14701"/>
  <c r="Y138" i="14701"/>
  <c r="B161" i="14704"/>
  <c r="I161" i="14704"/>
  <c r="X161" i="14704"/>
  <c r="N161" i="14704"/>
  <c r="Y161" i="14704"/>
  <c r="M161" i="14704"/>
  <c r="U161" i="14704"/>
  <c r="J161" i="14704"/>
  <c r="C161" i="14704"/>
  <c r="D161" i="14704"/>
  <c r="W161" i="14704"/>
  <c r="V161" i="14704"/>
  <c r="X241" i="14701"/>
  <c r="X240" i="14701"/>
  <c r="X247" i="14701"/>
  <c r="R159" i="14701"/>
  <c r="R157" i="14701"/>
  <c r="R156" i="14701"/>
  <c r="S101" i="14702"/>
  <c r="S98" i="14702"/>
  <c r="S100" i="14702"/>
  <c r="Y192" i="14701"/>
  <c r="Y188" i="14701"/>
  <c r="Y194" i="14701"/>
  <c r="Y186" i="14701"/>
  <c r="Y189" i="14701"/>
  <c r="Y195" i="14701"/>
  <c r="D49" i="14704"/>
  <c r="H49" i="14704"/>
  <c r="C49" i="14704"/>
  <c r="T171" i="14701"/>
  <c r="T175" i="14701"/>
  <c r="T177" i="14701"/>
  <c r="T173" i="14701"/>
  <c r="S139" i="14701"/>
  <c r="S138" i="14701"/>
  <c r="S136" i="14701"/>
  <c r="K125" i="14704"/>
  <c r="M125" i="14704"/>
  <c r="N125" i="14704"/>
  <c r="D125" i="14704"/>
  <c r="U125" i="14704"/>
  <c r="H125" i="14704"/>
  <c r="F125" i="14704"/>
  <c r="T125" i="14704"/>
  <c r="E125" i="14704"/>
  <c r="R125" i="14704"/>
  <c r="G125" i="14704"/>
  <c r="J125" i="14704"/>
  <c r="Y168" i="14701"/>
  <c r="Y167" i="14701"/>
  <c r="Y169" i="14701"/>
  <c r="Y174" i="14701"/>
  <c r="Y166" i="14701"/>
  <c r="Y171" i="14701"/>
  <c r="Q159" i="14701"/>
  <c r="Q158" i="14701"/>
  <c r="V133" i="14701"/>
  <c r="V139" i="14701"/>
  <c r="V136" i="14701"/>
  <c r="V138" i="14701"/>
  <c r="V135" i="14701"/>
  <c r="B51" i="14704"/>
  <c r="G51" i="14704"/>
  <c r="I51" i="14704"/>
  <c r="C51" i="14704"/>
  <c r="L51" i="14704"/>
  <c r="J51" i="14704"/>
  <c r="S157" i="14701"/>
  <c r="S154" i="14701"/>
  <c r="S155" i="14701"/>
  <c r="U225" i="14701"/>
  <c r="U227" i="14701"/>
  <c r="U231" i="14701"/>
  <c r="U224" i="14701"/>
  <c r="I50" i="14704"/>
  <c r="J50" i="14704"/>
  <c r="F50" i="14704"/>
  <c r="D50" i="14704"/>
  <c r="K50" i="14704"/>
  <c r="H50" i="14704"/>
  <c r="Y229" i="14701"/>
  <c r="Y224" i="14701"/>
  <c r="Y226" i="14701"/>
  <c r="W243" i="14701"/>
  <c r="W244" i="14701"/>
  <c r="W247" i="14701"/>
  <c r="W242" i="14701"/>
  <c r="P101" i="14702"/>
  <c r="W150" i="14701"/>
  <c r="W155" i="14701"/>
  <c r="W158" i="14701"/>
  <c r="W154" i="14701"/>
  <c r="U140" i="14701"/>
  <c r="U139" i="14701"/>
  <c r="U136" i="14701"/>
  <c r="X132" i="14701"/>
  <c r="X141" i="14701"/>
  <c r="X134" i="14701"/>
  <c r="X136" i="14701"/>
  <c r="R246" i="14701"/>
  <c r="R248" i="14701"/>
  <c r="U123" i="14701"/>
  <c r="U122" i="14701"/>
  <c r="U116" i="14701"/>
  <c r="Y117" i="14701"/>
  <c r="Y120" i="14701"/>
  <c r="Y113" i="14701"/>
  <c r="W117" i="14701"/>
  <c r="W121" i="14701"/>
  <c r="W120" i="14701"/>
  <c r="W173" i="14701"/>
  <c r="W176" i="14701"/>
  <c r="W169" i="14701"/>
  <c r="W170" i="14701"/>
  <c r="S173" i="14701"/>
  <c r="S175" i="14701"/>
  <c r="T207" i="14701"/>
  <c r="T213" i="14701"/>
  <c r="T212" i="14701"/>
  <c r="B49" i="14704"/>
  <c r="G49" i="14704"/>
  <c r="K49" i="14704"/>
  <c r="I49" i="14704"/>
  <c r="M49" i="14704"/>
  <c r="V228" i="14701"/>
  <c r="V230" i="14701"/>
  <c r="S246" i="14701"/>
  <c r="S249" i="14701"/>
  <c r="R158" i="14701"/>
  <c r="P176" i="14701"/>
  <c r="U193" i="14701"/>
  <c r="U189" i="14701"/>
  <c r="S140" i="14701"/>
  <c r="S103" i="14702"/>
  <c r="S102" i="14702"/>
  <c r="R179" i="14704"/>
  <c r="K179" i="14704"/>
  <c r="V179" i="14704"/>
  <c r="D179" i="14704"/>
  <c r="E179" i="14704"/>
  <c r="T179" i="14704"/>
  <c r="Y191" i="14701"/>
  <c r="Y184" i="14701"/>
  <c r="Y190" i="14701"/>
  <c r="E51" i="14704"/>
  <c r="K51" i="14704"/>
  <c r="H51" i="14704"/>
  <c r="Q197" i="14704"/>
  <c r="D197" i="14704"/>
  <c r="M197" i="14704"/>
  <c r="I197" i="14704"/>
  <c r="N197" i="14704"/>
  <c r="G197" i="14704"/>
  <c r="W125" i="14704"/>
  <c r="P125" i="14704"/>
  <c r="V125" i="14704"/>
  <c r="X125" i="14704"/>
  <c r="Y125" i="14704"/>
  <c r="I125" i="14704"/>
  <c r="Q157" i="14701"/>
  <c r="D46" i="14704"/>
  <c r="G46" i="14704"/>
  <c r="F46" i="14704"/>
  <c r="V211" i="14701"/>
  <c r="V205" i="14701"/>
  <c r="V208" i="14701"/>
  <c r="V141" i="14701"/>
  <c r="V137" i="14701"/>
  <c r="S158" i="14701"/>
  <c r="S159" i="14701"/>
  <c r="U229" i="14701"/>
  <c r="U226" i="14701"/>
  <c r="W230" i="14701"/>
  <c r="Y98" i="14702"/>
  <c r="Y100" i="14702"/>
  <c r="Y103" i="14702"/>
  <c r="M53" i="14704"/>
  <c r="B53" i="14704"/>
  <c r="K53" i="14704"/>
  <c r="T174" i="14701"/>
  <c r="T172" i="14701"/>
  <c r="Y172" i="14701"/>
  <c r="Y173" i="14701"/>
  <c r="Y177" i="14701"/>
  <c r="W192" i="14701"/>
  <c r="W194" i="14701"/>
  <c r="W190" i="14701"/>
  <c r="B50" i="14704"/>
  <c r="C50" i="14704"/>
  <c r="L50" i="14704"/>
  <c r="Y134" i="14701"/>
  <c r="Y132" i="14701"/>
  <c r="Y137" i="14701"/>
  <c r="V95" i="14701" a="1"/>
  <c r="V102" i="14701" s="1"/>
  <c r="U85" i="14701"/>
  <c r="W85" i="14701"/>
  <c r="V232" i="14702"/>
  <c r="X178" i="14702"/>
  <c r="R142" i="14702"/>
  <c r="Q124" i="14702"/>
  <c r="B106" i="14704"/>
  <c r="V124" i="14702"/>
  <c r="T102" i="14702"/>
  <c r="T98" i="14702"/>
  <c r="R102" i="14702"/>
  <c r="P157" i="14701"/>
  <c r="X194" i="14701"/>
  <c r="X187" i="14701"/>
  <c r="U208" i="14701"/>
  <c r="U211" i="14701"/>
  <c r="Y204" i="14701"/>
  <c r="Y203" i="14701"/>
  <c r="Y207" i="14701"/>
  <c r="X204" i="14701"/>
  <c r="X206" i="14701"/>
  <c r="X205" i="14701"/>
  <c r="X115" i="14701"/>
  <c r="Q174" i="14701"/>
  <c r="T121" i="14701"/>
  <c r="V98" i="14702"/>
  <c r="V96" i="14702"/>
  <c r="V95" i="14702"/>
  <c r="X98" i="14702"/>
  <c r="X96" i="14702"/>
  <c r="U103" i="14702"/>
  <c r="O143" i="14704"/>
  <c r="C143" i="14704"/>
  <c r="V251" i="14704"/>
  <c r="E251" i="14704"/>
  <c r="Y157" i="14701"/>
  <c r="Y249" i="14701"/>
  <c r="Y247" i="14701"/>
  <c r="C52" i="14704"/>
  <c r="B52" i="14704"/>
  <c r="X118" i="14701"/>
  <c r="X116" i="14701"/>
  <c r="X117" i="14701"/>
  <c r="T118" i="14701"/>
  <c r="U246" i="14701"/>
  <c r="V245" i="14701"/>
  <c r="V244" i="14701"/>
  <c r="Y243" i="14701"/>
  <c r="Y239" i="14701"/>
  <c r="Y241" i="14701"/>
  <c r="S85" i="14701"/>
  <c r="S124" i="14702"/>
  <c r="R232" i="14702"/>
  <c r="U248" i="14701"/>
  <c r="U247" i="14701"/>
  <c r="V241" i="14701"/>
  <c r="V248" i="14701"/>
  <c r="Y245" i="14701"/>
  <c r="Y242" i="14701"/>
  <c r="Y246" i="14701"/>
  <c r="Y248" i="14701"/>
  <c r="Y238" i="14701"/>
  <c r="H52" i="14704"/>
  <c r="K52" i="14704"/>
  <c r="M52" i="14704"/>
  <c r="J52" i="14704"/>
  <c r="L52" i="14704"/>
  <c r="G52" i="14704"/>
  <c r="X93" i="14701" a="1"/>
  <c r="X100" i="14701" s="1"/>
  <c r="R99" i="14701" a="1"/>
  <c r="R101" i="14701" s="1"/>
  <c r="W196" i="14702"/>
  <c r="T85" i="14701"/>
  <c r="Y214" i="14702"/>
  <c r="T160" i="14702"/>
  <c r="X232" i="14702"/>
  <c r="Y160" i="14702"/>
  <c r="E100" i="14643"/>
  <c r="F94" i="14643" s="1"/>
  <c r="X214" i="14702"/>
  <c r="P250" i="14702"/>
  <c r="T97" i="14701" a="1"/>
  <c r="T98" i="14701" s="1"/>
  <c r="M104" i="14702"/>
  <c r="N9" i="14671"/>
  <c r="X142" i="14702"/>
  <c r="S160" i="14702"/>
  <c r="V250" i="14702"/>
  <c r="V116" i="14701"/>
  <c r="V115" i="14701"/>
  <c r="V120" i="14701"/>
  <c r="V118" i="14701"/>
  <c r="V119" i="14701"/>
  <c r="R122" i="14701"/>
  <c r="R121" i="14701"/>
  <c r="R119" i="14701"/>
  <c r="W229" i="14701"/>
  <c r="W225" i="14701"/>
  <c r="W222" i="14701"/>
  <c r="W231" i="14701"/>
  <c r="W228" i="14701"/>
  <c r="Q230" i="14701"/>
  <c r="Q228" i="14701"/>
  <c r="Y158" i="14701"/>
  <c r="Y159" i="14701"/>
  <c r="Y152" i="14701"/>
  <c r="Y154" i="14701"/>
  <c r="Y153" i="14701"/>
  <c r="Y149" i="14701"/>
  <c r="W142" i="14702"/>
  <c r="R160" i="14702"/>
  <c r="T250" i="14702"/>
  <c r="T230" i="14701"/>
  <c r="T228" i="14701"/>
  <c r="T226" i="14701"/>
  <c r="T229" i="14701"/>
  <c r="U214" i="14702"/>
  <c r="U173" i="14701"/>
  <c r="U177" i="14701"/>
  <c r="U172" i="14701"/>
  <c r="U170" i="14701"/>
  <c r="U196" i="14702"/>
  <c r="S251" i="14704"/>
  <c r="L251" i="14704"/>
  <c r="J251" i="14704"/>
  <c r="W251" i="14704"/>
  <c r="F251" i="14704"/>
  <c r="K251" i="14704"/>
  <c r="P251" i="14704"/>
  <c r="N251" i="14704"/>
  <c r="Y251" i="14704"/>
  <c r="D251" i="14704"/>
  <c r="R251" i="14704"/>
  <c r="C251" i="14704"/>
  <c r="N143" i="14704"/>
  <c r="V143" i="14704"/>
  <c r="S143" i="14704"/>
  <c r="Y143" i="14704"/>
  <c r="U143" i="14704"/>
  <c r="H143" i="14704"/>
  <c r="W143" i="14704"/>
  <c r="K143" i="14704"/>
  <c r="F143" i="14704"/>
  <c r="R143" i="14704"/>
  <c r="B143" i="14704"/>
  <c r="G143" i="14704"/>
  <c r="Q232" i="14702"/>
  <c r="U250" i="14702"/>
  <c r="V160" i="14702"/>
  <c r="W250" i="14702"/>
  <c r="V178" i="14702"/>
  <c r="V196" i="14702"/>
  <c r="R196" i="14702"/>
  <c r="D48" i="14704"/>
  <c r="H48" i="14704"/>
  <c r="J48" i="14704"/>
  <c r="F48" i="14704"/>
  <c r="L48" i="14704"/>
  <c r="G48" i="14704"/>
  <c r="K48" i="14704"/>
  <c r="Y231" i="14701"/>
  <c r="Y223" i="14701"/>
  <c r="Y221" i="14701"/>
  <c r="Y225" i="14701"/>
  <c r="Y228" i="14701"/>
  <c r="T97" i="14702"/>
  <c r="T101" i="14702"/>
  <c r="T103" i="14702"/>
  <c r="R103" i="14702"/>
  <c r="X193" i="14701"/>
  <c r="X190" i="14701"/>
  <c r="X195" i="14701"/>
  <c r="X189" i="14701"/>
  <c r="X186" i="14701"/>
  <c r="U212" i="14701"/>
  <c r="U206" i="14701"/>
  <c r="U210" i="14701"/>
  <c r="Y202" i="14701"/>
  <c r="Y210" i="14701"/>
  <c r="Y206" i="14701"/>
  <c r="Y213" i="14701"/>
  <c r="Y209" i="14701"/>
  <c r="P123" i="14701"/>
  <c r="Y119" i="14701"/>
  <c r="Y122" i="14701"/>
  <c r="Y123" i="14701"/>
  <c r="Y118" i="14701"/>
  <c r="Y112" i="14701"/>
  <c r="W122" i="14701"/>
  <c r="W114" i="14701"/>
  <c r="W115" i="14701"/>
  <c r="W118" i="14701"/>
  <c r="X208" i="14701"/>
  <c r="X203" i="14701"/>
  <c r="X211" i="14701"/>
  <c r="X212" i="14701"/>
  <c r="X242" i="14701"/>
  <c r="X244" i="14701"/>
  <c r="Q177" i="14701"/>
  <c r="V102" i="14702"/>
  <c r="V99" i="14702"/>
  <c r="V97" i="14702"/>
  <c r="X94" i="14702"/>
  <c r="X99" i="14702"/>
  <c r="X95" i="14702"/>
  <c r="X103" i="14702"/>
  <c r="X93" i="14702"/>
  <c r="U100" i="14702"/>
  <c r="U96" i="14702"/>
  <c r="U101" i="14702"/>
  <c r="U97" i="14702"/>
  <c r="P143" i="14704"/>
  <c r="J143" i="14704"/>
  <c r="L143" i="14704"/>
  <c r="M143" i="14704"/>
  <c r="T143" i="14704"/>
  <c r="E143" i="14704"/>
  <c r="T227" i="14701"/>
  <c r="R120" i="14701"/>
  <c r="Q229" i="14701"/>
  <c r="Q251" i="14704"/>
  <c r="I251" i="14704"/>
  <c r="X251" i="14704"/>
  <c r="G251" i="14704"/>
  <c r="O251" i="14704"/>
  <c r="B251" i="14704"/>
  <c r="Y151" i="14701"/>
  <c r="Y155" i="14701"/>
  <c r="Y148" i="14701"/>
  <c r="W226" i="14701"/>
  <c r="W223" i="14701"/>
  <c r="V122" i="14701"/>
  <c r="V121" i="14701"/>
  <c r="U176" i="14701"/>
  <c r="U175" i="14701"/>
  <c r="C48" i="14704"/>
  <c r="E48" i="14704"/>
  <c r="E104" i="14702"/>
  <c r="X248" i="14701"/>
  <c r="X243" i="14701"/>
  <c r="X239" i="14701"/>
  <c r="X246" i="14701"/>
  <c r="X245" i="14701"/>
  <c r="D104" i="14702"/>
  <c r="U96" i="14701" a="1"/>
  <c r="U103" i="14701" s="1"/>
  <c r="Q100" i="14701" a="1"/>
  <c r="Q102" i="14701" s="1"/>
  <c r="W94" i="14701" a="1"/>
  <c r="W99" i="14701" s="1"/>
  <c r="S98" i="14701" a="1"/>
  <c r="S98" i="14701" s="1"/>
  <c r="R85" i="14701"/>
  <c r="P101" i="14701" a="1"/>
  <c r="P101" i="14701" s="1"/>
  <c r="B104" i="14702"/>
  <c r="X122" i="14701"/>
  <c r="X121" i="14701"/>
  <c r="X114" i="14701"/>
  <c r="X119" i="14701"/>
  <c r="X113" i="14701"/>
  <c r="T122" i="14701"/>
  <c r="T119" i="14701"/>
  <c r="T117" i="14701"/>
  <c r="U244" i="14701"/>
  <c r="U242" i="14701"/>
  <c r="U243" i="14701"/>
  <c r="V249" i="14701"/>
  <c r="V242" i="14701"/>
  <c r="V243" i="14701"/>
  <c r="I104" i="14702"/>
  <c r="D11" i="14639"/>
  <c r="F11" i="14639"/>
  <c r="H11" i="14639"/>
  <c r="J11" i="14639"/>
  <c r="L11" i="14639"/>
  <c r="N11" i="14639"/>
  <c r="C11" i="14639"/>
  <c r="E11" i="14639"/>
  <c r="G11" i="14639"/>
  <c r="I11" i="14639"/>
  <c r="K11" i="14639"/>
  <c r="M11" i="14639"/>
  <c r="O11" i="14639"/>
  <c r="N104" i="14702"/>
  <c r="K104" i="14702"/>
  <c r="Y92" i="14701" a="1"/>
  <c r="Y101" i="14701" s="1"/>
  <c r="B55" i="14702"/>
  <c r="H104" i="14702"/>
  <c r="O104" i="14702"/>
  <c r="L104" i="14702"/>
  <c r="J104" i="14702"/>
  <c r="F104" i="14702"/>
  <c r="N40" i="14702"/>
  <c r="G104" i="14702"/>
  <c r="C17" i="14645"/>
  <c r="B17" i="14645"/>
  <c r="F17" i="14645"/>
  <c r="N17" i="14645"/>
  <c r="I17" i="14645"/>
  <c r="K17" i="14645"/>
  <c r="M17" i="14645"/>
  <c r="E17" i="14645"/>
  <c r="D17" i="14645"/>
  <c r="G17" i="14645"/>
  <c r="H17" i="14645"/>
  <c r="J17" i="14645"/>
  <c r="L17" i="14645"/>
  <c r="C71" i="14700"/>
  <c r="B71" i="14700"/>
  <c r="F71" i="14700"/>
  <c r="H71" i="14700"/>
  <c r="J71" i="14700"/>
  <c r="L71" i="14700"/>
  <c r="E71" i="14700"/>
  <c r="D71" i="14700"/>
  <c r="G71" i="14700"/>
  <c r="I71" i="14700"/>
  <c r="K71" i="14700"/>
  <c r="M71" i="14700"/>
  <c r="E7" i="14693"/>
  <c r="E12" i="14693" s="1"/>
  <c r="F7" i="14693"/>
  <c r="F12" i="14693" s="1"/>
  <c r="D7" i="14693"/>
  <c r="D12" i="14693" s="1"/>
  <c r="C7" i="14693"/>
  <c r="C12" i="14693" s="1"/>
  <c r="B7" i="14693"/>
  <c r="B12" i="14693" s="1"/>
  <c r="X71" i="14704"/>
  <c r="T71" i="14704"/>
  <c r="P71" i="14704"/>
  <c r="Q71" i="14704"/>
  <c r="S71" i="14704"/>
  <c r="V71" i="14704"/>
  <c r="W71" i="14704"/>
  <c r="U71" i="14704"/>
  <c r="N71" i="14704"/>
  <c r="O71" i="14704"/>
  <c r="R71" i="14704"/>
  <c r="Y71" i="14704"/>
  <c r="P71" i="14703"/>
  <c r="S71" i="14703"/>
  <c r="N71" i="14703"/>
  <c r="O71" i="14703"/>
  <c r="W71" i="14703"/>
  <c r="Y71" i="14703"/>
  <c r="Q71" i="14703"/>
  <c r="R71" i="14703"/>
  <c r="T71" i="14703"/>
  <c r="U71" i="14703"/>
  <c r="V71" i="14703"/>
  <c r="X71" i="14703"/>
  <c r="E19" i="14623"/>
  <c r="F19" i="14623"/>
  <c r="H19" i="14623"/>
  <c r="I19" i="14623"/>
  <c r="J19" i="14623"/>
  <c r="L19" i="14623"/>
  <c r="D19" i="14623"/>
  <c r="G19" i="14623"/>
  <c r="C19" i="14623"/>
  <c r="B19" i="14623"/>
  <c r="K19" i="14623"/>
  <c r="M19" i="14623"/>
  <c r="C27" i="14645"/>
  <c r="D27" i="14645"/>
  <c r="G27" i="14645"/>
  <c r="N27" i="14645"/>
  <c r="J27" i="14645"/>
  <c r="L27" i="14645"/>
  <c r="B27" i="14645"/>
  <c r="E27" i="14645"/>
  <c r="F27" i="14645"/>
  <c r="H27" i="14645"/>
  <c r="I27" i="14645"/>
  <c r="K27" i="14645"/>
  <c r="M27" i="14645"/>
  <c r="O71" i="14700"/>
  <c r="Q71" i="14700"/>
  <c r="S71" i="14700"/>
  <c r="U71" i="14700"/>
  <c r="W71" i="14700"/>
  <c r="Y71" i="14700"/>
  <c r="N71" i="14700"/>
  <c r="P71" i="14700"/>
  <c r="R71" i="14700"/>
  <c r="T71" i="14700"/>
  <c r="V71" i="14700"/>
  <c r="X71" i="14700"/>
  <c r="B19" i="14679"/>
  <c r="D19" i="14679"/>
  <c r="G19" i="14679"/>
  <c r="I19" i="14679"/>
  <c r="K19" i="14679"/>
  <c r="M19" i="14679"/>
  <c r="C19" i="14679"/>
  <c r="E19" i="14679"/>
  <c r="F19" i="14679"/>
  <c r="H19" i="14679"/>
  <c r="J19" i="14679"/>
  <c r="L19" i="14679"/>
  <c r="B71" i="14704"/>
  <c r="E71" i="14704"/>
  <c r="G71" i="14704"/>
  <c r="I71" i="14704"/>
  <c r="K71" i="14704"/>
  <c r="M71" i="14704"/>
  <c r="C71" i="14704"/>
  <c r="D71" i="14704"/>
  <c r="F71" i="14704"/>
  <c r="H71" i="14704"/>
  <c r="J71" i="14704"/>
  <c r="L71" i="14704"/>
  <c r="D71" i="14702"/>
  <c r="G71" i="14702"/>
  <c r="C71" i="14702"/>
  <c r="I71" i="14702"/>
  <c r="K71" i="14702"/>
  <c r="M71" i="14702"/>
  <c r="E71" i="14702"/>
  <c r="F71" i="14702"/>
  <c r="H71" i="14702"/>
  <c r="B71" i="14702"/>
  <c r="J71" i="14702"/>
  <c r="L71" i="14702"/>
  <c r="D37" i="14645"/>
  <c r="F37" i="14645"/>
  <c r="N37" i="14645"/>
  <c r="C37" i="14645"/>
  <c r="I37" i="14645"/>
  <c r="K37" i="14645"/>
  <c r="M37" i="14645"/>
  <c r="E37" i="14645"/>
  <c r="G37" i="14645"/>
  <c r="H37" i="14645"/>
  <c r="B37" i="14645"/>
  <c r="J37" i="14645"/>
  <c r="L37" i="14645"/>
  <c r="E19" i="14632"/>
  <c r="D19" i="14632"/>
  <c r="G19" i="14632"/>
  <c r="I19" i="14632"/>
  <c r="K19" i="14632"/>
  <c r="M19" i="14632"/>
  <c r="C19" i="14632"/>
  <c r="B19" i="14632"/>
  <c r="F19" i="14632"/>
  <c r="H19" i="14632"/>
  <c r="J19" i="14632"/>
  <c r="L19" i="14632"/>
  <c r="O71" i="14698"/>
  <c r="N71" i="14698"/>
  <c r="R71" i="14698"/>
  <c r="T71" i="14698"/>
  <c r="V71" i="14698"/>
  <c r="X71" i="14698"/>
  <c r="Q71" i="14698"/>
  <c r="P71" i="14698"/>
  <c r="S71" i="14698"/>
  <c r="U71" i="14698"/>
  <c r="W71" i="14698"/>
  <c r="Y71" i="14698"/>
  <c r="N19" i="14679"/>
  <c r="O19" i="14679"/>
  <c r="R19" i="14679"/>
  <c r="P19" i="14679"/>
  <c r="Q19" i="14679"/>
  <c r="S19" i="14679"/>
  <c r="E71" i="14698"/>
  <c r="G71" i="14698"/>
  <c r="B71" i="14698"/>
  <c r="I71" i="14698"/>
  <c r="K71" i="14698"/>
  <c r="M71" i="14698"/>
  <c r="D71" i="14698"/>
  <c r="F71" i="14698"/>
  <c r="H71" i="14698"/>
  <c r="C71" i="14698"/>
  <c r="J71" i="14698"/>
  <c r="L71" i="14698"/>
  <c r="D7" i="14645"/>
  <c r="G7" i="14645"/>
  <c r="C7" i="14645"/>
  <c r="I7" i="14645"/>
  <c r="K7" i="14645"/>
  <c r="N7" i="14645"/>
  <c r="E7" i="14645"/>
  <c r="F7" i="14645"/>
  <c r="H7" i="14645"/>
  <c r="B7" i="14645"/>
  <c r="J7" i="14645"/>
  <c r="L7" i="14645"/>
  <c r="M7" i="14645"/>
  <c r="E19" i="14638"/>
  <c r="F19" i="14638"/>
  <c r="H19" i="14638"/>
  <c r="I19" i="14638"/>
  <c r="J19" i="14638"/>
  <c r="L19" i="14638"/>
  <c r="D19" i="14638"/>
  <c r="G19" i="14638"/>
  <c r="C19" i="14638"/>
  <c r="B19" i="14638"/>
  <c r="K19" i="14638"/>
  <c r="M19" i="14638"/>
  <c r="E71" i="14701"/>
  <c r="G71" i="14701"/>
  <c r="B71" i="14701"/>
  <c r="C71" i="14701"/>
  <c r="K71" i="14701"/>
  <c r="M71" i="14701"/>
  <c r="D71" i="14701"/>
  <c r="F71" i="14701"/>
  <c r="H71" i="14701"/>
  <c r="I71" i="14701"/>
  <c r="J71" i="14701"/>
  <c r="L71" i="14701"/>
  <c r="G20" i="14693"/>
  <c r="C48" i="14645"/>
  <c r="E48" i="14645"/>
  <c r="F48" i="14645"/>
  <c r="H48" i="14645"/>
  <c r="I48" i="14645"/>
  <c r="K48" i="14645"/>
  <c r="M48" i="14645"/>
  <c r="B48" i="14645"/>
  <c r="D48" i="14645"/>
  <c r="G48" i="14645"/>
  <c r="N48" i="14645"/>
  <c r="J48" i="14645"/>
  <c r="L48" i="14645"/>
  <c r="N71" i="14702"/>
  <c r="P71" i="14702"/>
  <c r="S71" i="14702"/>
  <c r="U71" i="14702"/>
  <c r="W71" i="14702"/>
  <c r="Y71" i="14702"/>
  <c r="O71" i="14702"/>
  <c r="Q71" i="14702"/>
  <c r="R71" i="14702"/>
  <c r="T71" i="14702"/>
  <c r="V71" i="14702"/>
  <c r="X71" i="14702"/>
  <c r="Q71" i="14701"/>
  <c r="R71" i="14701"/>
  <c r="N71" i="14701"/>
  <c r="U71" i="14701"/>
  <c r="W71" i="14701"/>
  <c r="Y71" i="14701"/>
  <c r="O71" i="14701"/>
  <c r="P71" i="14701"/>
  <c r="S71" i="14701"/>
  <c r="T71" i="14701"/>
  <c r="V71" i="14701"/>
  <c r="X71" i="14701"/>
  <c r="E19" i="14678"/>
  <c r="F19" i="14678"/>
  <c r="H19" i="14678"/>
  <c r="I19" i="14678"/>
  <c r="J19" i="14678"/>
  <c r="L19" i="14678"/>
  <c r="D19" i="14678"/>
  <c r="G19" i="14678"/>
  <c r="C19" i="14678"/>
  <c r="B19" i="14678"/>
  <c r="K19" i="14678"/>
  <c r="M19" i="14678"/>
  <c r="C15" i="14657"/>
  <c r="D8" i="14643"/>
  <c r="H7" i="14617"/>
  <c r="H6" i="14617"/>
  <c r="Q214" i="14700"/>
  <c r="P214" i="14700"/>
  <c r="X196" i="14700"/>
  <c r="U250" i="14700"/>
  <c r="Q160" i="14700"/>
  <c r="P196" i="14700"/>
  <c r="Q142" i="14700"/>
  <c r="Q196" i="14700"/>
  <c r="S232" i="14700"/>
  <c r="U142" i="14700"/>
  <c r="U124" i="14700"/>
  <c r="R196" i="14700"/>
  <c r="R142" i="14700"/>
  <c r="H66" i="14643" a="1"/>
  <c r="H68" i="14643" s="1"/>
  <c r="Q104" i="14698"/>
  <c r="P124" i="14700"/>
  <c r="H37" i="14683"/>
  <c r="H41" i="14683"/>
  <c r="H36" i="14683"/>
  <c r="H39" i="14683"/>
  <c r="H40" i="14683"/>
  <c r="H34" i="14683"/>
  <c r="H38" i="14683"/>
  <c r="H42" i="14683"/>
  <c r="H35" i="14683"/>
  <c r="N6" i="14628"/>
  <c r="J6" i="14628"/>
  <c r="H6" i="14628"/>
  <c r="K6" i="14628"/>
  <c r="G6" i="14628"/>
  <c r="L6" i="14628"/>
  <c r="M6" i="14628"/>
  <c r="I6" i="14628"/>
  <c r="C6" i="14628"/>
  <c r="S250" i="14700"/>
  <c r="U214" i="14700"/>
  <c r="V124" i="14700"/>
  <c r="T142" i="14700"/>
  <c r="Q232" i="14700"/>
  <c r="U232" i="14700"/>
  <c r="R178" i="14700"/>
  <c r="F86" i="14643"/>
  <c r="F79" i="14643"/>
  <c r="F81" i="14643"/>
  <c r="F84" i="14643"/>
  <c r="F83" i="14643"/>
  <c r="F85" i="14643"/>
  <c r="F80" i="14643"/>
  <c r="F82" i="14643"/>
  <c r="G87" i="14643"/>
  <c r="W124" i="14700"/>
  <c r="B52" i="14698" a="1"/>
  <c r="B233" i="14698" a="1"/>
  <c r="Q250" i="14700"/>
  <c r="Y250" i="14700"/>
  <c r="X214" i="14700"/>
  <c r="T104" i="14698"/>
  <c r="V142" i="14700"/>
  <c r="U178" i="14700"/>
  <c r="T214" i="14700"/>
  <c r="E57" i="14683"/>
  <c r="F49" i="14683" s="1" a="1"/>
  <c r="V232" i="14700"/>
  <c r="Q178" i="14700"/>
  <c r="E4" i="14692"/>
  <c r="B4" i="14692" a="1"/>
  <c r="G4" i="14692" s="1"/>
  <c r="B5" i="14695" a="1"/>
  <c r="E5" i="14695" s="1"/>
  <c r="W214" i="14700"/>
  <c r="B48" i="14698" a="1"/>
  <c r="B161" i="14698" a="1"/>
  <c r="Y96" i="14700"/>
  <c r="Y100" i="14700"/>
  <c r="Y95" i="14700"/>
  <c r="Y102" i="14700"/>
  <c r="Y98" i="14700"/>
  <c r="Y92" i="14700"/>
  <c r="Y93" i="14700"/>
  <c r="Y103" i="14700"/>
  <c r="Y94" i="14700"/>
  <c r="Y99" i="14700"/>
  <c r="Y97" i="14700"/>
  <c r="Y101" i="14700"/>
  <c r="U97" i="14700"/>
  <c r="U99" i="14700"/>
  <c r="U102" i="14700"/>
  <c r="U96" i="14700"/>
  <c r="U103" i="14700"/>
  <c r="U98" i="14700"/>
  <c r="U100" i="14700"/>
  <c r="U101" i="14700"/>
  <c r="X178" i="14700"/>
  <c r="Y142" i="14700"/>
  <c r="D6" i="14628"/>
  <c r="F6" i="14628"/>
  <c r="E6" i="14628"/>
  <c r="P250" i="14700"/>
  <c r="R250" i="14700"/>
  <c r="S214" i="14700"/>
  <c r="R124" i="14700"/>
  <c r="T124" i="14700"/>
  <c r="X142" i="14700"/>
  <c r="R160" i="14700"/>
  <c r="V196" i="14700"/>
  <c r="V250" i="14700"/>
  <c r="Y214" i="14700"/>
  <c r="V104" i="14698"/>
  <c r="S196" i="14700"/>
  <c r="P232" i="14700"/>
  <c r="F74" i="14643"/>
  <c r="S104" i="14698"/>
  <c r="S124" i="14700"/>
  <c r="P142" i="14700"/>
  <c r="W160" i="14700"/>
  <c r="P160" i="14700"/>
  <c r="T232" i="14700"/>
  <c r="X250" i="14700"/>
  <c r="T250" i="14700"/>
  <c r="R101" i="14700"/>
  <c r="R99" i="14700"/>
  <c r="R103" i="14700"/>
  <c r="R100" i="14700"/>
  <c r="R102" i="14700"/>
  <c r="B106" i="14701"/>
  <c r="T97" i="14700"/>
  <c r="T102" i="14700"/>
  <c r="T98" i="14700"/>
  <c r="T101" i="14700"/>
  <c r="T103" i="14700"/>
  <c r="T100" i="14700"/>
  <c r="T99" i="14700"/>
  <c r="P102" i="14700"/>
  <c r="P103" i="14700"/>
  <c r="P101" i="14700"/>
  <c r="X100" i="14700"/>
  <c r="X103" i="14700"/>
  <c r="X95" i="14700"/>
  <c r="X93" i="14700"/>
  <c r="X98" i="14700"/>
  <c r="X97" i="14700"/>
  <c r="X94" i="14700"/>
  <c r="X99" i="14700"/>
  <c r="X96" i="14700"/>
  <c r="X101" i="14700"/>
  <c r="X102" i="14700"/>
  <c r="S103" i="14700"/>
  <c r="S101" i="14700"/>
  <c r="S99" i="14700"/>
  <c r="S98" i="14700"/>
  <c r="S100" i="14700"/>
  <c r="S102" i="14700"/>
  <c r="Q124" i="14700"/>
  <c r="Y196" i="14700"/>
  <c r="V160" i="14700"/>
  <c r="T196" i="14700"/>
  <c r="W104" i="14698"/>
  <c r="U160" i="14700"/>
  <c r="G82" i="14643"/>
  <c r="G85" i="14643"/>
  <c r="G84" i="14643"/>
  <c r="G79" i="14643"/>
  <c r="G86" i="14643"/>
  <c r="G81" i="14643"/>
  <c r="G83" i="14643"/>
  <c r="G80" i="14643"/>
  <c r="S160" i="14700"/>
  <c r="W232" i="14700"/>
  <c r="T178" i="14700"/>
  <c r="R104" i="14698"/>
  <c r="U104" i="14698"/>
  <c r="Y160" i="14700"/>
  <c r="Y178" i="14700"/>
  <c r="H4" i="14692"/>
  <c r="H5" i="14695"/>
  <c r="W250" i="14700"/>
  <c r="R214" i="14700"/>
  <c r="B251" i="14698" a="1"/>
  <c r="B53" i="14698" a="1"/>
  <c r="B125" i="14698" a="1"/>
  <c r="B46" i="14698" a="1"/>
  <c r="G49" i="14683"/>
  <c r="G55" i="14683"/>
  <c r="G56" i="14683"/>
  <c r="G52" i="14683"/>
  <c r="Q101" i="14700"/>
  <c r="Q100" i="14700"/>
  <c r="Q102" i="14700"/>
  <c r="Q103" i="14700"/>
  <c r="V100" i="14700"/>
  <c r="V95" i="14700"/>
  <c r="V101" i="14700"/>
  <c r="V99" i="14700"/>
  <c r="V102" i="14700"/>
  <c r="V97" i="14700"/>
  <c r="V103" i="14700"/>
  <c r="V96" i="14700"/>
  <c r="V98" i="14700"/>
  <c r="G54" i="14683"/>
  <c r="W196" i="14700"/>
  <c r="T160" i="14700"/>
  <c r="B179" i="14698" a="1"/>
  <c r="B49" i="14698" a="1"/>
  <c r="Y104" i="14698"/>
  <c r="I49" i="14683" a="1"/>
  <c r="B197" i="14698" a="1"/>
  <c r="B50" i="14698" a="1"/>
  <c r="G51" i="14683"/>
  <c r="G53" i="14683"/>
  <c r="U196" i="14700"/>
  <c r="S142" i="14700"/>
  <c r="X160" i="14700"/>
  <c r="Y232" i="14700"/>
  <c r="X232" i="14700"/>
  <c r="X124" i="14700"/>
  <c r="V214" i="14700"/>
  <c r="Y124" i="14700"/>
  <c r="W142" i="14700"/>
  <c r="W178" i="14700"/>
  <c r="I66" i="14643"/>
  <c r="I71" i="14643"/>
  <c r="H74" i="14643"/>
  <c r="F20" i="14643" s="1"/>
  <c r="I72" i="14643"/>
  <c r="I69" i="14643"/>
  <c r="I67" i="14643"/>
  <c r="I70" i="14643"/>
  <c r="I68" i="14643"/>
  <c r="I73" i="14643"/>
  <c r="P104" i="14698"/>
  <c r="X104" i="14698"/>
  <c r="B47" i="14698" a="1"/>
  <c r="B143" i="14698" a="1"/>
  <c r="R232" i="14700"/>
  <c r="V178" i="14700"/>
  <c r="B4" i="14694" a="1"/>
  <c r="G4" i="14694" s="1"/>
  <c r="B215" i="14698" a="1"/>
  <c r="B51" i="14698" a="1"/>
  <c r="W99" i="14700"/>
  <c r="W102" i="14700"/>
  <c r="W103" i="14700"/>
  <c r="W95" i="14700"/>
  <c r="W94" i="14700"/>
  <c r="W98" i="14700"/>
  <c r="W101" i="14700"/>
  <c r="W97" i="14700"/>
  <c r="W100" i="14700"/>
  <c r="W96" i="14700"/>
  <c r="S178" i="14700"/>
  <c r="P178" i="14700"/>
  <c r="B24" i="14667"/>
  <c r="C13" i="14667" s="1"/>
  <c r="C37" i="14667"/>
  <c r="C46" i="14667" s="1"/>
  <c r="D46" i="14706"/>
  <c r="C17" i="14649"/>
  <c r="B25" i="14649" s="1"/>
  <c r="D16" i="11"/>
  <c r="C31" i="14706"/>
  <c r="B5" i="14706"/>
  <c r="X27" i="14655"/>
  <c r="F15" i="14667"/>
  <c r="D50" i="14667"/>
  <c r="F13" i="14706"/>
  <c r="D51" i="14706"/>
  <c r="D45" i="14667"/>
  <c r="O48" i="14648" l="1"/>
  <c r="O7" i="14676"/>
  <c r="O6" i="14641"/>
  <c r="C63" i="14648" a="1"/>
  <c r="P196" i="14701"/>
  <c r="J53" i="14645"/>
  <c r="J54" i="14645" s="1"/>
  <c r="C6" i="14676" a="1"/>
  <c r="E6" i="14676" s="1"/>
  <c r="N53" i="14629"/>
  <c r="G92" i="14643" a="1"/>
  <c r="G95" i="14643" s="1"/>
  <c r="M55" i="14629"/>
  <c r="F55" i="14629"/>
  <c r="G55" i="14629"/>
  <c r="L11" i="14706"/>
  <c r="D55" i="14629"/>
  <c r="N38" i="14669"/>
  <c r="F53" i="14645"/>
  <c r="F54" i="14645" s="1"/>
  <c r="E53" i="14645"/>
  <c r="E54" i="14645" s="1"/>
  <c r="K53" i="14645"/>
  <c r="K54" i="14645" s="1"/>
  <c r="D53" i="14645"/>
  <c r="D54" i="14645" s="1"/>
  <c r="B53" i="14645"/>
  <c r="L55" i="14629"/>
  <c r="C27" i="14679"/>
  <c r="C28" i="14679" s="1"/>
  <c r="N34" i="14669"/>
  <c r="H55" i="14629"/>
  <c r="R28" i="14679"/>
  <c r="N7" i="14670"/>
  <c r="H53" i="14645"/>
  <c r="H54" i="14645" s="1"/>
  <c r="G53" i="14645"/>
  <c r="G54" i="14645" s="1"/>
  <c r="L53" i="14645"/>
  <c r="L54" i="14645" s="1"/>
  <c r="L17" i="14667"/>
  <c r="C53" i="14645"/>
  <c r="C54" i="14645" s="1"/>
  <c r="M53" i="14645"/>
  <c r="E55" i="14629"/>
  <c r="I53" i="14645"/>
  <c r="I54" i="14645" s="1"/>
  <c r="J55" i="14629"/>
  <c r="C55" i="14629"/>
  <c r="D87" i="14643"/>
  <c r="I27" i="14679"/>
  <c r="I28" i="14679" s="1"/>
  <c r="B55" i="14629"/>
  <c r="B48" i="14710"/>
  <c r="N48" i="14710" s="1"/>
  <c r="B7" i="14671" a="1"/>
  <c r="N5" i="14671"/>
  <c r="M5" i="14617" s="1" a="1"/>
  <c r="B27" i="14679"/>
  <c r="N54" i="14629"/>
  <c r="N37" i="14669"/>
  <c r="I32" i="14707"/>
  <c r="J24" i="14707" s="1" a="1"/>
  <c r="M27" i="14679"/>
  <c r="M28" i="14679" s="1"/>
  <c r="G11" i="14657"/>
  <c r="F8" i="14710"/>
  <c r="I27" i="14683"/>
  <c r="J19" i="14683" s="1" a="1"/>
  <c r="C100" i="14643"/>
  <c r="G100" i="14643" s="1"/>
  <c r="H42" i="14674"/>
  <c r="J7" i="14617"/>
  <c r="N28" i="14679"/>
  <c r="K40" i="14669"/>
  <c r="I40" i="14669"/>
  <c r="F40" i="14669"/>
  <c r="B40" i="14669"/>
  <c r="D40" i="14669"/>
  <c r="G40" i="14669"/>
  <c r="L40" i="14669"/>
  <c r="M40" i="14669"/>
  <c r="J40" i="14669"/>
  <c r="E40" i="14669"/>
  <c r="H40" i="14669"/>
  <c r="C40" i="14669"/>
  <c r="N36" i="14669"/>
  <c r="L16" i="14667"/>
  <c r="F23" i="4128" s="1"/>
  <c r="L12" i="14706"/>
  <c r="G27" i="14679"/>
  <c r="G28" i="14679" s="1"/>
  <c r="O41" i="14674"/>
  <c r="O42" i="14674" s="1"/>
  <c r="E42" i="14674"/>
  <c r="L5" i="14617"/>
  <c r="F35" i="4128"/>
  <c r="Q28" i="14679"/>
  <c r="E27" i="14679"/>
  <c r="E28" i="14679" s="1"/>
  <c r="N35" i="14669"/>
  <c r="N32" i="14669"/>
  <c r="F5" i="14695"/>
  <c r="W22" i="14655"/>
  <c r="L14" i="14708"/>
  <c r="L20" i="14708" s="1"/>
  <c r="G5" i="14695"/>
  <c r="D27" i="14679"/>
  <c r="D28" i="14679" s="1"/>
  <c r="O19" i="14675"/>
  <c r="N15" i="14679"/>
  <c r="K42" i="14674"/>
  <c r="C41" i="14675" a="1"/>
  <c r="O39" i="14675"/>
  <c r="H24" i="14683"/>
  <c r="H22" i="14683"/>
  <c r="H19" i="14683"/>
  <c r="H21" i="14683"/>
  <c r="H23" i="14683"/>
  <c r="H27" i="14683"/>
  <c r="H26" i="14683"/>
  <c r="H20" i="14683"/>
  <c r="H25" i="14683"/>
  <c r="P214" i="14701"/>
  <c r="K55" i="14629"/>
  <c r="K27" i="14679"/>
  <c r="K28" i="14679" s="1"/>
  <c r="H27" i="14679"/>
  <c r="H28" i="14679" s="1"/>
  <c r="P28" i="14679"/>
  <c r="N39" i="14669"/>
  <c r="N42" i="14674"/>
  <c r="C44" i="14622" a="1"/>
  <c r="E44" i="14622" s="1"/>
  <c r="F27" i="14679"/>
  <c r="F28" i="14679" s="1"/>
  <c r="N33" i="14669"/>
  <c r="J27" i="14679"/>
  <c r="J28" i="14679" s="1"/>
  <c r="O28" i="14679"/>
  <c r="L27" i="14679"/>
  <c r="L28" i="14679" s="1"/>
  <c r="B51" i="14682"/>
  <c r="I55" i="14629"/>
  <c r="J60" i="14629"/>
  <c r="F60" i="14629"/>
  <c r="B60" i="14629"/>
  <c r="K60" i="14629"/>
  <c r="G60" i="14629"/>
  <c r="C60" i="14629"/>
  <c r="L60" i="14629"/>
  <c r="H60" i="14629"/>
  <c r="D60" i="14629"/>
  <c r="M60" i="14629"/>
  <c r="I60" i="14629"/>
  <c r="E60" i="14629"/>
  <c r="N52" i="14629"/>
  <c r="S232" i="14701"/>
  <c r="N46" i="14629"/>
  <c r="Q124" i="14701"/>
  <c r="P104" i="14702"/>
  <c r="R178" i="14701"/>
  <c r="Q214" i="14701"/>
  <c r="Q104" i="14702"/>
  <c r="P160" i="14701"/>
  <c r="D35" i="14623"/>
  <c r="F38" i="14623"/>
  <c r="H42" i="14623"/>
  <c r="R100" i="14701"/>
  <c r="T102" i="14701"/>
  <c r="Y99" i="14701"/>
  <c r="V99" i="14701"/>
  <c r="W101" i="14701"/>
  <c r="R103" i="14701"/>
  <c r="T103" i="14701"/>
  <c r="Y92" i="14701"/>
  <c r="S100" i="14701"/>
  <c r="V101" i="14701"/>
  <c r="D39" i="14623"/>
  <c r="J36" i="14623"/>
  <c r="F41" i="14623"/>
  <c r="P103" i="14701"/>
  <c r="R102" i="14701"/>
  <c r="T101" i="14701"/>
  <c r="Y97" i="14701"/>
  <c r="Q100" i="14701"/>
  <c r="S99" i="14701"/>
  <c r="V97" i="14701"/>
  <c r="V98" i="14701"/>
  <c r="E41" i="14623"/>
  <c r="M41" i="14623"/>
  <c r="E35" i="14623"/>
  <c r="F36" i="14623"/>
  <c r="L39" i="14623"/>
  <c r="C35" i="14623"/>
  <c r="B63" i="14704" a="1"/>
  <c r="D63" i="14704" s="1"/>
  <c r="S104" i="14702"/>
  <c r="W196" i="14701"/>
  <c r="V214" i="14701"/>
  <c r="Y104" i="14702"/>
  <c r="W160" i="14701"/>
  <c r="B59" i="14704" a="1"/>
  <c r="J59" i="14704" s="1"/>
  <c r="X232" i="14701"/>
  <c r="C5" i="14628" a="1"/>
  <c r="G5" i="14628" s="1"/>
  <c r="G9" i="14628" s="1"/>
  <c r="U160" i="14701"/>
  <c r="P102" i="14701"/>
  <c r="R99" i="14701"/>
  <c r="T99" i="14701"/>
  <c r="T100" i="14701"/>
  <c r="T97" i="14701"/>
  <c r="Y102" i="14701"/>
  <c r="Y96" i="14701"/>
  <c r="Y103" i="14701"/>
  <c r="Q101" i="14701"/>
  <c r="S101" i="14701"/>
  <c r="V100" i="14701"/>
  <c r="V96" i="14701"/>
  <c r="V95" i="14701"/>
  <c r="V103" i="14701"/>
  <c r="E54" i="14704"/>
  <c r="B179" i="14702" a="1"/>
  <c r="I179" i="14702" s="1"/>
  <c r="S214" i="14701"/>
  <c r="T142" i="14701"/>
  <c r="V196" i="14701"/>
  <c r="P232" i="14701"/>
  <c r="P142" i="14701"/>
  <c r="Q250" i="14701"/>
  <c r="R214" i="14701"/>
  <c r="U214" i="14701"/>
  <c r="T178" i="14701"/>
  <c r="W178" i="14701"/>
  <c r="L54" i="14704"/>
  <c r="P124" i="14701"/>
  <c r="T160" i="14701"/>
  <c r="Q196" i="14701"/>
  <c r="P250" i="14701"/>
  <c r="R142" i="14701"/>
  <c r="P178" i="14701"/>
  <c r="R160" i="14701"/>
  <c r="S250" i="14701"/>
  <c r="T250" i="14701"/>
  <c r="D41" i="14623"/>
  <c r="F40" i="14623"/>
  <c r="H37" i="14623"/>
  <c r="D37" i="14623"/>
  <c r="L38" i="14623"/>
  <c r="K38" i="14623"/>
  <c r="I39" i="14623"/>
  <c r="D36" i="14623"/>
  <c r="J38" i="14623"/>
  <c r="I37" i="14623"/>
  <c r="G41" i="14623"/>
  <c r="B42" i="14623"/>
  <c r="W250" i="14701"/>
  <c r="I54" i="14704"/>
  <c r="B64" i="14704" a="1"/>
  <c r="B64" i="14704" s="1"/>
  <c r="R196" i="14701"/>
  <c r="N67" i="14703"/>
  <c r="K41" i="14623"/>
  <c r="D42" i="14623"/>
  <c r="B40" i="14623"/>
  <c r="G40" i="14623"/>
  <c r="E39" i="14623"/>
  <c r="M35" i="14623"/>
  <c r="M42" i="14623"/>
  <c r="I42" i="14623"/>
  <c r="E37" i="14623"/>
  <c r="K37" i="14623"/>
  <c r="C40" i="14623"/>
  <c r="K36" i="14623"/>
  <c r="C38" i="14623"/>
  <c r="E38" i="14623"/>
  <c r="L36" i="14623"/>
  <c r="L41" i="14623"/>
  <c r="J37" i="14623"/>
  <c r="M36" i="14623"/>
  <c r="E36" i="14623"/>
  <c r="E40" i="14623"/>
  <c r="B41" i="14623"/>
  <c r="I36" i="14623"/>
  <c r="H38" i="14623"/>
  <c r="H39" i="14623"/>
  <c r="X98" i="14701"/>
  <c r="C36" i="14623"/>
  <c r="G38" i="14623"/>
  <c r="M37" i="14623"/>
  <c r="L35" i="14623"/>
  <c r="J42" i="14623"/>
  <c r="J40" i="14623"/>
  <c r="J41" i="14623"/>
  <c r="M38" i="14623"/>
  <c r="J39" i="14623"/>
  <c r="C41" i="14623"/>
  <c r="L37" i="14623"/>
  <c r="J35" i="14623"/>
  <c r="I41" i="14623"/>
  <c r="D38" i="14623"/>
  <c r="L40" i="14623"/>
  <c r="I38" i="14623"/>
  <c r="L42" i="14623"/>
  <c r="K35" i="14623"/>
  <c r="B35" i="14623"/>
  <c r="G37" i="14623"/>
  <c r="K42" i="14623"/>
  <c r="K40" i="14623"/>
  <c r="E42" i="14623"/>
  <c r="G42" i="14623"/>
  <c r="F35" i="14623"/>
  <c r="H36" i="14623"/>
  <c r="H41" i="14623"/>
  <c r="K39" i="14623"/>
  <c r="M39" i="14623"/>
  <c r="C42" i="14623"/>
  <c r="G35" i="14623"/>
  <c r="F42" i="14623"/>
  <c r="B39" i="14623"/>
  <c r="F37" i="14623"/>
  <c r="F39" i="14623"/>
  <c r="B36" i="14623"/>
  <c r="C39" i="14623"/>
  <c r="D40" i="14623"/>
  <c r="G39" i="14623"/>
  <c r="H35" i="14623"/>
  <c r="G36" i="14623"/>
  <c r="I40" i="14623"/>
  <c r="B38" i="14623"/>
  <c r="C37" i="14623"/>
  <c r="B37" i="14623"/>
  <c r="M40" i="14623"/>
  <c r="I35" i="14623"/>
  <c r="X103" i="14701"/>
  <c r="X97" i="14701"/>
  <c r="F93" i="14643"/>
  <c r="D54" i="14704"/>
  <c r="T214" i="14701"/>
  <c r="N49" i="14704"/>
  <c r="B54" i="14704"/>
  <c r="B143" i="14702" a="1"/>
  <c r="M143" i="14702" s="1"/>
  <c r="Y232" i="14701"/>
  <c r="M54" i="14704"/>
  <c r="R104" i="14702"/>
  <c r="Q142" i="14701"/>
  <c r="V178" i="14701"/>
  <c r="V160" i="14701"/>
  <c r="W142" i="14701"/>
  <c r="W104" i="14702"/>
  <c r="X160" i="14701"/>
  <c r="Y250" i="14701"/>
  <c r="T196" i="14701"/>
  <c r="X95" i="14701"/>
  <c r="X101" i="14701"/>
  <c r="X96" i="14701"/>
  <c r="F95" i="14643"/>
  <c r="N50" i="14704"/>
  <c r="Y196" i="14701"/>
  <c r="B62" i="14704" a="1"/>
  <c r="C62" i="14704" s="1"/>
  <c r="R250" i="14701"/>
  <c r="X142" i="14701"/>
  <c r="Q160" i="14701"/>
  <c r="R232" i="14701"/>
  <c r="Q178" i="14701"/>
  <c r="B47" i="14702" a="1"/>
  <c r="S196" i="14701"/>
  <c r="X250" i="14701"/>
  <c r="Y214" i="14701"/>
  <c r="T232" i="14701"/>
  <c r="B125" i="14702" a="1"/>
  <c r="L125" i="14702" s="1"/>
  <c r="F54" i="14704"/>
  <c r="K54" i="14704"/>
  <c r="U232" i="14701"/>
  <c r="S160" i="14701"/>
  <c r="N51" i="14704"/>
  <c r="V142" i="14701"/>
  <c r="Y178" i="14701"/>
  <c r="B68" i="14704"/>
  <c r="S142" i="14701"/>
  <c r="B61" i="14704" a="1"/>
  <c r="G61" i="14704" s="1"/>
  <c r="N46" i="14704"/>
  <c r="J54" i="14704"/>
  <c r="N53" i="14704"/>
  <c r="V232" i="14701"/>
  <c r="S178" i="14701"/>
  <c r="U142" i="14701"/>
  <c r="B215" i="14702" a="1"/>
  <c r="Q215" i="14702" s="1"/>
  <c r="Y142" i="14701"/>
  <c r="U196" i="14701"/>
  <c r="U124" i="14701"/>
  <c r="N47" i="14704"/>
  <c r="B65" i="14704" a="1"/>
  <c r="G65" i="14704" s="1"/>
  <c r="S124" i="14701"/>
  <c r="W214" i="14701"/>
  <c r="X178" i="14701"/>
  <c r="U99" i="14701"/>
  <c r="W103" i="14701"/>
  <c r="X94" i="14701"/>
  <c r="X99" i="14701"/>
  <c r="X102" i="14701"/>
  <c r="X93" i="14701"/>
  <c r="F92" i="14643"/>
  <c r="F96" i="14643"/>
  <c r="B51" i="14702" a="1"/>
  <c r="C51" i="14702" s="1"/>
  <c r="G54" i="14704"/>
  <c r="H54" i="14704"/>
  <c r="B46" i="14702" a="1"/>
  <c r="H46" i="14702" s="1"/>
  <c r="Y124" i="14701"/>
  <c r="B50" i="14702" a="1"/>
  <c r="K50" i="14702" s="1"/>
  <c r="B233" i="14702" a="1"/>
  <c r="W233" i="14702" s="1"/>
  <c r="B53" i="14702" a="1"/>
  <c r="M53" i="14702" s="1"/>
  <c r="T104" i="14702"/>
  <c r="W232" i="14701"/>
  <c r="V124" i="14701"/>
  <c r="N52" i="14704"/>
  <c r="U98" i="14701"/>
  <c r="W94" i="14701"/>
  <c r="F99" i="14643"/>
  <c r="F97" i="14643"/>
  <c r="F98" i="14643"/>
  <c r="B251" i="14702" a="1"/>
  <c r="G251" i="14702" s="1"/>
  <c r="V104" i="14702"/>
  <c r="X196" i="14701"/>
  <c r="B197" i="14702" a="1"/>
  <c r="G197" i="14702" s="1"/>
  <c r="N48" i="14704"/>
  <c r="U104" i="14702"/>
  <c r="X104" i="14702"/>
  <c r="X214" i="14701"/>
  <c r="W124" i="14701"/>
  <c r="B60" i="14704" a="1"/>
  <c r="H60" i="14704" s="1"/>
  <c r="B66" i="14704" a="1"/>
  <c r="C66" i="14704" s="1"/>
  <c r="U178" i="14701"/>
  <c r="B161" i="14702" a="1"/>
  <c r="C161" i="14702" s="1"/>
  <c r="Y160" i="14701"/>
  <c r="Q232" i="14701"/>
  <c r="R124" i="14701"/>
  <c r="C54" i="14704"/>
  <c r="U100" i="14701"/>
  <c r="U96" i="14701"/>
  <c r="W97" i="14701"/>
  <c r="W96" i="14701"/>
  <c r="B52" i="14702" a="1"/>
  <c r="J52" i="14702" s="1"/>
  <c r="B48" i="14702" a="1"/>
  <c r="F48" i="14702" s="1"/>
  <c r="B49" i="14702" a="1"/>
  <c r="I49" i="14702" s="1"/>
  <c r="V250" i="14701"/>
  <c r="U97" i="14701"/>
  <c r="U101" i="14701"/>
  <c r="U102" i="14701"/>
  <c r="W95" i="14701"/>
  <c r="W102" i="14701"/>
  <c r="W100" i="14701"/>
  <c r="W98" i="14701"/>
  <c r="Y98" i="14701"/>
  <c r="Y100" i="14701"/>
  <c r="Y93" i="14701"/>
  <c r="Y94" i="14701"/>
  <c r="Y95" i="14701"/>
  <c r="U250" i="14701"/>
  <c r="T124" i="14701"/>
  <c r="X124" i="14701"/>
  <c r="B106" i="14702"/>
  <c r="Q103" i="14701"/>
  <c r="S102" i="14701"/>
  <c r="S103" i="14701"/>
  <c r="N19" i="14638" a="1"/>
  <c r="B164" i="14701" a="1"/>
  <c r="B218" i="14701" a="1"/>
  <c r="B110" i="14701" a="1"/>
  <c r="B182" i="14701" a="1"/>
  <c r="B90" i="14701" a="1"/>
  <c r="B146" i="14701" a="1"/>
  <c r="B128" i="14701" a="1"/>
  <c r="B236" i="14701" a="1"/>
  <c r="B200" i="14701" a="1"/>
  <c r="B61" i="14645" a="1"/>
  <c r="N19" i="14623" a="1"/>
  <c r="B91" i="14645" a="1"/>
  <c r="B218" i="14704" a="1"/>
  <c r="B164" i="14704" a="1"/>
  <c r="B128" i="14704" a="1"/>
  <c r="B236" i="14704" a="1"/>
  <c r="B146" i="14704" a="1"/>
  <c r="B182" i="14704" a="1"/>
  <c r="B200" i="14704" a="1"/>
  <c r="B90" i="14704" a="1"/>
  <c r="B110" i="14704" a="1"/>
  <c r="B47" i="14679" a="1"/>
  <c r="N19" i="14678" a="1"/>
  <c r="D17" i="14706"/>
  <c r="D9" i="14667"/>
  <c r="B19" i="14622" a="1"/>
  <c r="B19" i="14622" s="1"/>
  <c r="D7" i="14622" s="1"/>
  <c r="C16" i="14626"/>
  <c r="C9" i="14626" s="1"/>
  <c r="C9" i="11"/>
  <c r="G12" i="14693"/>
  <c r="H19" i="14622" a="1"/>
  <c r="H19" i="14622" s="1"/>
  <c r="B71" i="14645" a="1"/>
  <c r="B101" i="14645" a="1"/>
  <c r="C44" i="14622"/>
  <c r="F44" i="14622"/>
  <c r="N19" i="14632" a="1"/>
  <c r="B110" i="14698" a="1"/>
  <c r="B200" i="14698" a="1"/>
  <c r="B90" i="14698" a="1"/>
  <c r="B164" i="14698" a="1"/>
  <c r="B236" i="14698" a="1"/>
  <c r="B128" i="14698" a="1"/>
  <c r="B182" i="14698" a="1"/>
  <c r="B218" i="14698" a="1"/>
  <c r="B146" i="14698" a="1"/>
  <c r="B236" i="14702" a="1"/>
  <c r="B128" i="14702" a="1"/>
  <c r="B146" i="14702" a="1"/>
  <c r="B110" i="14702" a="1"/>
  <c r="B200" i="14702" a="1"/>
  <c r="B164" i="14702" a="1"/>
  <c r="B182" i="14702" a="1"/>
  <c r="B218" i="14702" a="1"/>
  <c r="B90" i="14702" a="1"/>
  <c r="B81" i="14645" a="1"/>
  <c r="B110" i="14703" a="1"/>
  <c r="B128" i="14703" a="1"/>
  <c r="B236" i="14703" a="1"/>
  <c r="B218" i="14703" a="1"/>
  <c r="B164" i="14703" a="1"/>
  <c r="B146" i="14703" a="1"/>
  <c r="B90" i="14703" a="1"/>
  <c r="B182" i="14703" a="1"/>
  <c r="B200" i="14703" a="1"/>
  <c r="B110" i="14700" a="1"/>
  <c r="B236" i="14700" a="1"/>
  <c r="B182" i="14700" a="1"/>
  <c r="B218" i="14700" a="1"/>
  <c r="B90" i="14700" a="1"/>
  <c r="B200" i="14700" a="1"/>
  <c r="B164" i="14700" a="1"/>
  <c r="B128" i="14700" a="1"/>
  <c r="B146" i="14700" a="1"/>
  <c r="N35" i="14629"/>
  <c r="N48" i="14629"/>
  <c r="N43" i="14629"/>
  <c r="N41" i="14629"/>
  <c r="N40" i="14629"/>
  <c r="N39" i="14629"/>
  <c r="N49" i="14629"/>
  <c r="N36" i="14629"/>
  <c r="N50" i="14629"/>
  <c r="N44" i="14629"/>
  <c r="N47" i="14629"/>
  <c r="N34" i="14629"/>
  <c r="N42" i="14629"/>
  <c r="N51" i="14629"/>
  <c r="N45" i="14629"/>
  <c r="N37" i="14629"/>
  <c r="N33" i="14629"/>
  <c r="N38" i="14629"/>
  <c r="J39" i="14683"/>
  <c r="H69" i="14643"/>
  <c r="J37" i="14683"/>
  <c r="H73" i="14643"/>
  <c r="J34" i="14683"/>
  <c r="J36" i="14683"/>
  <c r="J35" i="14683"/>
  <c r="H67" i="14643"/>
  <c r="H71" i="14643"/>
  <c r="J42" i="14683"/>
  <c r="J38" i="14683"/>
  <c r="J41" i="14683"/>
  <c r="B125" i="14700" a="1"/>
  <c r="S125" i="14700" s="1"/>
  <c r="B50" i="14700" a="1"/>
  <c r="B50" i="14700" s="1"/>
  <c r="B197" i="14700" a="1"/>
  <c r="E197" i="14700" s="1"/>
  <c r="H70" i="14643"/>
  <c r="H66" i="14643"/>
  <c r="H72" i="14643"/>
  <c r="B51" i="14700" a="1"/>
  <c r="K51" i="14700" s="1"/>
  <c r="B179" i="14700" a="1"/>
  <c r="B49" i="14700" a="1"/>
  <c r="E215" i="14698"/>
  <c r="G215" i="14698"/>
  <c r="U215" i="14698"/>
  <c r="I215" i="14698"/>
  <c r="M215" i="14698"/>
  <c r="V215" i="14698"/>
  <c r="S215" i="14698"/>
  <c r="X215" i="14698"/>
  <c r="Y215" i="14698"/>
  <c r="Q215" i="14698"/>
  <c r="B215" i="14698"/>
  <c r="L215" i="14698"/>
  <c r="T215" i="14698"/>
  <c r="C215" i="14698"/>
  <c r="R215" i="14698"/>
  <c r="D215" i="14698"/>
  <c r="H215" i="14698"/>
  <c r="W215" i="14698"/>
  <c r="N215" i="14698"/>
  <c r="F215" i="14698"/>
  <c r="P215" i="14698"/>
  <c r="K215" i="14698"/>
  <c r="O215" i="14698"/>
  <c r="J215" i="14698"/>
  <c r="E4" i="14694"/>
  <c r="C143" i="14698"/>
  <c r="R143" i="14698"/>
  <c r="O143" i="14698"/>
  <c r="J143" i="14698"/>
  <c r="B143" i="14698"/>
  <c r="G143" i="14698"/>
  <c r="V143" i="14698"/>
  <c r="M143" i="14698"/>
  <c r="Y143" i="14698"/>
  <c r="S143" i="14698"/>
  <c r="D143" i="14698"/>
  <c r="T143" i="14698"/>
  <c r="N143" i="14698"/>
  <c r="K143" i="14698"/>
  <c r="Q143" i="14698"/>
  <c r="U143" i="14698"/>
  <c r="X143" i="14698"/>
  <c r="E143" i="14698"/>
  <c r="F143" i="14698"/>
  <c r="P143" i="14698"/>
  <c r="L143" i="14698"/>
  <c r="W143" i="14698"/>
  <c r="H143" i="14698"/>
  <c r="I143" i="14698"/>
  <c r="I74" i="14643"/>
  <c r="W197" i="14698"/>
  <c r="I197" i="14698"/>
  <c r="N197" i="14698"/>
  <c r="B197" i="14698"/>
  <c r="Y197" i="14698"/>
  <c r="E197" i="14698"/>
  <c r="J197" i="14698"/>
  <c r="V197" i="14698"/>
  <c r="M197" i="14698"/>
  <c r="L197" i="14698"/>
  <c r="O197" i="14698"/>
  <c r="T197" i="14698"/>
  <c r="Q197" i="14698"/>
  <c r="X197" i="14698"/>
  <c r="G197" i="14698"/>
  <c r="K197" i="14698"/>
  <c r="H197" i="14698"/>
  <c r="C197" i="14698"/>
  <c r="S197" i="14698"/>
  <c r="R197" i="14698"/>
  <c r="D197" i="14698"/>
  <c r="F197" i="14698"/>
  <c r="P197" i="14698"/>
  <c r="U197" i="14698"/>
  <c r="B49" i="14698"/>
  <c r="E49" i="14698"/>
  <c r="K49" i="14698"/>
  <c r="C49" i="14698"/>
  <c r="H49" i="14698"/>
  <c r="J49" i="14698"/>
  <c r="M49" i="14698"/>
  <c r="G49" i="14698"/>
  <c r="L49" i="14698"/>
  <c r="F49" i="14698"/>
  <c r="I49" i="14698"/>
  <c r="D49" i="14698"/>
  <c r="F46" i="14698"/>
  <c r="K46" i="14698"/>
  <c r="L46" i="14698"/>
  <c r="E46" i="14698"/>
  <c r="G46" i="14698"/>
  <c r="H46" i="14698"/>
  <c r="M46" i="14698"/>
  <c r="B46" i="14698"/>
  <c r="J46" i="14698"/>
  <c r="C46" i="14698"/>
  <c r="D46" i="14698"/>
  <c r="I46" i="14698"/>
  <c r="C53" i="14698"/>
  <c r="B53" i="14698"/>
  <c r="M53" i="14698"/>
  <c r="E53" i="14698"/>
  <c r="J53" i="14698"/>
  <c r="G53" i="14698"/>
  <c r="I53" i="14698"/>
  <c r="H53" i="14698"/>
  <c r="F53" i="14698"/>
  <c r="K53" i="14698"/>
  <c r="D53" i="14698"/>
  <c r="L53" i="14698"/>
  <c r="H79" i="14643" a="1"/>
  <c r="B46" i="14700" a="1"/>
  <c r="X104" i="14700"/>
  <c r="P104" i="14700"/>
  <c r="R104" i="14700"/>
  <c r="U104" i="14700"/>
  <c r="Y104" i="14700"/>
  <c r="G48" i="14698"/>
  <c r="E48" i="14698"/>
  <c r="H48" i="14698"/>
  <c r="M48" i="14698"/>
  <c r="J48" i="14698"/>
  <c r="I48" i="14698"/>
  <c r="L48" i="14698"/>
  <c r="C48" i="14698"/>
  <c r="K48" i="14698"/>
  <c r="B48" i="14698"/>
  <c r="F48" i="14698"/>
  <c r="D48" i="14698"/>
  <c r="B5" i="14695"/>
  <c r="C5" i="14695"/>
  <c r="D5" i="14695"/>
  <c r="B4" i="14692"/>
  <c r="C4" i="14692"/>
  <c r="D4" i="14692"/>
  <c r="F4" i="14692"/>
  <c r="B52" i="14698"/>
  <c r="M52" i="14698"/>
  <c r="C52" i="14698"/>
  <c r="L52" i="14698"/>
  <c r="E52" i="14698"/>
  <c r="D52" i="14698"/>
  <c r="I52" i="14698"/>
  <c r="F52" i="14698"/>
  <c r="H52" i="14698"/>
  <c r="J52" i="14698"/>
  <c r="G52" i="14698"/>
  <c r="K52" i="14698"/>
  <c r="F87" i="14643"/>
  <c r="O6" i="14628"/>
  <c r="W104" i="14700"/>
  <c r="I51" i="14698"/>
  <c r="D51" i="14698"/>
  <c r="B51" i="14698"/>
  <c r="C51" i="14698"/>
  <c r="F51" i="14698"/>
  <c r="E51" i="14698"/>
  <c r="J51" i="14698"/>
  <c r="G51" i="14698"/>
  <c r="K51" i="14698"/>
  <c r="H51" i="14698"/>
  <c r="M51" i="14698"/>
  <c r="L51" i="14698"/>
  <c r="B4" i="14694"/>
  <c r="C4" i="14694"/>
  <c r="D4" i="14694"/>
  <c r="H4" i="14694"/>
  <c r="H47" i="14698"/>
  <c r="I47" i="14698"/>
  <c r="E47" i="14698"/>
  <c r="B47" i="14698"/>
  <c r="G47" i="14698"/>
  <c r="L47" i="14698"/>
  <c r="F47" i="14698"/>
  <c r="C47" i="14698"/>
  <c r="K47" i="14698"/>
  <c r="M47" i="14698"/>
  <c r="D47" i="14698"/>
  <c r="J47" i="14698"/>
  <c r="L50" i="14698"/>
  <c r="I50" i="14698"/>
  <c r="H50" i="14698"/>
  <c r="B50" i="14698"/>
  <c r="M50" i="14698"/>
  <c r="F50" i="14698"/>
  <c r="G50" i="14698"/>
  <c r="D50" i="14698"/>
  <c r="K50" i="14698"/>
  <c r="C50" i="14698"/>
  <c r="E50" i="14698"/>
  <c r="J50" i="14698"/>
  <c r="I49" i="14683"/>
  <c r="I56" i="14683"/>
  <c r="I55" i="14683"/>
  <c r="I51" i="14683"/>
  <c r="I50" i="14683"/>
  <c r="I53" i="14683"/>
  <c r="I52" i="14683"/>
  <c r="Q179" i="14698"/>
  <c r="H179" i="14698"/>
  <c r="V179" i="14698"/>
  <c r="R179" i="14698"/>
  <c r="T179" i="14698"/>
  <c r="C179" i="14698"/>
  <c r="O179" i="14698"/>
  <c r="X179" i="14698"/>
  <c r="F179" i="14698"/>
  <c r="D179" i="14698"/>
  <c r="E179" i="14698"/>
  <c r="B179" i="14698"/>
  <c r="U179" i="14698"/>
  <c r="J179" i="14698"/>
  <c r="N179" i="14698"/>
  <c r="W179" i="14698"/>
  <c r="L179" i="14698"/>
  <c r="G179" i="14698"/>
  <c r="I179" i="14698"/>
  <c r="K179" i="14698"/>
  <c r="S179" i="14698"/>
  <c r="Y179" i="14698"/>
  <c r="M179" i="14698"/>
  <c r="P179" i="14698"/>
  <c r="G57" i="14683"/>
  <c r="V104" i="14700"/>
  <c r="Q104" i="14700"/>
  <c r="X125" i="14698"/>
  <c r="Q125" i="14698"/>
  <c r="I125" i="14698"/>
  <c r="H125" i="14698"/>
  <c r="U125" i="14698"/>
  <c r="T125" i="14698"/>
  <c r="Y125" i="14698"/>
  <c r="G125" i="14698"/>
  <c r="O125" i="14698"/>
  <c r="N125" i="14698"/>
  <c r="S125" i="14698"/>
  <c r="R125" i="14698"/>
  <c r="M125" i="14698"/>
  <c r="W125" i="14698"/>
  <c r="P125" i="14698"/>
  <c r="F125" i="14698"/>
  <c r="J125" i="14698"/>
  <c r="L125" i="14698"/>
  <c r="B125" i="14698"/>
  <c r="E125" i="14698"/>
  <c r="V125" i="14698"/>
  <c r="C125" i="14698"/>
  <c r="K125" i="14698"/>
  <c r="D125" i="14698"/>
  <c r="K251" i="14698"/>
  <c r="G251" i="14698"/>
  <c r="R251" i="14698"/>
  <c r="U251" i="14698"/>
  <c r="P251" i="14698"/>
  <c r="C251" i="14698"/>
  <c r="W251" i="14698"/>
  <c r="H251" i="14698"/>
  <c r="E251" i="14698"/>
  <c r="D251" i="14698"/>
  <c r="J251" i="14698"/>
  <c r="Y251" i="14698"/>
  <c r="N251" i="14698"/>
  <c r="Q251" i="14698"/>
  <c r="I251" i="14698"/>
  <c r="S251" i="14698"/>
  <c r="X251" i="14698"/>
  <c r="V251" i="14698"/>
  <c r="F251" i="14698"/>
  <c r="L251" i="14698"/>
  <c r="T251" i="14698"/>
  <c r="O251" i="14698"/>
  <c r="M251" i="14698"/>
  <c r="B251" i="14698"/>
  <c r="S104" i="14700"/>
  <c r="T104" i="14700"/>
  <c r="F4" i="14694"/>
  <c r="B161" i="14700" a="1"/>
  <c r="B48" i="14700" a="1"/>
  <c r="B47" i="14700" a="1"/>
  <c r="B143" i="14700" a="1"/>
  <c r="B52" i="14700" a="1"/>
  <c r="B233" i="14700" a="1"/>
  <c r="B251" i="14700" a="1"/>
  <c r="B53" i="14700" a="1"/>
  <c r="G161" i="14698"/>
  <c r="B161" i="14698"/>
  <c r="O161" i="14698"/>
  <c r="L161" i="14698"/>
  <c r="V161" i="14698"/>
  <c r="R161" i="14698"/>
  <c r="W161" i="14698"/>
  <c r="Y161" i="14698"/>
  <c r="Q161" i="14698"/>
  <c r="X161" i="14698"/>
  <c r="T161" i="14698"/>
  <c r="P161" i="14698"/>
  <c r="F161" i="14698"/>
  <c r="J161" i="14698"/>
  <c r="C161" i="14698"/>
  <c r="E161" i="14698"/>
  <c r="I161" i="14698"/>
  <c r="U161" i="14698"/>
  <c r="M161" i="14698"/>
  <c r="N161" i="14698"/>
  <c r="S161" i="14698"/>
  <c r="H161" i="14698"/>
  <c r="K161" i="14698"/>
  <c r="D161" i="14698"/>
  <c r="B215" i="14700" a="1"/>
  <c r="F49" i="14683"/>
  <c r="F55" i="14683"/>
  <c r="F56" i="14683"/>
  <c r="F57" i="14683"/>
  <c r="F54" i="14683"/>
  <c r="F52" i="14683"/>
  <c r="F50" i="14683"/>
  <c r="F53" i="14683"/>
  <c r="F51" i="14683"/>
  <c r="H49" i="14683" a="1"/>
  <c r="B233" i="14698"/>
  <c r="L233" i="14698"/>
  <c r="C233" i="14698"/>
  <c r="M233" i="14698"/>
  <c r="V233" i="14698"/>
  <c r="R233" i="14698"/>
  <c r="S233" i="14698"/>
  <c r="I233" i="14698"/>
  <c r="W233" i="14698"/>
  <c r="F233" i="14698"/>
  <c r="Y233" i="14698"/>
  <c r="E233" i="14698"/>
  <c r="U233" i="14698"/>
  <c r="K233" i="14698"/>
  <c r="T233" i="14698"/>
  <c r="G233" i="14698"/>
  <c r="O233" i="14698"/>
  <c r="N233" i="14698"/>
  <c r="D233" i="14698"/>
  <c r="X233" i="14698"/>
  <c r="P233" i="14698"/>
  <c r="H233" i="14698"/>
  <c r="Q233" i="14698"/>
  <c r="J233" i="14698"/>
  <c r="I85" i="14643"/>
  <c r="H87" i="14643"/>
  <c r="G20" i="14643" s="1"/>
  <c r="I80" i="14643"/>
  <c r="I83" i="14643"/>
  <c r="I86" i="14643"/>
  <c r="I84" i="14643"/>
  <c r="I79" i="14643"/>
  <c r="I82" i="14643"/>
  <c r="I81" i="14643"/>
  <c r="I54" i="14683"/>
  <c r="M7" i="14677"/>
  <c r="J7" i="14677"/>
  <c r="L7" i="14677"/>
  <c r="F7" i="14677"/>
  <c r="C7" i="14677"/>
  <c r="H7" i="14677"/>
  <c r="K7" i="14677"/>
  <c r="I7" i="14677"/>
  <c r="G7" i="14677"/>
  <c r="N7" i="14677"/>
  <c r="E7" i="14677"/>
  <c r="D7" i="14677"/>
  <c r="C22" i="14667"/>
  <c r="B53" i="14667"/>
  <c r="C17" i="14667"/>
  <c r="C18" i="14667"/>
  <c r="C6" i="14667"/>
  <c r="C7" i="14667"/>
  <c r="C8" i="14667"/>
  <c r="C16" i="14667"/>
  <c r="C11" i="14667"/>
  <c r="C19" i="14667"/>
  <c r="C10" i="14667"/>
  <c r="C20" i="14667"/>
  <c r="C9" i="14667"/>
  <c r="C14" i="14667"/>
  <c r="C48" i="14667"/>
  <c r="C21" i="14667"/>
  <c r="C5" i="14667"/>
  <c r="C24" i="14667" s="1"/>
  <c r="C15" i="14667"/>
  <c r="H13" i="14706"/>
  <c r="C16" i="4128"/>
  <c r="H15" i="14667"/>
  <c r="B24" i="14706"/>
  <c r="C5" i="14706" s="1"/>
  <c r="C30" i="14706"/>
  <c r="H63" i="14648" l="1"/>
  <c r="I63" i="14648"/>
  <c r="F6" i="14676"/>
  <c r="N63" i="14648"/>
  <c r="F63" i="14648"/>
  <c r="J63" i="14648"/>
  <c r="D63" i="14648"/>
  <c r="E63" i="14648"/>
  <c r="L63" i="14648"/>
  <c r="C63" i="14648"/>
  <c r="M63" i="14648"/>
  <c r="K63" i="14648"/>
  <c r="G63" i="14648"/>
  <c r="W28" i="14655"/>
  <c r="B33" i="14636" a="1"/>
  <c r="N6" i="14676"/>
  <c r="I6" i="14676"/>
  <c r="G6" i="14676"/>
  <c r="D6" i="14676"/>
  <c r="H6" i="14676"/>
  <c r="L6" i="14676"/>
  <c r="J6" i="14676"/>
  <c r="C6" i="14676"/>
  <c r="M6" i="14676"/>
  <c r="K6" i="14676"/>
  <c r="G99" i="14643"/>
  <c r="I99" i="14643" s="1"/>
  <c r="G94" i="14643"/>
  <c r="I94" i="14643" s="1"/>
  <c r="G97" i="14643"/>
  <c r="I97" i="14643" s="1"/>
  <c r="G96" i="14643"/>
  <c r="G93" i="14643"/>
  <c r="I93" i="14643" s="1"/>
  <c r="G98" i="14643"/>
  <c r="I98" i="14643" s="1"/>
  <c r="G92" i="14643"/>
  <c r="I92" i="14643" s="1"/>
  <c r="N53" i="14645"/>
  <c r="B54" i="14645"/>
  <c r="J20" i="14683"/>
  <c r="J27" i="14683"/>
  <c r="J24" i="14683"/>
  <c r="J19" i="14683"/>
  <c r="J22" i="14683"/>
  <c r="J26" i="14683"/>
  <c r="J23" i="14683"/>
  <c r="J21" i="14683"/>
  <c r="J25" i="14683"/>
  <c r="C11" i="14674" a="1"/>
  <c r="N7" i="14708"/>
  <c r="N8" i="14708"/>
  <c r="X24" i="14655" s="1"/>
  <c r="N40" i="14669"/>
  <c r="J28" i="14707"/>
  <c r="J30" i="14707"/>
  <c r="J26" i="14707"/>
  <c r="J25" i="14707"/>
  <c r="J24" i="14707"/>
  <c r="J32" i="14707"/>
  <c r="J29" i="14707"/>
  <c r="J31" i="14707"/>
  <c r="J27" i="14707"/>
  <c r="D44" i="14622"/>
  <c r="D46" i="14622" s="1"/>
  <c r="S30" i="14679"/>
  <c r="S31" i="14679"/>
  <c r="B28" i="14679"/>
  <c r="L22" i="14708"/>
  <c r="K5" i="14617" a="1"/>
  <c r="M6" i="14617"/>
  <c r="M5" i="14617"/>
  <c r="Q104" i="14701"/>
  <c r="K7" i="14671"/>
  <c r="G7" i="14671"/>
  <c r="D7" i="14671"/>
  <c r="B7" i="14671"/>
  <c r="C7" i="14671"/>
  <c r="M7" i="14671"/>
  <c r="L7" i="14671"/>
  <c r="H7" i="14671"/>
  <c r="I7" i="14671"/>
  <c r="J7" i="14671"/>
  <c r="E7" i="14671"/>
  <c r="F7" i="14671"/>
  <c r="N41" i="14675"/>
  <c r="F41" i="14675"/>
  <c r="H41" i="14675"/>
  <c r="G41" i="14675"/>
  <c r="E41" i="14675"/>
  <c r="C41" i="14675"/>
  <c r="M41" i="14675"/>
  <c r="I41" i="14675"/>
  <c r="K41" i="14675"/>
  <c r="D41" i="14675"/>
  <c r="L41" i="14675"/>
  <c r="J41" i="14675"/>
  <c r="D99" i="14643"/>
  <c r="D97" i="14643"/>
  <c r="D94" i="14643"/>
  <c r="D96" i="14643"/>
  <c r="H14" i="14643"/>
  <c r="E15" i="14643" s="1" a="1"/>
  <c r="D95" i="14643"/>
  <c r="D92" i="14643"/>
  <c r="D93" i="14643"/>
  <c r="D98" i="14643"/>
  <c r="C29" i="14682" a="1"/>
  <c r="C39" i="14682" s="1"/>
  <c r="N55" i="14629"/>
  <c r="C49" i="14682"/>
  <c r="H52" i="14702"/>
  <c r="L59" i="14704"/>
  <c r="V179" i="14702"/>
  <c r="H179" i="14702"/>
  <c r="S179" i="14702"/>
  <c r="B50" i="14702"/>
  <c r="L50" i="14702"/>
  <c r="K125" i="14702"/>
  <c r="P143" i="14702"/>
  <c r="D143" i="14702"/>
  <c r="G143" i="14702"/>
  <c r="R143" i="14702"/>
  <c r="P251" i="14702"/>
  <c r="T251" i="14702"/>
  <c r="M5" i="14628"/>
  <c r="M9" i="14628" s="1"/>
  <c r="M63" i="14704"/>
  <c r="I5" i="14628"/>
  <c r="I9" i="14628" s="1"/>
  <c r="C63" i="14704"/>
  <c r="U179" i="14702"/>
  <c r="I54" i="14623" a="1"/>
  <c r="I54" i="14623" s="1"/>
  <c r="C5" i="14628"/>
  <c r="C9" i="14628" s="1"/>
  <c r="E63" i="14704"/>
  <c r="C59" i="14704"/>
  <c r="F59" i="14704"/>
  <c r="X179" i="14702"/>
  <c r="R104" i="14701"/>
  <c r="N5" i="14628"/>
  <c r="N9" i="14628" s="1"/>
  <c r="K5" i="14628"/>
  <c r="K9" i="14628" s="1"/>
  <c r="F5" i="14628"/>
  <c r="F9" i="14628" s="1"/>
  <c r="I64" i="14704"/>
  <c r="H63" i="14704"/>
  <c r="L63" i="14704"/>
  <c r="G63" i="14704"/>
  <c r="E59" i="14704"/>
  <c r="H59" i="14704"/>
  <c r="D59" i="14704"/>
  <c r="V143" i="14702"/>
  <c r="R215" i="14702"/>
  <c r="E5" i="14628"/>
  <c r="E9" i="14628" s="1"/>
  <c r="L5" i="14628"/>
  <c r="L9" i="14628" s="1"/>
  <c r="D5" i="14628"/>
  <c r="D9" i="14628" s="1"/>
  <c r="H5" i="14628"/>
  <c r="H9" i="14628" s="1"/>
  <c r="J5" i="14628"/>
  <c r="J9" i="14628" s="1"/>
  <c r="F62" i="14704"/>
  <c r="F63" i="14704"/>
  <c r="B63" i="14704"/>
  <c r="I63" i="14704"/>
  <c r="K63" i="14704"/>
  <c r="J63" i="14704"/>
  <c r="G59" i="14704"/>
  <c r="K59" i="14704"/>
  <c r="M59" i="14704"/>
  <c r="B59" i="14704"/>
  <c r="I59" i="14704"/>
  <c r="H143" i="14702"/>
  <c r="M53" i="14623" a="1"/>
  <c r="M53" i="14623" s="1"/>
  <c r="F125" i="14702"/>
  <c r="P104" i="14701"/>
  <c r="F65" i="14704"/>
  <c r="N125" i="14702"/>
  <c r="E53" i="14702"/>
  <c r="E46" i="14702"/>
  <c r="O53" i="14623" a="1"/>
  <c r="O53" i="14623" s="1"/>
  <c r="M51" i="14702"/>
  <c r="K51" i="14702"/>
  <c r="N35" i="14623"/>
  <c r="L61" i="14704"/>
  <c r="D65" i="14704"/>
  <c r="Q125" i="14702"/>
  <c r="F46" i="14702"/>
  <c r="C53" i="14702"/>
  <c r="D46" i="14702"/>
  <c r="C179" i="14702"/>
  <c r="F179" i="14702"/>
  <c r="L53" i="14702"/>
  <c r="R179" i="14702"/>
  <c r="L179" i="14702"/>
  <c r="G179" i="14702"/>
  <c r="Q179" i="14702"/>
  <c r="G125" i="14702"/>
  <c r="G48" i="14623" a="1"/>
  <c r="G48" i="14623" s="1"/>
  <c r="R53" i="14623" a="1"/>
  <c r="R53" i="14623" s="1"/>
  <c r="N53" i="14623" a="1"/>
  <c r="N53" i="14623" s="1"/>
  <c r="M61" i="14704"/>
  <c r="D61" i="14704"/>
  <c r="B65" i="14704"/>
  <c r="F66" i="14704"/>
  <c r="N251" i="14702"/>
  <c r="O125" i="14702"/>
  <c r="B179" i="14702"/>
  <c r="N179" i="14702"/>
  <c r="P179" i="14702"/>
  <c r="W179" i="14702"/>
  <c r="O179" i="14702"/>
  <c r="D179" i="14702"/>
  <c r="R251" i="14702"/>
  <c r="M125" i="14702"/>
  <c r="K179" i="14702"/>
  <c r="J179" i="14702"/>
  <c r="E179" i="14702"/>
  <c r="T179" i="14702"/>
  <c r="M179" i="14702"/>
  <c r="H125" i="14702"/>
  <c r="Y179" i="14702"/>
  <c r="J49" i="14623" a="1"/>
  <c r="J49" i="14623" s="1"/>
  <c r="N37" i="14623"/>
  <c r="N38" i="14623"/>
  <c r="V104" i="14701"/>
  <c r="T104" i="14701"/>
  <c r="J52" i="14623" a="1"/>
  <c r="J52" i="14623" s="1"/>
  <c r="L48" i="14623" a="1"/>
  <c r="L48" i="14623" s="1"/>
  <c r="I52" i="14623" a="1"/>
  <c r="I52" i="14623" s="1"/>
  <c r="Q54" i="14623" a="1"/>
  <c r="Q54" i="14623" s="1"/>
  <c r="I49" i="14623" a="1"/>
  <c r="I49" i="14623" s="1"/>
  <c r="K50" i="14623" a="1"/>
  <c r="K50" i="14623" s="1"/>
  <c r="M64" i="14704"/>
  <c r="E233" i="14702"/>
  <c r="L53" i="14623" a="1"/>
  <c r="L53" i="14623" s="1"/>
  <c r="K53" i="14623" a="1"/>
  <c r="K53" i="14623" s="1"/>
  <c r="E51" i="14623" a="1"/>
  <c r="E51" i="14623" s="1"/>
  <c r="L43" i="14623"/>
  <c r="F51" i="14623" a="1"/>
  <c r="F51" i="14623" s="1"/>
  <c r="G50" i="14623" a="1"/>
  <c r="G50" i="14623" s="1"/>
  <c r="K43" i="14623"/>
  <c r="Q52" i="14623" a="1"/>
  <c r="Q52" i="14623" s="1"/>
  <c r="N42" i="14623"/>
  <c r="L50" i="14623" a="1"/>
  <c r="L50" i="14623" s="1"/>
  <c r="N39" i="14623"/>
  <c r="L52" i="14623" a="1"/>
  <c r="L52" i="14623" s="1"/>
  <c r="M52" i="14623" a="1"/>
  <c r="M52" i="14623" s="1"/>
  <c r="L51" i="14623" a="1"/>
  <c r="L51" i="14623" s="1"/>
  <c r="K51" i="14623" a="1"/>
  <c r="K51" i="14623" s="1"/>
  <c r="J50" i="14623" a="1"/>
  <c r="J50" i="14623" s="1"/>
  <c r="J62" i="14704"/>
  <c r="N143" i="14702"/>
  <c r="H233" i="14702"/>
  <c r="N41" i="14623"/>
  <c r="F50" i="14623" a="1"/>
  <c r="F50" i="14623" s="1"/>
  <c r="J54" i="14623" a="1"/>
  <c r="J54" i="14623" s="1"/>
  <c r="E49" i="14623" a="1"/>
  <c r="E49" i="14623" s="1"/>
  <c r="G51" i="14623" a="1"/>
  <c r="G51" i="14623" s="1"/>
  <c r="D43" i="14623"/>
  <c r="I53" i="14623" a="1"/>
  <c r="I53" i="14623" s="1"/>
  <c r="Y197" i="14702"/>
  <c r="U197" i="14702"/>
  <c r="E197" i="14702"/>
  <c r="M197" i="14702"/>
  <c r="C233" i="14702"/>
  <c r="F233" i="14702"/>
  <c r="J233" i="14702"/>
  <c r="N233" i="14702"/>
  <c r="S233" i="14702"/>
  <c r="T233" i="14702"/>
  <c r="D51" i="14702"/>
  <c r="L51" i="14702"/>
  <c r="B51" i="14702"/>
  <c r="P215" i="14702"/>
  <c r="E215" i="14702"/>
  <c r="M215" i="14702"/>
  <c r="S215" i="14702"/>
  <c r="Y215" i="14702"/>
  <c r="T215" i="14702"/>
  <c r="B47" i="14702"/>
  <c r="C47" i="14702"/>
  <c r="G47" i="14702"/>
  <c r="D47" i="14702"/>
  <c r="I62" i="14704"/>
  <c r="L62" i="14704"/>
  <c r="K62" i="14704"/>
  <c r="M62" i="14704"/>
  <c r="G62" i="14704"/>
  <c r="B62" i="14704"/>
  <c r="I143" i="14702"/>
  <c r="W143" i="14702"/>
  <c r="E143" i="14702"/>
  <c r="L143" i="14702"/>
  <c r="Q143" i="14702"/>
  <c r="U143" i="14702"/>
  <c r="C143" i="14702"/>
  <c r="B143" i="14702"/>
  <c r="X143" i="14702"/>
  <c r="Y143" i="14702"/>
  <c r="J143" i="14702"/>
  <c r="G43" i="14623"/>
  <c r="M54" i="14623" a="1"/>
  <c r="M54" i="14623" s="1"/>
  <c r="J51" i="14623" a="1"/>
  <c r="J51" i="14623" s="1"/>
  <c r="I50" i="14623" a="1"/>
  <c r="I50" i="14623" s="1"/>
  <c r="I51" i="14623" a="1"/>
  <c r="I51" i="14623" s="1"/>
  <c r="F48" i="14623" a="1"/>
  <c r="F48" i="14623" s="1"/>
  <c r="L54" i="14623" a="1"/>
  <c r="L54" i="14623" s="1"/>
  <c r="G49" i="14623" a="1"/>
  <c r="G49" i="14623" s="1"/>
  <c r="D50" i="14623" a="1"/>
  <c r="D50" i="14623" s="1"/>
  <c r="H54" i="14623" a="1"/>
  <c r="H54" i="14623" s="1"/>
  <c r="B48" i="14623" a="1"/>
  <c r="B48" i="14623" s="1"/>
  <c r="B55" i="14623" s="1"/>
  <c r="G53" i="14623" a="1"/>
  <c r="G53" i="14623" s="1"/>
  <c r="F52" i="14623" a="1"/>
  <c r="F52" i="14623" s="1"/>
  <c r="N50" i="14623" a="1"/>
  <c r="N50" i="14623" s="1"/>
  <c r="P52" i="14623" a="1"/>
  <c r="P52" i="14623" s="1"/>
  <c r="M49" i="14623" a="1"/>
  <c r="M49" i="14623" s="1"/>
  <c r="Q53" i="14623" a="1"/>
  <c r="Q53" i="14623" s="1"/>
  <c r="C43" i="14623"/>
  <c r="G52" i="14623" a="1"/>
  <c r="G52" i="14623" s="1"/>
  <c r="D49" i="14623" a="1"/>
  <c r="D49" i="14623" s="1"/>
  <c r="C48" i="14623" a="1"/>
  <c r="C48" i="14623" s="1"/>
  <c r="N36" i="14623"/>
  <c r="N40" i="14623"/>
  <c r="H51" i="14623" a="1"/>
  <c r="H51" i="14623" s="1"/>
  <c r="F49" i="14623" a="1"/>
  <c r="F49" i="14623" s="1"/>
  <c r="K54" i="14623" a="1"/>
  <c r="K54" i="14623" s="1"/>
  <c r="J53" i="14623" a="1"/>
  <c r="J53" i="14623" s="1"/>
  <c r="P53" i="14623" a="1"/>
  <c r="P53" i="14623" s="1"/>
  <c r="K48" i="14623" a="1"/>
  <c r="K48" i="14623" s="1"/>
  <c r="L49" i="14623" a="1"/>
  <c r="L49" i="14623" s="1"/>
  <c r="M50" i="14623" a="1"/>
  <c r="M50" i="14623" s="1"/>
  <c r="N49" i="14623" a="1"/>
  <c r="N49" i="14623" s="1"/>
  <c r="S54" i="14623" a="1"/>
  <c r="S54" i="14623" s="1"/>
  <c r="S55" i="14623" s="1"/>
  <c r="M48" i="14623" a="1"/>
  <c r="M48" i="14623" s="1"/>
  <c r="O50" i="14623" a="1"/>
  <c r="O50" i="14623" s="1"/>
  <c r="H64" i="14704"/>
  <c r="F64" i="14704"/>
  <c r="E64" i="14704"/>
  <c r="G64" i="14704"/>
  <c r="C64" i="14704"/>
  <c r="L64" i="14704"/>
  <c r="M51" i="14623" a="1"/>
  <c r="M51" i="14623" s="1"/>
  <c r="K49" i="14623" a="1"/>
  <c r="K49" i="14623" s="1"/>
  <c r="J48" i="14623" a="1"/>
  <c r="J48" i="14623" s="1"/>
  <c r="P54" i="14623" a="1"/>
  <c r="P54" i="14623" s="1"/>
  <c r="O54" i="14623" a="1"/>
  <c r="O54" i="14623" s="1"/>
  <c r="I43" i="14623"/>
  <c r="I48" i="14623" a="1"/>
  <c r="I48" i="14623" s="1"/>
  <c r="H48" i="14623" a="1"/>
  <c r="H48" i="14623" s="1"/>
  <c r="N54" i="14623" a="1"/>
  <c r="N54" i="14623" s="1"/>
  <c r="H43" i="14623"/>
  <c r="K52" i="14623" a="1"/>
  <c r="K52" i="14623" s="1"/>
  <c r="H49" i="14623" a="1"/>
  <c r="H49" i="14623" s="1"/>
  <c r="F43" i="14623"/>
  <c r="H50" i="14623" a="1"/>
  <c r="H50" i="14623" s="1"/>
  <c r="B43" i="14623"/>
  <c r="C49" i="14623" a="1"/>
  <c r="C49" i="14623" s="1"/>
  <c r="O52" i="14623" a="1"/>
  <c r="O52" i="14623" s="1"/>
  <c r="N51" i="14623" a="1"/>
  <c r="N51" i="14623" s="1"/>
  <c r="N52" i="14623" a="1"/>
  <c r="N52" i="14623" s="1"/>
  <c r="J43" i="14623"/>
  <c r="O51" i="14623" a="1"/>
  <c r="O51" i="14623" s="1"/>
  <c r="R54" i="14623" a="1"/>
  <c r="R54" i="14623" s="1"/>
  <c r="D48" i="14623" a="1"/>
  <c r="D48" i="14623" s="1"/>
  <c r="H52" i="14623" a="1"/>
  <c r="H52" i="14623" s="1"/>
  <c r="E50" i="14623" a="1"/>
  <c r="E50" i="14623" s="1"/>
  <c r="H53" i="14623" a="1"/>
  <c r="H53" i="14623" s="1"/>
  <c r="E43" i="14623"/>
  <c r="E48" i="14623" a="1"/>
  <c r="E48" i="14623" s="1"/>
  <c r="M43" i="14623"/>
  <c r="P51" i="14623" a="1"/>
  <c r="P51" i="14623" s="1"/>
  <c r="H62" i="14704"/>
  <c r="E62" i="14704"/>
  <c r="D62" i="14704"/>
  <c r="D64" i="14704"/>
  <c r="J64" i="14704"/>
  <c r="K64" i="14704"/>
  <c r="O143" i="14702"/>
  <c r="T143" i="14702"/>
  <c r="S143" i="14702"/>
  <c r="B233" i="14702"/>
  <c r="E51" i="14702"/>
  <c r="I215" i="14702"/>
  <c r="M47" i="14702"/>
  <c r="O233" i="14702"/>
  <c r="C215" i="14702"/>
  <c r="K143" i="14702"/>
  <c r="X215" i="14702"/>
  <c r="G233" i="14702"/>
  <c r="S197" i="14702"/>
  <c r="X197" i="14702"/>
  <c r="F143" i="14702"/>
  <c r="B197" i="14701" a="1"/>
  <c r="X197" i="14701" s="1"/>
  <c r="B61" i="14704"/>
  <c r="C61" i="14704"/>
  <c r="I61" i="14704"/>
  <c r="K65" i="14704"/>
  <c r="H65" i="14704"/>
  <c r="J65" i="14704"/>
  <c r="H48" i="14702"/>
  <c r="B251" i="14702"/>
  <c r="V251" i="14702"/>
  <c r="V125" i="14702"/>
  <c r="B125" i="14702"/>
  <c r="G46" i="14702"/>
  <c r="J53" i="14702"/>
  <c r="I46" i="14702"/>
  <c r="E50" i="14702"/>
  <c r="T125" i="14702"/>
  <c r="S251" i="14702"/>
  <c r="L46" i="14702"/>
  <c r="S161" i="14702"/>
  <c r="W125" i="14702"/>
  <c r="S125" i="14702"/>
  <c r="I95" i="14643"/>
  <c r="H100" i="14643"/>
  <c r="H20" i="14643" s="1"/>
  <c r="B48" i="14649" s="1" a="1"/>
  <c r="F48" i="14649" s="1"/>
  <c r="F61" i="14704"/>
  <c r="E61" i="14704"/>
  <c r="K61" i="14704"/>
  <c r="J61" i="14704"/>
  <c r="H61" i="14704"/>
  <c r="C65" i="14704"/>
  <c r="L65" i="14704"/>
  <c r="M65" i="14704"/>
  <c r="I65" i="14704"/>
  <c r="E65" i="14704"/>
  <c r="J66" i="14704"/>
  <c r="D66" i="14704"/>
  <c r="C48" i="14702"/>
  <c r="K251" i="14702"/>
  <c r="Y251" i="14702"/>
  <c r="M251" i="14702"/>
  <c r="X125" i="14702"/>
  <c r="J125" i="14702"/>
  <c r="P125" i="14702"/>
  <c r="R125" i="14702"/>
  <c r="E125" i="14702"/>
  <c r="D125" i="14702"/>
  <c r="J46" i="14702"/>
  <c r="K46" i="14702"/>
  <c r="M46" i="14702"/>
  <c r="G53" i="14702"/>
  <c r="B46" i="14702"/>
  <c r="D53" i="14702"/>
  <c r="F251" i="14702"/>
  <c r="W251" i="14702"/>
  <c r="J50" i="14702"/>
  <c r="U125" i="14702"/>
  <c r="Y125" i="14702"/>
  <c r="I125" i="14702"/>
  <c r="I251" i="14702"/>
  <c r="C46" i="14702"/>
  <c r="V161" i="14702"/>
  <c r="G161" i="14702"/>
  <c r="C125" i="14702"/>
  <c r="J48" i="14702"/>
  <c r="I50" i="14702"/>
  <c r="B48" i="14701" a="1"/>
  <c r="B48" i="14701" s="1"/>
  <c r="B49" i="14701" a="1"/>
  <c r="E49" i="14701" s="1"/>
  <c r="B51" i="14701" a="1"/>
  <c r="G51" i="14701" s="1"/>
  <c r="X104" i="14701"/>
  <c r="B50" i="14701" a="1"/>
  <c r="H50" i="14701" s="1"/>
  <c r="B143" i="14701" a="1"/>
  <c r="P143" i="14701" s="1"/>
  <c r="N54" i="14704"/>
  <c r="B233" i="14701" a="1"/>
  <c r="I233" i="14701" s="1"/>
  <c r="B52" i="14701" a="1"/>
  <c r="C52" i="14701" s="1"/>
  <c r="B47" i="14701" a="1"/>
  <c r="H47" i="14701" s="1"/>
  <c r="M233" i="14702"/>
  <c r="Y233" i="14702"/>
  <c r="U233" i="14702"/>
  <c r="D233" i="14702"/>
  <c r="L233" i="14702"/>
  <c r="I51" i="14702"/>
  <c r="G51" i="14702"/>
  <c r="F51" i="14702"/>
  <c r="H215" i="14702"/>
  <c r="G215" i="14702"/>
  <c r="O215" i="14702"/>
  <c r="D215" i="14702"/>
  <c r="U215" i="14702"/>
  <c r="H47" i="14702"/>
  <c r="I47" i="14702"/>
  <c r="K47" i="14702"/>
  <c r="V233" i="14702"/>
  <c r="X233" i="14702"/>
  <c r="R233" i="14702"/>
  <c r="J51" i="14702"/>
  <c r="H51" i="14702"/>
  <c r="J215" i="14702"/>
  <c r="F215" i="14702"/>
  <c r="W215" i="14702"/>
  <c r="E47" i="14702"/>
  <c r="L47" i="14702"/>
  <c r="P233" i="14702"/>
  <c r="I233" i="14702"/>
  <c r="K215" i="14702"/>
  <c r="N215" i="14702"/>
  <c r="C197" i="14702"/>
  <c r="J47" i="14702"/>
  <c r="K233" i="14702"/>
  <c r="V215" i="14702"/>
  <c r="I197" i="14702"/>
  <c r="Q233" i="14702"/>
  <c r="B215" i="14702"/>
  <c r="F47" i="14702"/>
  <c r="L215" i="14702"/>
  <c r="H66" i="14704"/>
  <c r="K66" i="14704"/>
  <c r="L66" i="14704"/>
  <c r="L48" i="14702"/>
  <c r="H251" i="14702"/>
  <c r="E251" i="14702"/>
  <c r="L251" i="14702"/>
  <c r="D251" i="14702"/>
  <c r="U251" i="14702"/>
  <c r="I53" i="14702"/>
  <c r="F53" i="14702"/>
  <c r="B53" i="14702"/>
  <c r="E48" i="14702"/>
  <c r="C251" i="14702"/>
  <c r="X251" i="14702"/>
  <c r="Q251" i="14702"/>
  <c r="G50" i="14702"/>
  <c r="D50" i="14702"/>
  <c r="M50" i="14702"/>
  <c r="J251" i="14702"/>
  <c r="Q161" i="14702"/>
  <c r="H53" i="14702"/>
  <c r="M161" i="14702"/>
  <c r="K53" i="14702"/>
  <c r="O251" i="14702"/>
  <c r="F50" i="14702"/>
  <c r="C50" i="14702"/>
  <c r="H50" i="14702"/>
  <c r="B60" i="14704"/>
  <c r="M52" i="14702"/>
  <c r="J49" i="14702"/>
  <c r="Q197" i="14702"/>
  <c r="B197" i="14702"/>
  <c r="H197" i="14702"/>
  <c r="F197" i="14702"/>
  <c r="K48" i="14702"/>
  <c r="U161" i="14702"/>
  <c r="R161" i="14702"/>
  <c r="I161" i="14702"/>
  <c r="E161" i="14702"/>
  <c r="B48" i="14702"/>
  <c r="F161" i="14702"/>
  <c r="B53" i="14701" a="1"/>
  <c r="D53" i="14701" s="1"/>
  <c r="F100" i="14643"/>
  <c r="B179" i="14701" a="1"/>
  <c r="M179" i="14701" s="1"/>
  <c r="G60" i="14704"/>
  <c r="F60" i="14704"/>
  <c r="J197" i="14702"/>
  <c r="W197" i="14702"/>
  <c r="P197" i="14702"/>
  <c r="O197" i="14702"/>
  <c r="T197" i="14702"/>
  <c r="R197" i="14702"/>
  <c r="V197" i="14702"/>
  <c r="K197" i="14702"/>
  <c r="N197" i="14702"/>
  <c r="D197" i="14702"/>
  <c r="L197" i="14702"/>
  <c r="F49" i="14702"/>
  <c r="M66" i="14704"/>
  <c r="I66" i="14704"/>
  <c r="G66" i="14704"/>
  <c r="B66" i="14704"/>
  <c r="E66" i="14704"/>
  <c r="I48" i="14702"/>
  <c r="G48" i="14702"/>
  <c r="M48" i="14702"/>
  <c r="P161" i="14702"/>
  <c r="O161" i="14702"/>
  <c r="N161" i="14702"/>
  <c r="Y161" i="14702"/>
  <c r="H161" i="14702"/>
  <c r="J161" i="14702"/>
  <c r="K161" i="14702"/>
  <c r="X161" i="14702"/>
  <c r="D161" i="14702"/>
  <c r="B161" i="14702"/>
  <c r="T161" i="14702"/>
  <c r="W161" i="14702"/>
  <c r="D48" i="14702"/>
  <c r="L161" i="14702"/>
  <c r="S104" i="14701"/>
  <c r="B251" i="14701" a="1"/>
  <c r="J251" i="14701" s="1"/>
  <c r="E60" i="14704"/>
  <c r="L60" i="14704"/>
  <c r="M60" i="14704"/>
  <c r="B161" i="14701" a="1"/>
  <c r="Y161" i="14701" s="1"/>
  <c r="C49" i="14702"/>
  <c r="L52" i="14702"/>
  <c r="Y104" i="14701"/>
  <c r="B46" i="14701" a="1"/>
  <c r="J46" i="14701" s="1"/>
  <c r="U104" i="14701"/>
  <c r="W104" i="14701"/>
  <c r="C60" i="14704"/>
  <c r="I60" i="14704"/>
  <c r="J60" i="14704"/>
  <c r="K60" i="14704"/>
  <c r="D60" i="14704"/>
  <c r="B215" i="14701" a="1"/>
  <c r="T215" i="14701" s="1"/>
  <c r="G49" i="14702"/>
  <c r="C52" i="14702"/>
  <c r="D49" i="14702"/>
  <c r="E52" i="14702"/>
  <c r="B49" i="14702"/>
  <c r="H49" i="14702"/>
  <c r="K49" i="14702"/>
  <c r="B52" i="14702"/>
  <c r="K52" i="14702"/>
  <c r="G52" i="14702"/>
  <c r="L49" i="14702"/>
  <c r="I52" i="14702"/>
  <c r="M49" i="14702"/>
  <c r="D52" i="14702"/>
  <c r="F52" i="14702"/>
  <c r="E49" i="14702"/>
  <c r="B125" i="14701" a="1"/>
  <c r="J125" i="14701" s="1"/>
  <c r="B128" i="14700"/>
  <c r="N128" i="14700"/>
  <c r="D128" i="14700"/>
  <c r="Q128" i="14700"/>
  <c r="R128" i="14700"/>
  <c r="S128" i="14700"/>
  <c r="H128" i="14700"/>
  <c r="U128" i="14700"/>
  <c r="J128" i="14700"/>
  <c r="W128" i="14700"/>
  <c r="L128" i="14700"/>
  <c r="M128" i="14700"/>
  <c r="E128" i="14700"/>
  <c r="P128" i="14700"/>
  <c r="G128" i="14700"/>
  <c r="I128" i="14700"/>
  <c r="K128" i="14700"/>
  <c r="Y128" i="14700"/>
  <c r="O128" i="14700"/>
  <c r="C128" i="14700"/>
  <c r="F128" i="14700"/>
  <c r="T128" i="14700"/>
  <c r="V128" i="14700"/>
  <c r="X128" i="14700"/>
  <c r="E200" i="14700"/>
  <c r="C200" i="14700"/>
  <c r="N200" i="14700"/>
  <c r="Q200" i="14700"/>
  <c r="R200" i="14700"/>
  <c r="S200" i="14700"/>
  <c r="H200" i="14700"/>
  <c r="U200" i="14700"/>
  <c r="J200" i="14700"/>
  <c r="K200" i="14700"/>
  <c r="L200" i="14700"/>
  <c r="Y200" i="14700"/>
  <c r="B200" i="14700"/>
  <c r="P200" i="14700"/>
  <c r="G200" i="14700"/>
  <c r="I200" i="14700"/>
  <c r="W200" i="14700"/>
  <c r="M200" i="14700"/>
  <c r="O200" i="14700"/>
  <c r="D200" i="14700"/>
  <c r="F200" i="14700"/>
  <c r="T200" i="14700"/>
  <c r="V200" i="14700"/>
  <c r="X200" i="14700"/>
  <c r="O218" i="14700"/>
  <c r="B218" i="14700"/>
  <c r="N218" i="14700"/>
  <c r="P218" i="14700"/>
  <c r="R218" i="14700"/>
  <c r="G218" i="14700"/>
  <c r="T218" i="14700"/>
  <c r="I218" i="14700"/>
  <c r="V218" i="14700"/>
  <c r="K218" i="14700"/>
  <c r="X218" i="14700"/>
  <c r="Y218" i="14700"/>
  <c r="E218" i="14700"/>
  <c r="C218" i="14700"/>
  <c r="D218" i="14700"/>
  <c r="Q218" i="14700"/>
  <c r="F218" i="14700"/>
  <c r="S218" i="14700"/>
  <c r="H218" i="14700"/>
  <c r="U218" i="14700"/>
  <c r="J218" i="14700"/>
  <c r="W218" i="14700"/>
  <c r="L218" i="14700"/>
  <c r="M218" i="14700"/>
  <c r="O236" i="14700"/>
  <c r="E236" i="14700"/>
  <c r="D236" i="14700"/>
  <c r="P236" i="14700"/>
  <c r="F236" i="14700"/>
  <c r="G236" i="14700"/>
  <c r="T236" i="14700"/>
  <c r="I236" i="14700"/>
  <c r="V236" i="14700"/>
  <c r="K236" i="14700"/>
  <c r="X236" i="14700"/>
  <c r="Y236" i="14700"/>
  <c r="B236" i="14700"/>
  <c r="C236" i="14700"/>
  <c r="N236" i="14700"/>
  <c r="Q236" i="14700"/>
  <c r="R236" i="14700"/>
  <c r="S236" i="14700"/>
  <c r="H236" i="14700"/>
  <c r="U236" i="14700"/>
  <c r="J236" i="14700"/>
  <c r="W236" i="14700"/>
  <c r="L236" i="14700"/>
  <c r="M236" i="14700"/>
  <c r="C200" i="14703"/>
  <c r="E200" i="14703"/>
  <c r="F200" i="14703"/>
  <c r="G200" i="14703"/>
  <c r="S200" i="14703"/>
  <c r="B200" i="14703"/>
  <c r="T200" i="14703"/>
  <c r="N200" i="14703"/>
  <c r="J200" i="14703"/>
  <c r="V200" i="14703"/>
  <c r="L200" i="14703"/>
  <c r="R200" i="14703"/>
  <c r="D200" i="14703"/>
  <c r="Q200" i="14703"/>
  <c r="H200" i="14703"/>
  <c r="I200" i="14703"/>
  <c r="K200" i="14703"/>
  <c r="X200" i="14703"/>
  <c r="Y200" i="14703"/>
  <c r="P200" i="14703"/>
  <c r="O200" i="14703"/>
  <c r="U200" i="14703"/>
  <c r="W200" i="14703"/>
  <c r="M200" i="14703"/>
  <c r="C90" i="14703"/>
  <c r="I90" i="14703"/>
  <c r="E90" i="14703"/>
  <c r="P90" i="14703"/>
  <c r="F90" i="14703"/>
  <c r="R90" i="14703"/>
  <c r="H90" i="14703"/>
  <c r="T90" i="14703"/>
  <c r="B90" i="14703"/>
  <c r="J90" i="14703"/>
  <c r="V90" i="14703"/>
  <c r="W90" i="14703"/>
  <c r="X90" i="14703"/>
  <c r="Y90" i="14703"/>
  <c r="D90" i="14703"/>
  <c r="Q90" i="14703"/>
  <c r="G90" i="14703"/>
  <c r="S90" i="14703"/>
  <c r="O90" i="14703"/>
  <c r="N90" i="14703"/>
  <c r="U90" i="14703"/>
  <c r="K90" i="14703"/>
  <c r="L90" i="14703"/>
  <c r="M90" i="14703"/>
  <c r="Q164" i="14703"/>
  <c r="W164" i="14703"/>
  <c r="D164" i="14703"/>
  <c r="F164" i="14703"/>
  <c r="G164" i="14703"/>
  <c r="H164" i="14703"/>
  <c r="B164" i="14703"/>
  <c r="N164" i="14703"/>
  <c r="T164" i="14703"/>
  <c r="U164" i="14703"/>
  <c r="V164" i="14703"/>
  <c r="L164" i="14703"/>
  <c r="X164" i="14703"/>
  <c r="Y164" i="14703"/>
  <c r="E164" i="14703"/>
  <c r="P164" i="14703"/>
  <c r="R164" i="14703"/>
  <c r="S164" i="14703"/>
  <c r="O164" i="14703"/>
  <c r="C164" i="14703"/>
  <c r="I164" i="14703"/>
  <c r="J164" i="14703"/>
  <c r="K164" i="14703"/>
  <c r="M164" i="14703"/>
  <c r="C236" i="14703"/>
  <c r="D236" i="14703"/>
  <c r="F236" i="14703"/>
  <c r="R236" i="14703"/>
  <c r="S236" i="14703"/>
  <c r="N236" i="14703"/>
  <c r="O236" i="14703"/>
  <c r="I236" i="14703"/>
  <c r="J236" i="14703"/>
  <c r="V236" i="14703"/>
  <c r="W236" i="14703"/>
  <c r="M236" i="14703"/>
  <c r="E236" i="14703"/>
  <c r="Q236" i="14703"/>
  <c r="P236" i="14703"/>
  <c r="G236" i="14703"/>
  <c r="H236" i="14703"/>
  <c r="B236" i="14703"/>
  <c r="T236" i="14703"/>
  <c r="U236" i="14703"/>
  <c r="K236" i="14703"/>
  <c r="L236" i="14703"/>
  <c r="X236" i="14703"/>
  <c r="Y236" i="14703"/>
  <c r="C110" i="14703"/>
  <c r="E110" i="14703"/>
  <c r="Q110" i="14703"/>
  <c r="R110" i="14703"/>
  <c r="H110" i="14703"/>
  <c r="N110" i="14703"/>
  <c r="T110" i="14703"/>
  <c r="I110" i="14703"/>
  <c r="J110" i="14703"/>
  <c r="K110" i="14703"/>
  <c r="L110" i="14703"/>
  <c r="M110" i="14703"/>
  <c r="D110" i="14703"/>
  <c r="P110" i="14703"/>
  <c r="F110" i="14703"/>
  <c r="G110" i="14703"/>
  <c r="S110" i="14703"/>
  <c r="B110" i="14703"/>
  <c r="O110" i="14703"/>
  <c r="U110" i="14703"/>
  <c r="V110" i="14703"/>
  <c r="W110" i="14703"/>
  <c r="X110" i="14703"/>
  <c r="Y110" i="14703"/>
  <c r="N90" i="14702"/>
  <c r="E90" i="14702"/>
  <c r="Q90" i="14702"/>
  <c r="F90" i="14702"/>
  <c r="G90" i="14702"/>
  <c r="T90" i="14702"/>
  <c r="U90" i="14702"/>
  <c r="C90" i="14702"/>
  <c r="V90" i="14702"/>
  <c r="W90" i="14702"/>
  <c r="X90" i="14702"/>
  <c r="M90" i="14702"/>
  <c r="P90" i="14702"/>
  <c r="D90" i="14702"/>
  <c r="R90" i="14702"/>
  <c r="S90" i="14702"/>
  <c r="H90" i="14702"/>
  <c r="I90" i="14702"/>
  <c r="B90" i="14702"/>
  <c r="O90" i="14702"/>
  <c r="J90" i="14702"/>
  <c r="K90" i="14702"/>
  <c r="L90" i="14702"/>
  <c r="Y90" i="14702"/>
  <c r="N182" i="14702"/>
  <c r="Q182" i="14702"/>
  <c r="E182" i="14702"/>
  <c r="R182" i="14702"/>
  <c r="G182" i="14702"/>
  <c r="H182" i="14702"/>
  <c r="U182" i="14702"/>
  <c r="C182" i="14702"/>
  <c r="V182" i="14702"/>
  <c r="W182" i="14702"/>
  <c r="X182" i="14702"/>
  <c r="M182" i="14702"/>
  <c r="P182" i="14702"/>
  <c r="D182" i="14702"/>
  <c r="F182" i="14702"/>
  <c r="S182" i="14702"/>
  <c r="T182" i="14702"/>
  <c r="I182" i="14702"/>
  <c r="B182" i="14702"/>
  <c r="O182" i="14702"/>
  <c r="J182" i="14702"/>
  <c r="K182" i="14702"/>
  <c r="L182" i="14702"/>
  <c r="Y182" i="14702"/>
  <c r="N200" i="14702"/>
  <c r="Q200" i="14702"/>
  <c r="D200" i="14702"/>
  <c r="F200" i="14702"/>
  <c r="G200" i="14702"/>
  <c r="T200" i="14702"/>
  <c r="U200" i="14702"/>
  <c r="O200" i="14702"/>
  <c r="V200" i="14702"/>
  <c r="K200" i="14702"/>
  <c r="L200" i="14702"/>
  <c r="M200" i="14702"/>
  <c r="P200" i="14702"/>
  <c r="E200" i="14702"/>
  <c r="R200" i="14702"/>
  <c r="S200" i="14702"/>
  <c r="H200" i="14702"/>
  <c r="I200" i="14702"/>
  <c r="C200" i="14702"/>
  <c r="B200" i="14702"/>
  <c r="J200" i="14702"/>
  <c r="W200" i="14702"/>
  <c r="X200" i="14702"/>
  <c r="Y200" i="14702"/>
  <c r="N146" i="14702"/>
  <c r="D146" i="14702"/>
  <c r="Q146" i="14702"/>
  <c r="F146" i="14702"/>
  <c r="G146" i="14702"/>
  <c r="H146" i="14702"/>
  <c r="U146" i="14702"/>
  <c r="V146" i="14702"/>
  <c r="C146" i="14702"/>
  <c r="W146" i="14702"/>
  <c r="L146" i="14702"/>
  <c r="M146" i="14702"/>
  <c r="P146" i="14702"/>
  <c r="E146" i="14702"/>
  <c r="R146" i="14702"/>
  <c r="S146" i="14702"/>
  <c r="T146" i="14702"/>
  <c r="I146" i="14702"/>
  <c r="B146" i="14702"/>
  <c r="J146" i="14702"/>
  <c r="O146" i="14702"/>
  <c r="K146" i="14702"/>
  <c r="X146" i="14702"/>
  <c r="Y146" i="14702"/>
  <c r="N236" i="14702"/>
  <c r="Q236" i="14702"/>
  <c r="E236" i="14702"/>
  <c r="F236" i="14702"/>
  <c r="G236" i="14702"/>
  <c r="T236" i="14702"/>
  <c r="I236" i="14702"/>
  <c r="O236" i="14702"/>
  <c r="B236" i="14702"/>
  <c r="W236" i="14702"/>
  <c r="X236" i="14702"/>
  <c r="M236" i="14702"/>
  <c r="P236" i="14702"/>
  <c r="D236" i="14702"/>
  <c r="R236" i="14702"/>
  <c r="S236" i="14702"/>
  <c r="H236" i="14702"/>
  <c r="U236" i="14702"/>
  <c r="C236" i="14702"/>
  <c r="V236" i="14702"/>
  <c r="J236" i="14702"/>
  <c r="K236" i="14702"/>
  <c r="L236" i="14702"/>
  <c r="Y236" i="14702"/>
  <c r="Q218" i="14698"/>
  <c r="E218" i="14698"/>
  <c r="P218" i="14698"/>
  <c r="F218" i="14698"/>
  <c r="S218" i="14698"/>
  <c r="T218" i="14698"/>
  <c r="U218" i="14698"/>
  <c r="C218" i="14698"/>
  <c r="B218" i="14698"/>
  <c r="W218" i="14698"/>
  <c r="X218" i="14698"/>
  <c r="Y218" i="14698"/>
  <c r="N218" i="14698"/>
  <c r="D218" i="14698"/>
  <c r="R218" i="14698"/>
  <c r="G218" i="14698"/>
  <c r="H218" i="14698"/>
  <c r="I218" i="14698"/>
  <c r="O218" i="14698"/>
  <c r="V218" i="14698"/>
  <c r="J218" i="14698"/>
  <c r="K218" i="14698"/>
  <c r="L218" i="14698"/>
  <c r="M218" i="14698"/>
  <c r="N128" i="14698"/>
  <c r="E128" i="14698"/>
  <c r="D128" i="14698"/>
  <c r="F128" i="14698"/>
  <c r="G128" i="14698"/>
  <c r="H128" i="14698"/>
  <c r="I128" i="14698"/>
  <c r="B128" i="14698"/>
  <c r="V128" i="14698"/>
  <c r="W128" i="14698"/>
  <c r="L128" i="14698"/>
  <c r="M128" i="14698"/>
  <c r="Q128" i="14698"/>
  <c r="P128" i="14698"/>
  <c r="R128" i="14698"/>
  <c r="S128" i="14698"/>
  <c r="T128" i="14698"/>
  <c r="U128" i="14698"/>
  <c r="C128" i="14698"/>
  <c r="O128" i="14698"/>
  <c r="J128" i="14698"/>
  <c r="K128" i="14698"/>
  <c r="X128" i="14698"/>
  <c r="Y128" i="14698"/>
  <c r="Q164" i="14698"/>
  <c r="P164" i="14698"/>
  <c r="R164" i="14698"/>
  <c r="G164" i="14698"/>
  <c r="H164" i="14698"/>
  <c r="I164" i="14698"/>
  <c r="B164" i="14698"/>
  <c r="V164" i="14698"/>
  <c r="O164" i="14698"/>
  <c r="K164" i="14698"/>
  <c r="L164" i="14698"/>
  <c r="Y164" i="14698"/>
  <c r="E164" i="14698"/>
  <c r="F164" i="14698"/>
  <c r="T164" i="14698"/>
  <c r="C164" i="14698"/>
  <c r="W164" i="14698"/>
  <c r="M164" i="14698"/>
  <c r="N164" i="14698"/>
  <c r="D164" i="14698"/>
  <c r="S164" i="14698"/>
  <c r="U164" i="14698"/>
  <c r="J164" i="14698"/>
  <c r="X164" i="14698"/>
  <c r="C200" i="14698"/>
  <c r="Q200" i="14698"/>
  <c r="D200" i="14698"/>
  <c r="R200" i="14698"/>
  <c r="G200" i="14698"/>
  <c r="T200" i="14698"/>
  <c r="U200" i="14698"/>
  <c r="B200" i="14698"/>
  <c r="O200" i="14698"/>
  <c r="K200" i="14698"/>
  <c r="X200" i="14698"/>
  <c r="Y200" i="14698"/>
  <c r="E200" i="14698"/>
  <c r="F200" i="14698"/>
  <c r="H200" i="14698"/>
  <c r="V200" i="14698"/>
  <c r="W200" i="14698"/>
  <c r="M200" i="14698"/>
  <c r="N200" i="14698"/>
  <c r="P200" i="14698"/>
  <c r="S200" i="14698"/>
  <c r="I200" i="14698"/>
  <c r="J200" i="14698"/>
  <c r="L200" i="14698"/>
  <c r="P19" i="14632"/>
  <c r="S19" i="14632"/>
  <c r="N19" i="14632"/>
  <c r="Q19" i="14632"/>
  <c r="R19" i="14632"/>
  <c r="O19" i="14632"/>
  <c r="C7" i="14639" a="1"/>
  <c r="C7" i="14634" a="1"/>
  <c r="C46" i="14622"/>
  <c r="B71" i="14645"/>
  <c r="N71" i="14645"/>
  <c r="E71" i="14645"/>
  <c r="J71" i="14645"/>
  <c r="F71" i="14645"/>
  <c r="M71" i="14645"/>
  <c r="K71" i="14645"/>
  <c r="G71" i="14645"/>
  <c r="C71" i="14645"/>
  <c r="I71" i="14645"/>
  <c r="H71" i="14645"/>
  <c r="D71" i="14645"/>
  <c r="L71" i="14645"/>
  <c r="H18" i="14622"/>
  <c r="I18" i="14622" s="1"/>
  <c r="I19" i="14622"/>
  <c r="D7" i="14706"/>
  <c r="D21" i="14667"/>
  <c r="B22" i="14628"/>
  <c r="C22" i="14628" s="1"/>
  <c r="C24" i="14628" s="1"/>
  <c r="C26" i="14626"/>
  <c r="D5" i="14667"/>
  <c r="F9" i="14667"/>
  <c r="O19" i="14678"/>
  <c r="Q19" i="14678"/>
  <c r="R19" i="14678"/>
  <c r="P19" i="14678"/>
  <c r="N19" i="14678"/>
  <c r="S19" i="14678"/>
  <c r="P110" i="14704"/>
  <c r="N110" i="14704"/>
  <c r="C110" i="14704"/>
  <c r="Q110" i="14704"/>
  <c r="F110" i="14704"/>
  <c r="T110" i="14704"/>
  <c r="H110" i="14704"/>
  <c r="V110" i="14704"/>
  <c r="J110" i="14704"/>
  <c r="K110" i="14704"/>
  <c r="L110" i="14704"/>
  <c r="M110" i="14704"/>
  <c r="O110" i="14704"/>
  <c r="B110" i="14704"/>
  <c r="E110" i="14704"/>
  <c r="D110" i="14704"/>
  <c r="R110" i="14704"/>
  <c r="S110" i="14704"/>
  <c r="G110" i="14704"/>
  <c r="U110" i="14704"/>
  <c r="I110" i="14704"/>
  <c r="W110" i="14704"/>
  <c r="X110" i="14704"/>
  <c r="Y110" i="14704"/>
  <c r="B200" i="14704"/>
  <c r="N200" i="14704"/>
  <c r="C200" i="14704"/>
  <c r="Q200" i="14704"/>
  <c r="F200" i="14704"/>
  <c r="S200" i="14704"/>
  <c r="H200" i="14704"/>
  <c r="V200" i="14704"/>
  <c r="J200" i="14704"/>
  <c r="K200" i="14704"/>
  <c r="L200" i="14704"/>
  <c r="M200" i="14704"/>
  <c r="P200" i="14704"/>
  <c r="O200" i="14704"/>
  <c r="E200" i="14704"/>
  <c r="D200" i="14704"/>
  <c r="R200" i="14704"/>
  <c r="T200" i="14704"/>
  <c r="G200" i="14704"/>
  <c r="U200" i="14704"/>
  <c r="I200" i="14704"/>
  <c r="W200" i="14704"/>
  <c r="X200" i="14704"/>
  <c r="Y200" i="14704"/>
  <c r="B146" i="14704"/>
  <c r="N146" i="14704"/>
  <c r="E146" i="14704"/>
  <c r="D146" i="14704"/>
  <c r="R146" i="14704"/>
  <c r="S146" i="14704"/>
  <c r="H146" i="14704"/>
  <c r="I146" i="14704"/>
  <c r="J146" i="14704"/>
  <c r="X146" i="14704"/>
  <c r="L146" i="14704"/>
  <c r="M146" i="14704"/>
  <c r="O146" i="14704"/>
  <c r="P146" i="14704"/>
  <c r="C146" i="14704"/>
  <c r="Q146" i="14704"/>
  <c r="F146" i="14704"/>
  <c r="T146" i="14704"/>
  <c r="G146" i="14704"/>
  <c r="U146" i="14704"/>
  <c r="V146" i="14704"/>
  <c r="W146" i="14704"/>
  <c r="K146" i="14704"/>
  <c r="Y146" i="14704"/>
  <c r="O128" i="14704"/>
  <c r="P128" i="14704"/>
  <c r="E128" i="14704"/>
  <c r="Q128" i="14704"/>
  <c r="R128" i="14704"/>
  <c r="G128" i="14704"/>
  <c r="S128" i="14704"/>
  <c r="U128" i="14704"/>
  <c r="I128" i="14704"/>
  <c r="W128" i="14704"/>
  <c r="X128" i="14704"/>
  <c r="Y128" i="14704"/>
  <c r="B128" i="14704"/>
  <c r="N128" i="14704"/>
  <c r="C128" i="14704"/>
  <c r="D128" i="14704"/>
  <c r="F128" i="14704"/>
  <c r="T128" i="14704"/>
  <c r="H128" i="14704"/>
  <c r="V128" i="14704"/>
  <c r="J128" i="14704"/>
  <c r="K128" i="14704"/>
  <c r="L128" i="14704"/>
  <c r="M128" i="14704"/>
  <c r="B218" i="14704"/>
  <c r="P218" i="14704"/>
  <c r="E218" i="14704"/>
  <c r="D218" i="14704"/>
  <c r="R218" i="14704"/>
  <c r="T218" i="14704"/>
  <c r="G218" i="14704"/>
  <c r="U218" i="14704"/>
  <c r="V218" i="14704"/>
  <c r="W218" i="14704"/>
  <c r="K218" i="14704"/>
  <c r="Y218" i="14704"/>
  <c r="O218" i="14704"/>
  <c r="N218" i="14704"/>
  <c r="C218" i="14704"/>
  <c r="Q218" i="14704"/>
  <c r="F218" i="14704"/>
  <c r="S218" i="14704"/>
  <c r="H218" i="14704"/>
  <c r="I218" i="14704"/>
  <c r="J218" i="14704"/>
  <c r="X218" i="14704"/>
  <c r="L218" i="14704"/>
  <c r="M218" i="14704"/>
  <c r="Q19" i="14623"/>
  <c r="P19" i="14623"/>
  <c r="S19" i="14623"/>
  <c r="O19" i="14623"/>
  <c r="N19" i="14623"/>
  <c r="R19" i="14623"/>
  <c r="Q200" i="14701"/>
  <c r="E200" i="14701"/>
  <c r="F200" i="14701"/>
  <c r="S200" i="14701"/>
  <c r="T200" i="14701"/>
  <c r="I200" i="14701"/>
  <c r="O200" i="14701"/>
  <c r="J200" i="14701"/>
  <c r="N200" i="14701"/>
  <c r="K200" i="14701"/>
  <c r="X200" i="14701"/>
  <c r="Y200" i="14701"/>
  <c r="D200" i="14701"/>
  <c r="P200" i="14701"/>
  <c r="R200" i="14701"/>
  <c r="G200" i="14701"/>
  <c r="H200" i="14701"/>
  <c r="U200" i="14701"/>
  <c r="C200" i="14701"/>
  <c r="B200" i="14701"/>
  <c r="V200" i="14701"/>
  <c r="W200" i="14701"/>
  <c r="L200" i="14701"/>
  <c r="M200" i="14701"/>
  <c r="C128" i="14701"/>
  <c r="P128" i="14701"/>
  <c r="D128" i="14701"/>
  <c r="F128" i="14701"/>
  <c r="G128" i="14701"/>
  <c r="T128" i="14701"/>
  <c r="I128" i="14701"/>
  <c r="B128" i="14701"/>
  <c r="N128" i="14701"/>
  <c r="W128" i="14701"/>
  <c r="X128" i="14701"/>
  <c r="M128" i="14701"/>
  <c r="O128" i="14701"/>
  <c r="E128" i="14701"/>
  <c r="Q128" i="14701"/>
  <c r="R128" i="14701"/>
  <c r="S128" i="14701"/>
  <c r="H128" i="14701"/>
  <c r="U128" i="14701"/>
  <c r="V128" i="14701"/>
  <c r="J128" i="14701"/>
  <c r="K128" i="14701"/>
  <c r="L128" i="14701"/>
  <c r="Y128" i="14701"/>
  <c r="C90" i="14701"/>
  <c r="P90" i="14701"/>
  <c r="D90" i="14701"/>
  <c r="F90" i="14701"/>
  <c r="G90" i="14701"/>
  <c r="H90" i="14701"/>
  <c r="U90" i="14701"/>
  <c r="O90" i="14701"/>
  <c r="J90" i="14701"/>
  <c r="W90" i="14701"/>
  <c r="X90" i="14701"/>
  <c r="Y90" i="14701"/>
  <c r="Q90" i="14701"/>
  <c r="R90" i="14701"/>
  <c r="T90" i="14701"/>
  <c r="B90" i="14701"/>
  <c r="V90" i="14701"/>
  <c r="L90" i="14701"/>
  <c r="E90" i="14701"/>
  <c r="S90" i="14701"/>
  <c r="I90" i="14701"/>
  <c r="N90" i="14701"/>
  <c r="K90" i="14701"/>
  <c r="M90" i="14701"/>
  <c r="O110" i="14701"/>
  <c r="P110" i="14701"/>
  <c r="Q110" i="14701"/>
  <c r="R110" i="14701"/>
  <c r="S110" i="14701"/>
  <c r="H110" i="14701"/>
  <c r="U110" i="14701"/>
  <c r="J110" i="14701"/>
  <c r="N110" i="14701"/>
  <c r="W110" i="14701"/>
  <c r="X110" i="14701"/>
  <c r="Y110" i="14701"/>
  <c r="D110" i="14701"/>
  <c r="F110" i="14701"/>
  <c r="T110" i="14701"/>
  <c r="C110" i="14701"/>
  <c r="V110" i="14701"/>
  <c r="L110" i="14701"/>
  <c r="E110" i="14701"/>
  <c r="G110" i="14701"/>
  <c r="I110" i="14701"/>
  <c r="B110" i="14701"/>
  <c r="K110" i="14701"/>
  <c r="M110" i="14701"/>
  <c r="O164" i="14701"/>
  <c r="Q164" i="14701"/>
  <c r="E164" i="14701"/>
  <c r="R164" i="14701"/>
  <c r="S164" i="14701"/>
  <c r="T164" i="14701"/>
  <c r="U164" i="14701"/>
  <c r="N164" i="14701"/>
  <c r="C164" i="14701"/>
  <c r="W164" i="14701"/>
  <c r="L164" i="14701"/>
  <c r="Y164" i="14701"/>
  <c r="D164" i="14701"/>
  <c r="F164" i="14701"/>
  <c r="H164" i="14701"/>
  <c r="B164" i="14701"/>
  <c r="J164" i="14701"/>
  <c r="X164" i="14701"/>
  <c r="P164" i="14701"/>
  <c r="G164" i="14701"/>
  <c r="I164" i="14701"/>
  <c r="V164" i="14701"/>
  <c r="K164" i="14701"/>
  <c r="M164" i="14701"/>
  <c r="E146" i="14700"/>
  <c r="N146" i="14700"/>
  <c r="C146" i="14700"/>
  <c r="P146" i="14700"/>
  <c r="R146" i="14700"/>
  <c r="S146" i="14700"/>
  <c r="H146" i="14700"/>
  <c r="U146" i="14700"/>
  <c r="V146" i="14700"/>
  <c r="K146" i="14700"/>
  <c r="L146" i="14700"/>
  <c r="M146" i="14700"/>
  <c r="B146" i="14700"/>
  <c r="Q146" i="14700"/>
  <c r="G146" i="14700"/>
  <c r="I146" i="14700"/>
  <c r="W146" i="14700"/>
  <c r="Y146" i="14700"/>
  <c r="O146" i="14700"/>
  <c r="D146" i="14700"/>
  <c r="F146" i="14700"/>
  <c r="T146" i="14700"/>
  <c r="J146" i="14700"/>
  <c r="X146" i="14700"/>
  <c r="B164" i="14700"/>
  <c r="N164" i="14700"/>
  <c r="C164" i="14700"/>
  <c r="Q164" i="14700"/>
  <c r="R164" i="14700"/>
  <c r="G164" i="14700"/>
  <c r="T164" i="14700"/>
  <c r="I164" i="14700"/>
  <c r="J164" i="14700"/>
  <c r="W164" i="14700"/>
  <c r="L164" i="14700"/>
  <c r="M164" i="14700"/>
  <c r="E164" i="14700"/>
  <c r="P164" i="14700"/>
  <c r="S164" i="14700"/>
  <c r="U164" i="14700"/>
  <c r="K164" i="14700"/>
  <c r="Y164" i="14700"/>
  <c r="O164" i="14700"/>
  <c r="D164" i="14700"/>
  <c r="F164" i="14700"/>
  <c r="H164" i="14700"/>
  <c r="V164" i="14700"/>
  <c r="X164" i="14700"/>
  <c r="O90" i="14700"/>
  <c r="E90" i="14700"/>
  <c r="D90" i="14700"/>
  <c r="Q90" i="14700"/>
  <c r="F90" i="14700"/>
  <c r="G90" i="14700"/>
  <c r="T90" i="14700"/>
  <c r="U90" i="14700"/>
  <c r="J90" i="14700"/>
  <c r="K90" i="14700"/>
  <c r="L90" i="14700"/>
  <c r="Y90" i="14700"/>
  <c r="B90" i="14700"/>
  <c r="N90" i="14700"/>
  <c r="C90" i="14700"/>
  <c r="P90" i="14700"/>
  <c r="R90" i="14700"/>
  <c r="S90" i="14700"/>
  <c r="H90" i="14700"/>
  <c r="I90" i="14700"/>
  <c r="V90" i="14700"/>
  <c r="W90" i="14700"/>
  <c r="X90" i="14700"/>
  <c r="M90" i="14700"/>
  <c r="O182" i="14700"/>
  <c r="E182" i="14700"/>
  <c r="N182" i="14700"/>
  <c r="P182" i="14700"/>
  <c r="F182" i="14700"/>
  <c r="G182" i="14700"/>
  <c r="H182" i="14700"/>
  <c r="U182" i="14700"/>
  <c r="V182" i="14700"/>
  <c r="W182" i="14700"/>
  <c r="L182" i="14700"/>
  <c r="Y182" i="14700"/>
  <c r="B182" i="14700"/>
  <c r="C182" i="14700"/>
  <c r="D182" i="14700"/>
  <c r="Q182" i="14700"/>
  <c r="R182" i="14700"/>
  <c r="S182" i="14700"/>
  <c r="T182" i="14700"/>
  <c r="I182" i="14700"/>
  <c r="J182" i="14700"/>
  <c r="K182" i="14700"/>
  <c r="X182" i="14700"/>
  <c r="M182" i="14700"/>
  <c r="O110" i="14700"/>
  <c r="B110" i="14700"/>
  <c r="C110" i="14700"/>
  <c r="Q110" i="14700"/>
  <c r="R110" i="14700"/>
  <c r="G110" i="14700"/>
  <c r="T110" i="14700"/>
  <c r="I110" i="14700"/>
  <c r="V110" i="14700"/>
  <c r="K110" i="14700"/>
  <c r="L110" i="14700"/>
  <c r="Y110" i="14700"/>
  <c r="E110" i="14700"/>
  <c r="N110" i="14700"/>
  <c r="D110" i="14700"/>
  <c r="P110" i="14700"/>
  <c r="F110" i="14700"/>
  <c r="S110" i="14700"/>
  <c r="H110" i="14700"/>
  <c r="U110" i="14700"/>
  <c r="J110" i="14700"/>
  <c r="W110" i="14700"/>
  <c r="X110" i="14700"/>
  <c r="M110" i="14700"/>
  <c r="C182" i="14703"/>
  <c r="E182" i="14703"/>
  <c r="P182" i="14703"/>
  <c r="G182" i="14703"/>
  <c r="S182" i="14703"/>
  <c r="B182" i="14703"/>
  <c r="I182" i="14703"/>
  <c r="T182" i="14703"/>
  <c r="J182" i="14703"/>
  <c r="K182" i="14703"/>
  <c r="L182" i="14703"/>
  <c r="M182" i="14703"/>
  <c r="R182" i="14703"/>
  <c r="O182" i="14703"/>
  <c r="U182" i="14703"/>
  <c r="W182" i="14703"/>
  <c r="Y182" i="14703"/>
  <c r="D182" i="14703"/>
  <c r="F182" i="14703"/>
  <c r="H182" i="14703"/>
  <c r="N182" i="14703"/>
  <c r="V182" i="14703"/>
  <c r="X182" i="14703"/>
  <c r="Q182" i="14703"/>
  <c r="E146" i="14703"/>
  <c r="Q146" i="14703"/>
  <c r="F146" i="14703"/>
  <c r="R146" i="14703"/>
  <c r="H146" i="14703"/>
  <c r="B146" i="14703"/>
  <c r="T146" i="14703"/>
  <c r="U146" i="14703"/>
  <c r="V146" i="14703"/>
  <c r="W146" i="14703"/>
  <c r="X146" i="14703"/>
  <c r="C146" i="14703"/>
  <c r="P146" i="14703"/>
  <c r="S146" i="14703"/>
  <c r="O146" i="14703"/>
  <c r="J146" i="14703"/>
  <c r="Y146" i="14703"/>
  <c r="D146" i="14703"/>
  <c r="G146" i="14703"/>
  <c r="N146" i="14703"/>
  <c r="I146" i="14703"/>
  <c r="K146" i="14703"/>
  <c r="M146" i="14703"/>
  <c r="L146" i="14703"/>
  <c r="C218" i="14703"/>
  <c r="D218" i="14703"/>
  <c r="Q218" i="14703"/>
  <c r="G218" i="14703"/>
  <c r="H218" i="14703"/>
  <c r="B218" i="14703"/>
  <c r="T218" i="14703"/>
  <c r="I218" i="14703"/>
  <c r="U218" i="14703"/>
  <c r="V218" i="14703"/>
  <c r="L218" i="14703"/>
  <c r="M218" i="14703"/>
  <c r="E218" i="14703"/>
  <c r="P218" i="14703"/>
  <c r="F218" i="14703"/>
  <c r="R218" i="14703"/>
  <c r="S218" i="14703"/>
  <c r="O218" i="14703"/>
  <c r="N218" i="14703"/>
  <c r="J218" i="14703"/>
  <c r="K218" i="14703"/>
  <c r="W218" i="14703"/>
  <c r="X218" i="14703"/>
  <c r="Y218" i="14703"/>
  <c r="E128" i="14703"/>
  <c r="P128" i="14703"/>
  <c r="F128" i="14703"/>
  <c r="R128" i="14703"/>
  <c r="H128" i="14703"/>
  <c r="C128" i="14703"/>
  <c r="I128" i="14703"/>
  <c r="N128" i="14703"/>
  <c r="J128" i="14703"/>
  <c r="K128" i="14703"/>
  <c r="L128" i="14703"/>
  <c r="M128" i="14703"/>
  <c r="D128" i="14703"/>
  <c r="Q128" i="14703"/>
  <c r="G128" i="14703"/>
  <c r="S128" i="14703"/>
  <c r="O128" i="14703"/>
  <c r="T128" i="14703"/>
  <c r="B128" i="14703"/>
  <c r="U128" i="14703"/>
  <c r="V128" i="14703"/>
  <c r="W128" i="14703"/>
  <c r="X128" i="14703"/>
  <c r="Y128" i="14703"/>
  <c r="B81" i="14645"/>
  <c r="I81" i="14645"/>
  <c r="G81" i="14645"/>
  <c r="E81" i="14645"/>
  <c r="K81" i="14645"/>
  <c r="F81" i="14645"/>
  <c r="M81" i="14645"/>
  <c r="C81" i="14645"/>
  <c r="J81" i="14645"/>
  <c r="H81" i="14645"/>
  <c r="D81" i="14645"/>
  <c r="L81" i="14645"/>
  <c r="N81" i="14645"/>
  <c r="N218" i="14702"/>
  <c r="Q218" i="14702"/>
  <c r="E218" i="14702"/>
  <c r="F218" i="14702"/>
  <c r="S218" i="14702"/>
  <c r="T218" i="14702"/>
  <c r="I218" i="14702"/>
  <c r="O218" i="14702"/>
  <c r="B218" i="14702"/>
  <c r="K218" i="14702"/>
  <c r="L218" i="14702"/>
  <c r="M218" i="14702"/>
  <c r="P218" i="14702"/>
  <c r="D218" i="14702"/>
  <c r="R218" i="14702"/>
  <c r="G218" i="14702"/>
  <c r="H218" i="14702"/>
  <c r="U218" i="14702"/>
  <c r="C218" i="14702"/>
  <c r="V218" i="14702"/>
  <c r="J218" i="14702"/>
  <c r="W218" i="14702"/>
  <c r="X218" i="14702"/>
  <c r="Y218" i="14702"/>
  <c r="N164" i="14702"/>
  <c r="Q164" i="14702"/>
  <c r="D164" i="14702"/>
  <c r="F164" i="14702"/>
  <c r="S164" i="14702"/>
  <c r="H164" i="14702"/>
  <c r="U164" i="14702"/>
  <c r="O164" i="14702"/>
  <c r="J164" i="14702"/>
  <c r="K164" i="14702"/>
  <c r="X164" i="14702"/>
  <c r="M164" i="14702"/>
  <c r="P164" i="14702"/>
  <c r="E164" i="14702"/>
  <c r="R164" i="14702"/>
  <c r="G164" i="14702"/>
  <c r="T164" i="14702"/>
  <c r="I164" i="14702"/>
  <c r="C164" i="14702"/>
  <c r="V164" i="14702"/>
  <c r="B164" i="14702"/>
  <c r="W164" i="14702"/>
  <c r="L164" i="14702"/>
  <c r="Y164" i="14702"/>
  <c r="N110" i="14702"/>
  <c r="Q110" i="14702"/>
  <c r="E110" i="14702"/>
  <c r="F110" i="14702"/>
  <c r="G110" i="14702"/>
  <c r="T110" i="14702"/>
  <c r="U110" i="14702"/>
  <c r="J110" i="14702"/>
  <c r="O110" i="14702"/>
  <c r="W110" i="14702"/>
  <c r="X110" i="14702"/>
  <c r="M110" i="14702"/>
  <c r="P110" i="14702"/>
  <c r="D110" i="14702"/>
  <c r="R110" i="14702"/>
  <c r="S110" i="14702"/>
  <c r="H110" i="14702"/>
  <c r="I110" i="14702"/>
  <c r="B110" i="14702"/>
  <c r="C110" i="14702"/>
  <c r="V110" i="14702"/>
  <c r="K110" i="14702"/>
  <c r="L110" i="14702"/>
  <c r="Y110" i="14702"/>
  <c r="N128" i="14702"/>
  <c r="D128" i="14702"/>
  <c r="Q128" i="14702"/>
  <c r="F128" i="14702"/>
  <c r="S128" i="14702"/>
  <c r="T128" i="14702"/>
  <c r="U128" i="14702"/>
  <c r="O128" i="14702"/>
  <c r="J128" i="14702"/>
  <c r="W128" i="14702"/>
  <c r="X128" i="14702"/>
  <c r="M128" i="14702"/>
  <c r="P128" i="14702"/>
  <c r="E128" i="14702"/>
  <c r="R128" i="14702"/>
  <c r="G128" i="14702"/>
  <c r="H128" i="14702"/>
  <c r="I128" i="14702"/>
  <c r="C128" i="14702"/>
  <c r="V128" i="14702"/>
  <c r="B128" i="14702"/>
  <c r="K128" i="14702"/>
  <c r="L128" i="14702"/>
  <c r="Y128" i="14702"/>
  <c r="N146" i="14698"/>
  <c r="E146" i="14698"/>
  <c r="P146" i="14698"/>
  <c r="R146" i="14698"/>
  <c r="S146" i="14698"/>
  <c r="T146" i="14698"/>
  <c r="I146" i="14698"/>
  <c r="J146" i="14698"/>
  <c r="C146" i="14698"/>
  <c r="K146" i="14698"/>
  <c r="L146" i="14698"/>
  <c r="Y146" i="14698"/>
  <c r="Q146" i="14698"/>
  <c r="D146" i="14698"/>
  <c r="F146" i="14698"/>
  <c r="G146" i="14698"/>
  <c r="H146" i="14698"/>
  <c r="U146" i="14698"/>
  <c r="O146" i="14698"/>
  <c r="B146" i="14698"/>
  <c r="V146" i="14698"/>
  <c r="W146" i="14698"/>
  <c r="X146" i="14698"/>
  <c r="M146" i="14698"/>
  <c r="Q182" i="14698"/>
  <c r="E182" i="14698"/>
  <c r="P182" i="14698"/>
  <c r="F182" i="14698"/>
  <c r="S182" i="14698"/>
  <c r="T182" i="14698"/>
  <c r="U182" i="14698"/>
  <c r="B182" i="14698"/>
  <c r="C182" i="14698"/>
  <c r="K182" i="14698"/>
  <c r="X182" i="14698"/>
  <c r="Y182" i="14698"/>
  <c r="N182" i="14698"/>
  <c r="D182" i="14698"/>
  <c r="R182" i="14698"/>
  <c r="G182" i="14698"/>
  <c r="H182" i="14698"/>
  <c r="I182" i="14698"/>
  <c r="O182" i="14698"/>
  <c r="J182" i="14698"/>
  <c r="V182" i="14698"/>
  <c r="W182" i="14698"/>
  <c r="L182" i="14698"/>
  <c r="M182" i="14698"/>
  <c r="N236" i="14698"/>
  <c r="E236" i="14698"/>
  <c r="P236" i="14698"/>
  <c r="F236" i="14698"/>
  <c r="S236" i="14698"/>
  <c r="T236" i="14698"/>
  <c r="I236" i="14698"/>
  <c r="V236" i="14698"/>
  <c r="C236" i="14698"/>
  <c r="W236" i="14698"/>
  <c r="L236" i="14698"/>
  <c r="Y236" i="14698"/>
  <c r="Q236" i="14698"/>
  <c r="D236" i="14698"/>
  <c r="R236" i="14698"/>
  <c r="G236" i="14698"/>
  <c r="H236" i="14698"/>
  <c r="U236" i="14698"/>
  <c r="B236" i="14698"/>
  <c r="O236" i="14698"/>
  <c r="J236" i="14698"/>
  <c r="K236" i="14698"/>
  <c r="X236" i="14698"/>
  <c r="M236" i="14698"/>
  <c r="Q90" i="14698"/>
  <c r="D90" i="14698"/>
  <c r="R90" i="14698"/>
  <c r="S90" i="14698"/>
  <c r="T90" i="14698"/>
  <c r="I90" i="14698"/>
  <c r="B90" i="14698"/>
  <c r="J90" i="14698"/>
  <c r="V90" i="14698"/>
  <c r="W90" i="14698"/>
  <c r="L90" i="14698"/>
  <c r="M90" i="14698"/>
  <c r="E90" i="14698"/>
  <c r="F90" i="14698"/>
  <c r="H90" i="14698"/>
  <c r="C90" i="14698"/>
  <c r="K90" i="14698"/>
  <c r="Y90" i="14698"/>
  <c r="N90" i="14698"/>
  <c r="P90" i="14698"/>
  <c r="G90" i="14698"/>
  <c r="U90" i="14698"/>
  <c r="O90" i="14698"/>
  <c r="X90" i="14698"/>
  <c r="N110" i="14698"/>
  <c r="E110" i="14698"/>
  <c r="D110" i="14698"/>
  <c r="R110" i="14698"/>
  <c r="S110" i="14698"/>
  <c r="T110" i="14698"/>
  <c r="I110" i="14698"/>
  <c r="V110" i="14698"/>
  <c r="O110" i="14698"/>
  <c r="W110" i="14698"/>
  <c r="X110" i="14698"/>
  <c r="Y110" i="14698"/>
  <c r="P110" i="14698"/>
  <c r="G110" i="14698"/>
  <c r="U110" i="14698"/>
  <c r="J110" i="14698"/>
  <c r="K110" i="14698"/>
  <c r="M110" i="14698"/>
  <c r="Q110" i="14698"/>
  <c r="F110" i="14698"/>
  <c r="H110" i="14698"/>
  <c r="B110" i="14698"/>
  <c r="C110" i="14698"/>
  <c r="L110" i="14698"/>
  <c r="C7" i="14675" a="1"/>
  <c r="F46" i="14622"/>
  <c r="C7" i="14674" a="1"/>
  <c r="E46" i="14622"/>
  <c r="B101" i="14645"/>
  <c r="N101" i="14645"/>
  <c r="D101" i="14645"/>
  <c r="L101" i="14645"/>
  <c r="G101" i="14645"/>
  <c r="C101" i="14645"/>
  <c r="K101" i="14645"/>
  <c r="F101" i="14645"/>
  <c r="J101" i="14645"/>
  <c r="H101" i="14645"/>
  <c r="E101" i="14645"/>
  <c r="M101" i="14645"/>
  <c r="I101" i="14645"/>
  <c r="C6" i="11"/>
  <c r="D9" i="11"/>
  <c r="B44" i="14622"/>
  <c r="B46" i="14622" s="1"/>
  <c r="C19" i="14622"/>
  <c r="B18" i="14622"/>
  <c r="D16" i="14706"/>
  <c r="F17" i="14706"/>
  <c r="K47" i="14679"/>
  <c r="Q47" i="14679"/>
  <c r="J47" i="14679"/>
  <c r="O47" i="14679"/>
  <c r="L47" i="14679"/>
  <c r="S47" i="14679"/>
  <c r="P47" i="14679"/>
  <c r="H47" i="14679"/>
  <c r="R47" i="14679"/>
  <c r="N47" i="14679"/>
  <c r="C47" i="14679"/>
  <c r="F47" i="14679"/>
  <c r="I47" i="14679"/>
  <c r="B47" i="14679"/>
  <c r="D47" i="14679"/>
  <c r="E47" i="14679"/>
  <c r="G47" i="14679"/>
  <c r="M47" i="14679"/>
  <c r="O90" i="14704"/>
  <c r="N90" i="14704"/>
  <c r="E90" i="14704"/>
  <c r="D90" i="14704"/>
  <c r="F90" i="14704"/>
  <c r="S90" i="14704"/>
  <c r="H90" i="14704"/>
  <c r="I90" i="14704"/>
  <c r="J90" i="14704"/>
  <c r="K90" i="14704"/>
  <c r="L90" i="14704"/>
  <c r="M90" i="14704"/>
  <c r="P90" i="14704"/>
  <c r="B90" i="14704"/>
  <c r="C90" i="14704"/>
  <c r="Q90" i="14704"/>
  <c r="R90" i="14704"/>
  <c r="T90" i="14704"/>
  <c r="G90" i="14704"/>
  <c r="U90" i="14704"/>
  <c r="V90" i="14704"/>
  <c r="W90" i="14704"/>
  <c r="X90" i="14704"/>
  <c r="Y90" i="14704"/>
  <c r="O182" i="14704"/>
  <c r="N182" i="14704"/>
  <c r="E182" i="14704"/>
  <c r="D182" i="14704"/>
  <c r="F182" i="14704"/>
  <c r="S182" i="14704"/>
  <c r="H182" i="14704"/>
  <c r="I182" i="14704"/>
  <c r="J182" i="14704"/>
  <c r="K182" i="14704"/>
  <c r="L182" i="14704"/>
  <c r="M182" i="14704"/>
  <c r="B182" i="14704"/>
  <c r="P182" i="14704"/>
  <c r="C182" i="14704"/>
  <c r="Q182" i="14704"/>
  <c r="R182" i="14704"/>
  <c r="T182" i="14704"/>
  <c r="G182" i="14704"/>
  <c r="U182" i="14704"/>
  <c r="V182" i="14704"/>
  <c r="W182" i="14704"/>
  <c r="X182" i="14704"/>
  <c r="Y182" i="14704"/>
  <c r="O236" i="14704"/>
  <c r="P236" i="14704"/>
  <c r="E236" i="14704"/>
  <c r="D236" i="14704"/>
  <c r="F236" i="14704"/>
  <c r="T236" i="14704"/>
  <c r="G236" i="14704"/>
  <c r="U236" i="14704"/>
  <c r="V236" i="14704"/>
  <c r="J236" i="14704"/>
  <c r="X236" i="14704"/>
  <c r="Y236" i="14704"/>
  <c r="B236" i="14704"/>
  <c r="N236" i="14704"/>
  <c r="C236" i="14704"/>
  <c r="Q236" i="14704"/>
  <c r="R236" i="14704"/>
  <c r="S236" i="14704"/>
  <c r="H236" i="14704"/>
  <c r="I236" i="14704"/>
  <c r="W236" i="14704"/>
  <c r="K236" i="14704"/>
  <c r="L236" i="14704"/>
  <c r="M236" i="14704"/>
  <c r="O164" i="14704"/>
  <c r="B164" i="14704"/>
  <c r="C164" i="14704"/>
  <c r="Q164" i="14704"/>
  <c r="F164" i="14704"/>
  <c r="G164" i="14704"/>
  <c r="S164" i="14704"/>
  <c r="H164" i="14704"/>
  <c r="I164" i="14704"/>
  <c r="J164" i="14704"/>
  <c r="X164" i="14704"/>
  <c r="Y164" i="14704"/>
  <c r="P164" i="14704"/>
  <c r="N164" i="14704"/>
  <c r="E164" i="14704"/>
  <c r="D164" i="14704"/>
  <c r="R164" i="14704"/>
  <c r="T164" i="14704"/>
  <c r="U164" i="14704"/>
  <c r="V164" i="14704"/>
  <c r="W164" i="14704"/>
  <c r="K164" i="14704"/>
  <c r="L164" i="14704"/>
  <c r="M164" i="14704"/>
  <c r="K91" i="14645"/>
  <c r="J91" i="14645"/>
  <c r="H91" i="14645"/>
  <c r="E91" i="14645"/>
  <c r="G91" i="14645"/>
  <c r="D91" i="14645"/>
  <c r="B91" i="14645"/>
  <c r="N91" i="14645"/>
  <c r="C91" i="14645"/>
  <c r="L91" i="14645"/>
  <c r="I91" i="14645"/>
  <c r="F91" i="14645"/>
  <c r="M91" i="14645"/>
  <c r="F61" i="14645"/>
  <c r="B61" i="14645"/>
  <c r="L61" i="14645"/>
  <c r="G61" i="14645"/>
  <c r="H61" i="14645"/>
  <c r="M61" i="14645"/>
  <c r="C61" i="14645"/>
  <c r="K61" i="14645"/>
  <c r="E61" i="14645"/>
  <c r="J61" i="14645"/>
  <c r="D61" i="14645"/>
  <c r="N61" i="14645"/>
  <c r="I61" i="14645"/>
  <c r="O236" i="14701"/>
  <c r="D236" i="14701"/>
  <c r="P236" i="14701"/>
  <c r="R236" i="14701"/>
  <c r="G236" i="14701"/>
  <c r="T236" i="14701"/>
  <c r="I236" i="14701"/>
  <c r="B236" i="14701"/>
  <c r="J236" i="14701"/>
  <c r="W236" i="14701"/>
  <c r="L236" i="14701"/>
  <c r="Y236" i="14701"/>
  <c r="C236" i="14701"/>
  <c r="Q236" i="14701"/>
  <c r="E236" i="14701"/>
  <c r="F236" i="14701"/>
  <c r="S236" i="14701"/>
  <c r="H236" i="14701"/>
  <c r="U236" i="14701"/>
  <c r="N236" i="14701"/>
  <c r="V236" i="14701"/>
  <c r="K236" i="14701"/>
  <c r="X236" i="14701"/>
  <c r="M236" i="14701"/>
  <c r="O146" i="14701"/>
  <c r="Q146" i="14701"/>
  <c r="P146" i="14701"/>
  <c r="F146" i="14701"/>
  <c r="S146" i="14701"/>
  <c r="H146" i="14701"/>
  <c r="U146" i="14701"/>
  <c r="C146" i="14701"/>
  <c r="J146" i="14701"/>
  <c r="W146" i="14701"/>
  <c r="X146" i="14701"/>
  <c r="Y146" i="14701"/>
  <c r="D146" i="14701"/>
  <c r="E146" i="14701"/>
  <c r="R146" i="14701"/>
  <c r="G146" i="14701"/>
  <c r="T146" i="14701"/>
  <c r="I146" i="14701"/>
  <c r="B146" i="14701"/>
  <c r="N146" i="14701"/>
  <c r="V146" i="14701"/>
  <c r="K146" i="14701"/>
  <c r="L146" i="14701"/>
  <c r="M146" i="14701"/>
  <c r="O182" i="14701"/>
  <c r="E182" i="14701"/>
  <c r="Q182" i="14701"/>
  <c r="R182" i="14701"/>
  <c r="G182" i="14701"/>
  <c r="H182" i="14701"/>
  <c r="U182" i="14701"/>
  <c r="N182" i="14701"/>
  <c r="V182" i="14701"/>
  <c r="W182" i="14701"/>
  <c r="L182" i="14701"/>
  <c r="Y182" i="14701"/>
  <c r="P182" i="14701"/>
  <c r="F182" i="14701"/>
  <c r="T182" i="14701"/>
  <c r="C182" i="14701"/>
  <c r="B182" i="14701"/>
  <c r="X182" i="14701"/>
  <c r="D182" i="14701"/>
  <c r="S182" i="14701"/>
  <c r="I182" i="14701"/>
  <c r="J182" i="14701"/>
  <c r="K182" i="14701"/>
  <c r="M182" i="14701"/>
  <c r="D218" i="14701"/>
  <c r="P218" i="14701"/>
  <c r="F218" i="14701"/>
  <c r="G218" i="14701"/>
  <c r="T218" i="14701"/>
  <c r="U218" i="14701"/>
  <c r="O218" i="14701"/>
  <c r="J218" i="14701"/>
  <c r="B218" i="14701"/>
  <c r="K218" i="14701"/>
  <c r="X218" i="14701"/>
  <c r="M218" i="14701"/>
  <c r="Q218" i="14701"/>
  <c r="R218" i="14701"/>
  <c r="H218" i="14701"/>
  <c r="C218" i="14701"/>
  <c r="N218" i="14701"/>
  <c r="L218" i="14701"/>
  <c r="E218" i="14701"/>
  <c r="S218" i="14701"/>
  <c r="I218" i="14701"/>
  <c r="V218" i="14701"/>
  <c r="W218" i="14701"/>
  <c r="Y218" i="14701"/>
  <c r="Q19" i="14638"/>
  <c r="R19" i="14638"/>
  <c r="O19" i="14638"/>
  <c r="P19" i="14638"/>
  <c r="S19" i="14638"/>
  <c r="N19" i="14638"/>
  <c r="C6" i="14634" a="1"/>
  <c r="G6" i="14634" s="1"/>
  <c r="N60" i="14629"/>
  <c r="X125" i="14700"/>
  <c r="H50" i="14700"/>
  <c r="Y197" i="14700"/>
  <c r="D50" i="14700"/>
  <c r="C50" i="14700"/>
  <c r="G197" i="14700"/>
  <c r="M50" i="14700"/>
  <c r="I50" i="14700"/>
  <c r="L50" i="14700"/>
  <c r="T197" i="14700"/>
  <c r="M125" i="14700"/>
  <c r="P125" i="14700"/>
  <c r="S197" i="14700"/>
  <c r="I197" i="14700"/>
  <c r="N197" i="14700"/>
  <c r="K125" i="14700"/>
  <c r="G125" i="14700"/>
  <c r="E125" i="14700"/>
  <c r="J50" i="14700"/>
  <c r="G50" i="14700"/>
  <c r="F50" i="14700"/>
  <c r="K50" i="14700"/>
  <c r="E50" i="14700"/>
  <c r="M51" i="14700"/>
  <c r="B138" i="14707" a="1"/>
  <c r="H144" i="14707" s="1"/>
  <c r="F197" i="14700"/>
  <c r="W197" i="14700"/>
  <c r="B197" i="14700"/>
  <c r="D197" i="14700"/>
  <c r="O197" i="14700"/>
  <c r="M197" i="14700"/>
  <c r="Q125" i="14700"/>
  <c r="T125" i="14700"/>
  <c r="U125" i="14700"/>
  <c r="O125" i="14700"/>
  <c r="F125" i="14700"/>
  <c r="C125" i="14700"/>
  <c r="V197" i="14700"/>
  <c r="Q197" i="14700"/>
  <c r="H197" i="14700"/>
  <c r="X197" i="14700"/>
  <c r="K197" i="14700"/>
  <c r="U197" i="14700"/>
  <c r="P197" i="14700"/>
  <c r="J197" i="14700"/>
  <c r="L197" i="14700"/>
  <c r="C197" i="14700"/>
  <c r="R197" i="14700"/>
  <c r="B125" i="14700"/>
  <c r="Y125" i="14700"/>
  <c r="N125" i="14700"/>
  <c r="I125" i="14700"/>
  <c r="D125" i="14700"/>
  <c r="V125" i="14700"/>
  <c r="H125" i="14700"/>
  <c r="W125" i="14700"/>
  <c r="L125" i="14700"/>
  <c r="J125" i="14700"/>
  <c r="R125" i="14700"/>
  <c r="G51" i="14700"/>
  <c r="I51" i="14700"/>
  <c r="B51" i="14700"/>
  <c r="E51" i="14700"/>
  <c r="D51" i="14700"/>
  <c r="F51" i="14700"/>
  <c r="C51" i="14700"/>
  <c r="J51" i="14700"/>
  <c r="L51" i="14700"/>
  <c r="H51" i="14700"/>
  <c r="B65" i="14698" a="1"/>
  <c r="H49" i="14683"/>
  <c r="H55" i="14683"/>
  <c r="H54" i="14683"/>
  <c r="H56" i="14683"/>
  <c r="H52" i="14683"/>
  <c r="H51" i="14683"/>
  <c r="H53" i="14683"/>
  <c r="H50" i="14683"/>
  <c r="P215" i="14700"/>
  <c r="V215" i="14700"/>
  <c r="X215" i="14700"/>
  <c r="S215" i="14700"/>
  <c r="R215" i="14700"/>
  <c r="G215" i="14700"/>
  <c r="O215" i="14700"/>
  <c r="W215" i="14700"/>
  <c r="J215" i="14700"/>
  <c r="Q215" i="14700"/>
  <c r="U215" i="14700"/>
  <c r="B215" i="14700"/>
  <c r="C215" i="14700"/>
  <c r="H215" i="14700"/>
  <c r="K215" i="14700"/>
  <c r="I215" i="14700"/>
  <c r="Y215" i="14700"/>
  <c r="D215" i="14700"/>
  <c r="M215" i="14700"/>
  <c r="E215" i="14700"/>
  <c r="T215" i="14700"/>
  <c r="N215" i="14700"/>
  <c r="L215" i="14700"/>
  <c r="F215" i="14700"/>
  <c r="G53" i="14700"/>
  <c r="M53" i="14700"/>
  <c r="D53" i="14700"/>
  <c r="J53" i="14700"/>
  <c r="H53" i="14700"/>
  <c r="L53" i="14700"/>
  <c r="K53" i="14700"/>
  <c r="I53" i="14700"/>
  <c r="B53" i="14700"/>
  <c r="E53" i="14700"/>
  <c r="C53" i="14700"/>
  <c r="F53" i="14700"/>
  <c r="C233" i="14700"/>
  <c r="P233" i="14700"/>
  <c r="Q233" i="14700"/>
  <c r="G233" i="14700"/>
  <c r="F233" i="14700"/>
  <c r="J233" i="14700"/>
  <c r="S233" i="14700"/>
  <c r="X233" i="14700"/>
  <c r="D233" i="14700"/>
  <c r="T233" i="14700"/>
  <c r="E233" i="14700"/>
  <c r="B233" i="14700"/>
  <c r="L233" i="14700"/>
  <c r="K233" i="14700"/>
  <c r="N233" i="14700"/>
  <c r="H233" i="14700"/>
  <c r="V233" i="14700"/>
  <c r="U233" i="14700"/>
  <c r="Y233" i="14700"/>
  <c r="I233" i="14700"/>
  <c r="R233" i="14700"/>
  <c r="O233" i="14700"/>
  <c r="W233" i="14700"/>
  <c r="M233" i="14700"/>
  <c r="M47" i="14700"/>
  <c r="I47" i="14700"/>
  <c r="B47" i="14700"/>
  <c r="E47" i="14700"/>
  <c r="J47" i="14700"/>
  <c r="L47" i="14700"/>
  <c r="D47" i="14700"/>
  <c r="C47" i="14700"/>
  <c r="G47" i="14700"/>
  <c r="H47" i="14700"/>
  <c r="F47" i="14700"/>
  <c r="K47" i="14700"/>
  <c r="K161" i="14700"/>
  <c r="X161" i="14700"/>
  <c r="U161" i="14700"/>
  <c r="S161" i="14700"/>
  <c r="Y161" i="14700"/>
  <c r="F161" i="14700"/>
  <c r="Q161" i="14700"/>
  <c r="V161" i="14700"/>
  <c r="W161" i="14700"/>
  <c r="C161" i="14700"/>
  <c r="E161" i="14700"/>
  <c r="M161" i="14700"/>
  <c r="H161" i="14700"/>
  <c r="J161" i="14700"/>
  <c r="N161" i="14700"/>
  <c r="L161" i="14700"/>
  <c r="T161" i="14700"/>
  <c r="G161" i="14700"/>
  <c r="R161" i="14700"/>
  <c r="O161" i="14700"/>
  <c r="I161" i="14700"/>
  <c r="B161" i="14700"/>
  <c r="D161" i="14700"/>
  <c r="P161" i="14700"/>
  <c r="B66" i="14698" a="1"/>
  <c r="B68" i="14698"/>
  <c r="B62" i="14698" a="1"/>
  <c r="N47" i="14698"/>
  <c r="D54" i="14698"/>
  <c r="J54" i="14698"/>
  <c r="M54" i="14698"/>
  <c r="G54" i="14698"/>
  <c r="L54" i="14698"/>
  <c r="F54" i="14698"/>
  <c r="N49" i="14698"/>
  <c r="B60" i="14698" a="1"/>
  <c r="E179" i="14700"/>
  <c r="J179" i="14700"/>
  <c r="M179" i="14700"/>
  <c r="X179" i="14700"/>
  <c r="K179" i="14700"/>
  <c r="H179" i="14700"/>
  <c r="C179" i="14700"/>
  <c r="P179" i="14700"/>
  <c r="Q179" i="14700"/>
  <c r="O179" i="14700"/>
  <c r="T179" i="14700"/>
  <c r="F179" i="14700"/>
  <c r="N179" i="14700"/>
  <c r="U179" i="14700"/>
  <c r="S179" i="14700"/>
  <c r="D179" i="14700"/>
  <c r="W179" i="14700"/>
  <c r="R179" i="14700"/>
  <c r="I179" i="14700"/>
  <c r="G179" i="14700"/>
  <c r="Y179" i="14700"/>
  <c r="B179" i="14700"/>
  <c r="V179" i="14700"/>
  <c r="L179" i="14700"/>
  <c r="O7" i="14677"/>
  <c r="I87" i="14643"/>
  <c r="B61" i="14698" a="1"/>
  <c r="N251" i="14700"/>
  <c r="J251" i="14700"/>
  <c r="Q251" i="14700"/>
  <c r="H251" i="14700"/>
  <c r="Y251" i="14700"/>
  <c r="L251" i="14700"/>
  <c r="O251" i="14700"/>
  <c r="V251" i="14700"/>
  <c r="T251" i="14700"/>
  <c r="U251" i="14700"/>
  <c r="M251" i="14700"/>
  <c r="E251" i="14700"/>
  <c r="S251" i="14700"/>
  <c r="W251" i="14700"/>
  <c r="X251" i="14700"/>
  <c r="P251" i="14700"/>
  <c r="K251" i="14700"/>
  <c r="R251" i="14700"/>
  <c r="C251" i="14700"/>
  <c r="F251" i="14700"/>
  <c r="I251" i="14700"/>
  <c r="D251" i="14700"/>
  <c r="B251" i="14700"/>
  <c r="G251" i="14700"/>
  <c r="C52" i="14700"/>
  <c r="J52" i="14700"/>
  <c r="L52" i="14700"/>
  <c r="I52" i="14700"/>
  <c r="F52" i="14700"/>
  <c r="K52" i="14700"/>
  <c r="D52" i="14700"/>
  <c r="E52" i="14700"/>
  <c r="B52" i="14700"/>
  <c r="G52" i="14700"/>
  <c r="H52" i="14700"/>
  <c r="M52" i="14700"/>
  <c r="X143" i="14700"/>
  <c r="H143" i="14700"/>
  <c r="K143" i="14700"/>
  <c r="E143" i="14700"/>
  <c r="J143" i="14700"/>
  <c r="G143" i="14700"/>
  <c r="V143" i="14700"/>
  <c r="M143" i="14700"/>
  <c r="R143" i="14700"/>
  <c r="T143" i="14700"/>
  <c r="O143" i="14700"/>
  <c r="U143" i="14700"/>
  <c r="N143" i="14700"/>
  <c r="F143" i="14700"/>
  <c r="L143" i="14700"/>
  <c r="Y143" i="14700"/>
  <c r="Q143" i="14700"/>
  <c r="B143" i="14700"/>
  <c r="I143" i="14700"/>
  <c r="C143" i="14700"/>
  <c r="S143" i="14700"/>
  <c r="D143" i="14700"/>
  <c r="P143" i="14700"/>
  <c r="W143" i="14700"/>
  <c r="G48" i="14700"/>
  <c r="E48" i="14700"/>
  <c r="H48" i="14700"/>
  <c r="M48" i="14700"/>
  <c r="C48" i="14700"/>
  <c r="B48" i="14700"/>
  <c r="L48" i="14700"/>
  <c r="K48" i="14700"/>
  <c r="F48" i="14700"/>
  <c r="D48" i="14700"/>
  <c r="J48" i="14700"/>
  <c r="I48" i="14700"/>
  <c r="B59" i="14698" a="1"/>
  <c r="I57" i="14683"/>
  <c r="J49" i="14683" s="1" a="1"/>
  <c r="N50" i="14698"/>
  <c r="N51" i="14698"/>
  <c r="N52" i="14698"/>
  <c r="H57" i="14683"/>
  <c r="N48" i="14698"/>
  <c r="E46" i="14700"/>
  <c r="M46" i="14700"/>
  <c r="B46" i="14700"/>
  <c r="C46" i="14700"/>
  <c r="K46" i="14700"/>
  <c r="H46" i="14700"/>
  <c r="L46" i="14700"/>
  <c r="F46" i="14700"/>
  <c r="J46" i="14700"/>
  <c r="D46" i="14700"/>
  <c r="G46" i="14700"/>
  <c r="I46" i="14700"/>
  <c r="H79" i="14643"/>
  <c r="H81" i="14643"/>
  <c r="H80" i="14643"/>
  <c r="H82" i="14643"/>
  <c r="H86" i="14643"/>
  <c r="H83" i="14643"/>
  <c r="H84" i="14643"/>
  <c r="H85" i="14643"/>
  <c r="N53" i="14698"/>
  <c r="I54" i="14698"/>
  <c r="C54" i="14698"/>
  <c r="N46" i="14698"/>
  <c r="B54" i="14698"/>
  <c r="H54" i="14698"/>
  <c r="E54" i="14698"/>
  <c r="K54" i="14698"/>
  <c r="B63" i="14698" a="1"/>
  <c r="B64" i="14698" a="1"/>
  <c r="F49" i="14700"/>
  <c r="D49" i="14700"/>
  <c r="M49" i="14700"/>
  <c r="E49" i="14700"/>
  <c r="G49" i="14700"/>
  <c r="B49" i="14700"/>
  <c r="L49" i="14700"/>
  <c r="H49" i="14700"/>
  <c r="C49" i="14700"/>
  <c r="K49" i="14700"/>
  <c r="J49" i="14700"/>
  <c r="I49" i="14700"/>
  <c r="C22" i="14706"/>
  <c r="C49" i="14706"/>
  <c r="C18" i="14706"/>
  <c r="C8" i="14706"/>
  <c r="C12" i="14706"/>
  <c r="C14" i="14706"/>
  <c r="C10" i="14706"/>
  <c r="C7" i="14706"/>
  <c r="B54" i="14706"/>
  <c r="C20" i="14706"/>
  <c r="C17" i="14706"/>
  <c r="C16" i="14706"/>
  <c r="C24" i="14706" s="1"/>
  <c r="C21" i="14706"/>
  <c r="C19" i="14706"/>
  <c r="C9" i="14706"/>
  <c r="C11" i="14706"/>
  <c r="C13" i="14706"/>
  <c r="C6" i="14706"/>
  <c r="J13" i="14706"/>
  <c r="J15" i="14667"/>
  <c r="D16" i="4128"/>
  <c r="O63" i="14648" l="1"/>
  <c r="B33" i="14636"/>
  <c r="B34" i="14636"/>
  <c r="B35" i="14636"/>
  <c r="B36" i="14636"/>
  <c r="B37" i="14636"/>
  <c r="B38" i="14636"/>
  <c r="B39" i="14636"/>
  <c r="B40" i="14636"/>
  <c r="B41" i="14636"/>
  <c r="B42" i="14636"/>
  <c r="B43" i="14636"/>
  <c r="B44" i="14636"/>
  <c r="B45" i="14636"/>
  <c r="B46" i="14636"/>
  <c r="B47" i="14636"/>
  <c r="B48" i="14636"/>
  <c r="B49" i="14636"/>
  <c r="B50" i="14636"/>
  <c r="B51" i="14636"/>
  <c r="B52" i="14636"/>
  <c r="B53" i="14636"/>
  <c r="B54" i="14636"/>
  <c r="G37" i="14636"/>
  <c r="G38" i="14636"/>
  <c r="G43" i="14636"/>
  <c r="G47" i="14636"/>
  <c r="G52" i="14636"/>
  <c r="L41" i="14636"/>
  <c r="L53" i="14636"/>
  <c r="M35" i="14636"/>
  <c r="M41" i="14636"/>
  <c r="M48" i="14636"/>
  <c r="M54" i="14636"/>
  <c r="C33" i="14636"/>
  <c r="C34" i="14636"/>
  <c r="C35" i="14636"/>
  <c r="C36" i="14636"/>
  <c r="C37" i="14636"/>
  <c r="C38" i="14636"/>
  <c r="C39" i="14636"/>
  <c r="C40" i="14636"/>
  <c r="C41" i="14636"/>
  <c r="C42" i="14636"/>
  <c r="C43" i="14636"/>
  <c r="C44" i="14636"/>
  <c r="C45" i="14636"/>
  <c r="C46" i="14636"/>
  <c r="C47" i="14636"/>
  <c r="C48" i="14636"/>
  <c r="C49" i="14636"/>
  <c r="C50" i="14636"/>
  <c r="C51" i="14636"/>
  <c r="C52" i="14636"/>
  <c r="C53" i="14636"/>
  <c r="C54" i="14636"/>
  <c r="G35" i="14636"/>
  <c r="G39" i="14636"/>
  <c r="G44" i="14636"/>
  <c r="G49" i="14636"/>
  <c r="G54" i="14636"/>
  <c r="L38" i="14636"/>
  <c r="L47" i="14636"/>
  <c r="M40" i="14636"/>
  <c r="M44" i="14636"/>
  <c r="M50" i="14636"/>
  <c r="D33" i="14636"/>
  <c r="D34" i="14636"/>
  <c r="D35" i="14636"/>
  <c r="D36" i="14636"/>
  <c r="D37" i="14636"/>
  <c r="D38" i="14636"/>
  <c r="D39" i="14636"/>
  <c r="D40" i="14636"/>
  <c r="D41" i="14636"/>
  <c r="D42" i="14636"/>
  <c r="D43" i="14636"/>
  <c r="D44" i="14636"/>
  <c r="D45" i="14636"/>
  <c r="D46" i="14636"/>
  <c r="D47" i="14636"/>
  <c r="D48" i="14636"/>
  <c r="D49" i="14636"/>
  <c r="D50" i="14636"/>
  <c r="D51" i="14636"/>
  <c r="D52" i="14636"/>
  <c r="D53" i="14636"/>
  <c r="D54" i="14636"/>
  <c r="G36" i="14636"/>
  <c r="G41" i="14636"/>
  <c r="G46" i="14636"/>
  <c r="G51" i="14636"/>
  <c r="L35" i="14636"/>
  <c r="L46" i="14636"/>
  <c r="L54" i="14636"/>
  <c r="M36" i="14636"/>
  <c r="M42" i="14636"/>
  <c r="M51" i="14636"/>
  <c r="E33" i="14636"/>
  <c r="E34" i="14636"/>
  <c r="E35" i="14636"/>
  <c r="E36" i="14636"/>
  <c r="E37" i="14636"/>
  <c r="E38" i="14636"/>
  <c r="E39" i="14636"/>
  <c r="E40" i="14636"/>
  <c r="E41" i="14636"/>
  <c r="E42" i="14636"/>
  <c r="E43" i="14636"/>
  <c r="E44" i="14636"/>
  <c r="E45" i="14636"/>
  <c r="E46" i="14636"/>
  <c r="E47" i="14636"/>
  <c r="E48" i="14636"/>
  <c r="E49" i="14636"/>
  <c r="E50" i="14636"/>
  <c r="E51" i="14636"/>
  <c r="E52" i="14636"/>
  <c r="E53" i="14636"/>
  <c r="E54" i="14636"/>
  <c r="G34" i="14636"/>
  <c r="G40" i="14636"/>
  <c r="G45" i="14636"/>
  <c r="G50" i="14636"/>
  <c r="L36" i="14636"/>
  <c r="L52" i="14636"/>
  <c r="M38" i="14636"/>
  <c r="M45" i="14636"/>
  <c r="M53" i="14636"/>
  <c r="F33" i="14636"/>
  <c r="F34" i="14636"/>
  <c r="F35" i="14636"/>
  <c r="F36" i="14636"/>
  <c r="F37" i="14636"/>
  <c r="F38" i="14636"/>
  <c r="F39" i="14636"/>
  <c r="F40" i="14636"/>
  <c r="F41" i="14636"/>
  <c r="F42" i="14636"/>
  <c r="F43" i="14636"/>
  <c r="F44" i="14636"/>
  <c r="F45" i="14636"/>
  <c r="F46" i="14636"/>
  <c r="F47" i="14636"/>
  <c r="F48" i="14636"/>
  <c r="F49" i="14636"/>
  <c r="F50" i="14636"/>
  <c r="F51" i="14636"/>
  <c r="F52" i="14636"/>
  <c r="F53" i="14636"/>
  <c r="F54" i="14636"/>
  <c r="G33" i="14636"/>
  <c r="G42" i="14636"/>
  <c r="G48" i="14636"/>
  <c r="G53" i="14636"/>
  <c r="L40" i="14636"/>
  <c r="L50" i="14636"/>
  <c r="M37" i="14636"/>
  <c r="M47" i="14636"/>
  <c r="H33" i="14636"/>
  <c r="H34" i="14636"/>
  <c r="H35" i="14636"/>
  <c r="H36" i="14636"/>
  <c r="H37" i="14636"/>
  <c r="H38" i="14636"/>
  <c r="H39" i="14636"/>
  <c r="H40" i="14636"/>
  <c r="H41" i="14636"/>
  <c r="H42" i="14636"/>
  <c r="H43" i="14636"/>
  <c r="H44" i="14636"/>
  <c r="H45" i="14636"/>
  <c r="H46" i="14636"/>
  <c r="H47" i="14636"/>
  <c r="H48" i="14636"/>
  <c r="H49" i="14636"/>
  <c r="H50" i="14636"/>
  <c r="H51" i="14636"/>
  <c r="H52" i="14636"/>
  <c r="H53" i="14636"/>
  <c r="H54" i="14636"/>
  <c r="I39" i="14636"/>
  <c r="I44" i="14636"/>
  <c r="I46" i="14636"/>
  <c r="I48" i="14636"/>
  <c r="I50" i="14636"/>
  <c r="I51" i="14636"/>
  <c r="I53" i="14636"/>
  <c r="L42" i="14636"/>
  <c r="L48" i="14636"/>
  <c r="I33" i="14636"/>
  <c r="I34" i="14636"/>
  <c r="I35" i="14636"/>
  <c r="I36" i="14636"/>
  <c r="I37" i="14636"/>
  <c r="I38" i="14636"/>
  <c r="I40" i="14636"/>
  <c r="I41" i="14636"/>
  <c r="I42" i="14636"/>
  <c r="I43" i="14636"/>
  <c r="I45" i="14636"/>
  <c r="I47" i="14636"/>
  <c r="I49" i="14636"/>
  <c r="I52" i="14636"/>
  <c r="I54" i="14636"/>
  <c r="L45" i="14636"/>
  <c r="M39" i="14636"/>
  <c r="M49" i="14636"/>
  <c r="J33" i="14636"/>
  <c r="J34" i="14636"/>
  <c r="J35" i="14636"/>
  <c r="J36" i="14636"/>
  <c r="J37" i="14636"/>
  <c r="J38" i="14636"/>
  <c r="J39" i="14636"/>
  <c r="J40" i="14636"/>
  <c r="J41" i="14636"/>
  <c r="J42" i="14636"/>
  <c r="J43" i="14636"/>
  <c r="J44" i="14636"/>
  <c r="J45" i="14636"/>
  <c r="J46" i="14636"/>
  <c r="J47" i="14636"/>
  <c r="J48" i="14636"/>
  <c r="J49" i="14636"/>
  <c r="J50" i="14636"/>
  <c r="J51" i="14636"/>
  <c r="J52" i="14636"/>
  <c r="J53" i="14636"/>
  <c r="J54" i="14636"/>
  <c r="L33" i="14636"/>
  <c r="L37" i="14636"/>
  <c r="L43" i="14636"/>
  <c r="L49" i="14636"/>
  <c r="M33" i="14636"/>
  <c r="M43" i="14636"/>
  <c r="M52" i="14636"/>
  <c r="K33" i="14636"/>
  <c r="K34" i="14636"/>
  <c r="K35" i="14636"/>
  <c r="K36" i="14636"/>
  <c r="K37" i="14636"/>
  <c r="K38" i="14636"/>
  <c r="K39" i="14636"/>
  <c r="K40" i="14636"/>
  <c r="K41" i="14636"/>
  <c r="K42" i="14636"/>
  <c r="K43" i="14636"/>
  <c r="K44" i="14636"/>
  <c r="K45" i="14636"/>
  <c r="K46" i="14636"/>
  <c r="K47" i="14636"/>
  <c r="K48" i="14636"/>
  <c r="K49" i="14636"/>
  <c r="K50" i="14636"/>
  <c r="K51" i="14636"/>
  <c r="K52" i="14636"/>
  <c r="K53" i="14636"/>
  <c r="K54" i="14636"/>
  <c r="L34" i="14636"/>
  <c r="L39" i="14636"/>
  <c r="L44" i="14636"/>
  <c r="L51" i="14636"/>
  <c r="M34" i="14636"/>
  <c r="M46" i="14636"/>
  <c r="O6" i="14676"/>
  <c r="H92" i="14643" a="1"/>
  <c r="H99" i="14643" s="1"/>
  <c r="I96" i="14643"/>
  <c r="N42" i="14675"/>
  <c r="N7" i="14671"/>
  <c r="C40" i="14682"/>
  <c r="C37" i="14682"/>
  <c r="X22" i="14655"/>
  <c r="N14" i="14708"/>
  <c r="N20" i="14708" s="1"/>
  <c r="C38" i="14682"/>
  <c r="C35" i="14682"/>
  <c r="E11" i="14674"/>
  <c r="I11" i="14674"/>
  <c r="G11" i="14674"/>
  <c r="K11" i="14674"/>
  <c r="M11" i="14674"/>
  <c r="N11" i="14674"/>
  <c r="D11" i="14674"/>
  <c r="O11" i="14674"/>
  <c r="F11" i="14674"/>
  <c r="H11" i="14674"/>
  <c r="J11" i="14674"/>
  <c r="L11" i="14674"/>
  <c r="C11" i="14674"/>
  <c r="C36" i="14682"/>
  <c r="C33" i="14682"/>
  <c r="H42" i="14675"/>
  <c r="C34" i="14682"/>
  <c r="C31" i="14682"/>
  <c r="C32" i="14682"/>
  <c r="C29" i="14682"/>
  <c r="C30" i="14682"/>
  <c r="M7" i="14617"/>
  <c r="O5" i="14617"/>
  <c r="G35" i="4128"/>
  <c r="B39" i="14649" s="1" a="1"/>
  <c r="C50" i="14682"/>
  <c r="C47" i="14682"/>
  <c r="K5" i="14617"/>
  <c r="K7" i="14617"/>
  <c r="K6" i="14617"/>
  <c r="C48" i="14682"/>
  <c r="C45" i="14682"/>
  <c r="K42" i="14675"/>
  <c r="C46" i="14682"/>
  <c r="C43" i="14682"/>
  <c r="D100" i="14643"/>
  <c r="C6" i="14677" a="1"/>
  <c r="C78" i="14648" a="1"/>
  <c r="C44" i="14682"/>
  <c r="C41" i="14682"/>
  <c r="E42" i="14675"/>
  <c r="O41" i="14675"/>
  <c r="O42" i="14675" s="1"/>
  <c r="N17" i="14667"/>
  <c r="N11" i="14706"/>
  <c r="C42" i="14682"/>
  <c r="H15" i="14643"/>
  <c r="G15" i="14643"/>
  <c r="E15" i="14643"/>
  <c r="F15" i="14643"/>
  <c r="N16" i="14667"/>
  <c r="G23" i="4128" s="1"/>
  <c r="N12" i="14706"/>
  <c r="Y143" i="14701"/>
  <c r="M67" i="14704"/>
  <c r="N63" i="14704"/>
  <c r="K233" i="14701"/>
  <c r="T251" i="14701"/>
  <c r="C12" i="14628" a="1"/>
  <c r="D12" i="14628" s="1"/>
  <c r="R215" i="14701"/>
  <c r="L179" i="14701"/>
  <c r="X143" i="14701"/>
  <c r="F50" i="14701"/>
  <c r="N59" i="14704"/>
  <c r="O5" i="14628"/>
  <c r="O9" i="14628" s="1"/>
  <c r="O15" i="14628" s="1"/>
  <c r="M10" i="8" s="1"/>
  <c r="N10" i="8" s="1"/>
  <c r="I48" i="14701"/>
  <c r="Q233" i="14701"/>
  <c r="O233" i="14701"/>
  <c r="E179" i="14701"/>
  <c r="O251" i="14701"/>
  <c r="D143" i="14701"/>
  <c r="B143" i="14701"/>
  <c r="G49" i="14701"/>
  <c r="R143" i="14701"/>
  <c r="D15" i="14657"/>
  <c r="L46" i="14701"/>
  <c r="F233" i="14701"/>
  <c r="W233" i="14701"/>
  <c r="V233" i="14701"/>
  <c r="W179" i="14701"/>
  <c r="Y251" i="14701"/>
  <c r="B161" i="14701"/>
  <c r="B53" i="14701"/>
  <c r="L49" i="14701"/>
  <c r="I143" i="14701"/>
  <c r="I47" i="14701"/>
  <c r="M143" i="14701"/>
  <c r="B60" i="14702" a="1"/>
  <c r="M60" i="14702" s="1"/>
  <c r="F53" i="14632" a="1"/>
  <c r="F54" i="14632" s="1"/>
  <c r="B197" i="14701"/>
  <c r="I55" i="14623"/>
  <c r="G54" i="14632"/>
  <c r="H52" i="14701"/>
  <c r="Q197" i="14701"/>
  <c r="N197" i="14701"/>
  <c r="H48" i="14701"/>
  <c r="X233" i="14701"/>
  <c r="D233" i="14701"/>
  <c r="H233" i="14701"/>
  <c r="R233" i="14701"/>
  <c r="J233" i="14701"/>
  <c r="G233" i="14701"/>
  <c r="P215" i="14701"/>
  <c r="B215" i="14701"/>
  <c r="B179" i="14701"/>
  <c r="I179" i="14701"/>
  <c r="V179" i="14701"/>
  <c r="B46" i="14701"/>
  <c r="W251" i="14701"/>
  <c r="S251" i="14701"/>
  <c r="E251" i="14701"/>
  <c r="M161" i="14701"/>
  <c r="Q161" i="14701"/>
  <c r="J53" i="14701"/>
  <c r="F53" i="14701"/>
  <c r="E47" i="14701"/>
  <c r="M49" i="14701"/>
  <c r="U143" i="14701"/>
  <c r="K143" i="14701"/>
  <c r="L143" i="14701"/>
  <c r="D49" i="14701"/>
  <c r="Q143" i="14701"/>
  <c r="F143" i="14701"/>
  <c r="C143" i="14701"/>
  <c r="B47" i="14701"/>
  <c r="R55" i="14623"/>
  <c r="E52" i="14632" a="1"/>
  <c r="E53" i="14632" s="1"/>
  <c r="J55" i="14623"/>
  <c r="B62" i="14702" a="1"/>
  <c r="B62" i="14702" s="1"/>
  <c r="N65" i="14704"/>
  <c r="F52" i="14701"/>
  <c r="C197" i="14701"/>
  <c r="P197" i="14701"/>
  <c r="I197" i="14701"/>
  <c r="E50" i="14701"/>
  <c r="I51" i="14701"/>
  <c r="O55" i="14623"/>
  <c r="G55" i="14623"/>
  <c r="F55" i="14623"/>
  <c r="C233" i="14701"/>
  <c r="U233" i="14701"/>
  <c r="B233" i="14701"/>
  <c r="T233" i="14701"/>
  <c r="L233" i="14701"/>
  <c r="Y233" i="14701"/>
  <c r="N233" i="14701"/>
  <c r="M233" i="14701"/>
  <c r="P233" i="14701"/>
  <c r="S233" i="14701"/>
  <c r="E233" i="14701"/>
  <c r="H215" i="14701"/>
  <c r="O215" i="14701"/>
  <c r="E215" i="14701"/>
  <c r="C179" i="14701"/>
  <c r="S179" i="14701"/>
  <c r="N179" i="14701"/>
  <c r="H179" i="14701"/>
  <c r="Q179" i="14701"/>
  <c r="K179" i="14701"/>
  <c r="M46" i="14701"/>
  <c r="C251" i="14701"/>
  <c r="V251" i="14701"/>
  <c r="N251" i="14701"/>
  <c r="D251" i="14701"/>
  <c r="R251" i="14701"/>
  <c r="K251" i="14701"/>
  <c r="C161" i="14701"/>
  <c r="U161" i="14701"/>
  <c r="X161" i="14701"/>
  <c r="M53" i="14701"/>
  <c r="I53" i="14701"/>
  <c r="K53" i="14701"/>
  <c r="J47" i="14701"/>
  <c r="J49" i="14701"/>
  <c r="C49" i="14701"/>
  <c r="B49" i="14701"/>
  <c r="H143" i="14701"/>
  <c r="W143" i="14701"/>
  <c r="N143" i="14701"/>
  <c r="E143" i="14701"/>
  <c r="J143" i="14701"/>
  <c r="F47" i="14701"/>
  <c r="H49" i="14701"/>
  <c r="K49" i="14701"/>
  <c r="G143" i="14701"/>
  <c r="S143" i="14701"/>
  <c r="V143" i="14701"/>
  <c r="F49" i="14701"/>
  <c r="T143" i="14701"/>
  <c r="O143" i="14701"/>
  <c r="I49" i="14701"/>
  <c r="D67" i="14704"/>
  <c r="J67" i="14704"/>
  <c r="C67" i="14704"/>
  <c r="E67" i="14704"/>
  <c r="G67" i="14704"/>
  <c r="N46" i="14702"/>
  <c r="D51" i="14632" a="1"/>
  <c r="D52" i="14632" s="1"/>
  <c r="E55" i="14623"/>
  <c r="Q55" i="14623"/>
  <c r="H67" i="14704"/>
  <c r="N55" i="14623"/>
  <c r="C50" i="14632" a="1"/>
  <c r="C54" i="14632" s="1"/>
  <c r="M55" i="14623"/>
  <c r="N43" i="14623"/>
  <c r="D55" i="14623"/>
  <c r="L55" i="14623"/>
  <c r="P55" i="14623"/>
  <c r="B49" i="14632" a="1"/>
  <c r="B52" i="14632" s="1"/>
  <c r="G52" i="14701"/>
  <c r="H197" i="14701"/>
  <c r="U197" i="14701"/>
  <c r="E197" i="14701"/>
  <c r="S197" i="14701"/>
  <c r="F197" i="14701"/>
  <c r="R197" i="14701"/>
  <c r="C50" i="14701"/>
  <c r="P125" i="14701"/>
  <c r="J51" i="14701"/>
  <c r="K51" i="14701"/>
  <c r="C48" i="14701"/>
  <c r="B59" i="14702" a="1"/>
  <c r="E59" i="14702" s="1"/>
  <c r="N61" i="14704"/>
  <c r="N64" i="14704"/>
  <c r="H55" i="14623"/>
  <c r="K55" i="14623"/>
  <c r="C55" i="14623"/>
  <c r="N62" i="14704"/>
  <c r="L52" i="14701"/>
  <c r="M52" i="14701"/>
  <c r="J52" i="14701"/>
  <c r="J197" i="14701"/>
  <c r="K197" i="14701"/>
  <c r="G197" i="14701"/>
  <c r="D197" i="14701"/>
  <c r="O197" i="14701"/>
  <c r="T197" i="14701"/>
  <c r="V197" i="14701"/>
  <c r="W197" i="14701"/>
  <c r="L197" i="14701"/>
  <c r="Y197" i="14701"/>
  <c r="M197" i="14701"/>
  <c r="B50" i="14701"/>
  <c r="K50" i="14701"/>
  <c r="D50" i="14701"/>
  <c r="D51" i="14701"/>
  <c r="B51" i="14701"/>
  <c r="L48" i="14701"/>
  <c r="G48" i="14701"/>
  <c r="D48" i="14701"/>
  <c r="E51" i="14701"/>
  <c r="E48" i="14701"/>
  <c r="I67" i="14704"/>
  <c r="L67" i="14704"/>
  <c r="F67" i="14704"/>
  <c r="D215" i="14701"/>
  <c r="V215" i="14701"/>
  <c r="K215" i="14701"/>
  <c r="U215" i="14701"/>
  <c r="J215" i="14701"/>
  <c r="Q215" i="14701"/>
  <c r="D46" i="14701"/>
  <c r="K46" i="14701"/>
  <c r="C46" i="14701"/>
  <c r="N161" i="14701"/>
  <c r="S161" i="14701"/>
  <c r="G161" i="14701"/>
  <c r="P161" i="14701"/>
  <c r="E161" i="14701"/>
  <c r="R161" i="14701"/>
  <c r="B66" i="14702" a="1"/>
  <c r="K66" i="14702" s="1"/>
  <c r="B65" i="14702" a="1"/>
  <c r="I65" i="14702" s="1"/>
  <c r="N51" i="14702"/>
  <c r="E52" i="14701"/>
  <c r="K52" i="14701"/>
  <c r="I52" i="14701"/>
  <c r="B52" i="14701"/>
  <c r="D52" i="14701"/>
  <c r="C11" i="4128" a="1"/>
  <c r="C11" i="4128" s="1"/>
  <c r="F23" i="14708" s="1"/>
  <c r="F30" i="14708" s="1"/>
  <c r="J50" i="14701"/>
  <c r="I50" i="14701"/>
  <c r="L50" i="14701"/>
  <c r="G50" i="14701"/>
  <c r="M50" i="14701"/>
  <c r="X125" i="14701"/>
  <c r="C51" i="14701"/>
  <c r="F51" i="14701"/>
  <c r="L51" i="14701"/>
  <c r="K48" i="14701"/>
  <c r="J48" i="14701"/>
  <c r="F48" i="14701"/>
  <c r="M48" i="14701"/>
  <c r="M51" i="14701"/>
  <c r="H51" i="14701"/>
  <c r="E54" i="14702"/>
  <c r="M54" i="14702"/>
  <c r="N47" i="14702"/>
  <c r="J54" i="14702"/>
  <c r="B61" i="14702" a="1"/>
  <c r="F61" i="14702" s="1"/>
  <c r="B63" i="14702" a="1"/>
  <c r="M63" i="14702" s="1"/>
  <c r="B67" i="14704"/>
  <c r="B64" i="14702" a="1"/>
  <c r="L64" i="14702" s="1"/>
  <c r="G215" i="14701"/>
  <c r="L215" i="14701"/>
  <c r="X215" i="14701"/>
  <c r="S215" i="14701"/>
  <c r="C215" i="14701"/>
  <c r="Y215" i="14701"/>
  <c r="F215" i="14701"/>
  <c r="M215" i="14701"/>
  <c r="N215" i="14701"/>
  <c r="W215" i="14701"/>
  <c r="I215" i="14701"/>
  <c r="R179" i="14701"/>
  <c r="D179" i="14701"/>
  <c r="G179" i="14701"/>
  <c r="Y179" i="14701"/>
  <c r="J179" i="14701"/>
  <c r="F179" i="14701"/>
  <c r="P179" i="14701"/>
  <c r="X179" i="14701"/>
  <c r="U179" i="14701"/>
  <c r="O179" i="14701"/>
  <c r="T179" i="14701"/>
  <c r="E46" i="14701"/>
  <c r="G46" i="14701"/>
  <c r="F46" i="14701"/>
  <c r="H46" i="14701"/>
  <c r="I46" i="14701"/>
  <c r="X251" i="14701"/>
  <c r="U251" i="14701"/>
  <c r="Q251" i="14701"/>
  <c r="P251" i="14701"/>
  <c r="L251" i="14701"/>
  <c r="F251" i="14701"/>
  <c r="B251" i="14701"/>
  <c r="M251" i="14701"/>
  <c r="H251" i="14701"/>
  <c r="G251" i="14701"/>
  <c r="I251" i="14701"/>
  <c r="V161" i="14701"/>
  <c r="L161" i="14701"/>
  <c r="J161" i="14701"/>
  <c r="I161" i="14701"/>
  <c r="K161" i="14701"/>
  <c r="W161" i="14701"/>
  <c r="H161" i="14701"/>
  <c r="D161" i="14701"/>
  <c r="O161" i="14701"/>
  <c r="T161" i="14701"/>
  <c r="F161" i="14701"/>
  <c r="H53" i="14701"/>
  <c r="C53" i="14701"/>
  <c r="G53" i="14701"/>
  <c r="E53" i="14701"/>
  <c r="L53" i="14701"/>
  <c r="L47" i="14701"/>
  <c r="D47" i="14701"/>
  <c r="K47" i="14701"/>
  <c r="G47" i="14701"/>
  <c r="M47" i="14701"/>
  <c r="C47" i="14701"/>
  <c r="B68" i="14702"/>
  <c r="K67" i="14704"/>
  <c r="R125" i="14701"/>
  <c r="G54" i="14702"/>
  <c r="F54" i="14702"/>
  <c r="N50" i="14702"/>
  <c r="N53" i="14702"/>
  <c r="B125" i="14701"/>
  <c r="N125" i="14701"/>
  <c r="Y125" i="14701"/>
  <c r="I54" i="14702"/>
  <c r="H54" i="14702"/>
  <c r="N52" i="14702"/>
  <c r="B54" i="14702"/>
  <c r="C54" i="14702"/>
  <c r="D54" i="14702"/>
  <c r="U125" i="14701"/>
  <c r="C125" i="14701"/>
  <c r="D125" i="14701"/>
  <c r="T125" i="14701"/>
  <c r="H125" i="14701"/>
  <c r="W125" i="14701"/>
  <c r="L54" i="14702"/>
  <c r="N48" i="14702"/>
  <c r="N66" i="14704"/>
  <c r="K54" i="14702"/>
  <c r="N60" i="14704"/>
  <c r="K125" i="14701"/>
  <c r="M125" i="14701"/>
  <c r="S125" i="14701"/>
  <c r="O125" i="14701"/>
  <c r="G125" i="14701"/>
  <c r="F125" i="14701"/>
  <c r="E125" i="14701"/>
  <c r="Q125" i="14701"/>
  <c r="L125" i="14701"/>
  <c r="V125" i="14701"/>
  <c r="I125" i="14701"/>
  <c r="N49" i="14702"/>
  <c r="C6" i="14634"/>
  <c r="B47" i="14638" a="1"/>
  <c r="F16" i="14706"/>
  <c r="H17" i="14706"/>
  <c r="D7" i="14690" a="1"/>
  <c r="C82" i="14689" a="1"/>
  <c r="C16" i="14649"/>
  <c r="B24" i="14649" s="1"/>
  <c r="D6" i="11"/>
  <c r="D32" i="11" s="1"/>
  <c r="C32" i="11"/>
  <c r="B47" i="14623" a="1"/>
  <c r="B47" i="14678" a="1"/>
  <c r="N7" i="14639"/>
  <c r="I7" i="14639"/>
  <c r="H7" i="14639"/>
  <c r="E7" i="14639"/>
  <c r="L7" i="14639"/>
  <c r="J7" i="14639"/>
  <c r="M7" i="14639"/>
  <c r="G7" i="14639"/>
  <c r="K7" i="14639"/>
  <c r="D7" i="14639"/>
  <c r="F7" i="14639"/>
  <c r="C7" i="14639"/>
  <c r="M16" i="14662"/>
  <c r="M73" i="14662" s="1"/>
  <c r="B19" i="14659"/>
  <c r="G11" i="14626"/>
  <c r="G9" i="14626" s="1"/>
  <c r="G29" i="14626" s="1"/>
  <c r="D28" i="14667"/>
  <c r="D41" i="14706"/>
  <c r="L7" i="14674"/>
  <c r="J7" i="14674"/>
  <c r="M7" i="14674"/>
  <c r="E7" i="14674"/>
  <c r="G7" i="14674"/>
  <c r="H7" i="14674"/>
  <c r="D7" i="14674"/>
  <c r="F7" i="14674"/>
  <c r="C7" i="14674"/>
  <c r="N7" i="14674"/>
  <c r="K7" i="14674"/>
  <c r="I7" i="14674"/>
  <c r="G7" i="14675"/>
  <c r="E7" i="14675"/>
  <c r="N7" i="14675"/>
  <c r="F7" i="14675"/>
  <c r="J7" i="14675"/>
  <c r="H7" i="14675"/>
  <c r="I7" i="14675"/>
  <c r="D7" i="14675"/>
  <c r="L7" i="14675"/>
  <c r="K7" i="14675"/>
  <c r="C7" i="14675"/>
  <c r="M7" i="14675"/>
  <c r="H9" i="14667"/>
  <c r="F5" i="14667"/>
  <c r="I7" i="14634"/>
  <c r="J7" i="14634"/>
  <c r="E7" i="14634"/>
  <c r="F7" i="14634"/>
  <c r="H7" i="14634"/>
  <c r="D7" i="14634"/>
  <c r="K7" i="14634"/>
  <c r="C7" i="14634"/>
  <c r="N7" i="14634"/>
  <c r="L7" i="14634"/>
  <c r="G7" i="14634"/>
  <c r="M7" i="14634"/>
  <c r="B47" i="14632" a="1"/>
  <c r="H6" i="14634"/>
  <c r="J6" i="14634"/>
  <c r="F6" i="14634"/>
  <c r="L6" i="14634"/>
  <c r="K6" i="14634"/>
  <c r="M6" i="14634"/>
  <c r="D6" i="14634"/>
  <c r="E6" i="14634"/>
  <c r="I6" i="14634"/>
  <c r="N6" i="14634"/>
  <c r="E8" i="14643"/>
  <c r="F143" i="14707"/>
  <c r="D139" i="14707"/>
  <c r="C138" i="14707"/>
  <c r="H143" i="14707"/>
  <c r="D140" i="14707"/>
  <c r="I144" i="14707"/>
  <c r="D146" i="14707"/>
  <c r="D143" i="14707"/>
  <c r="D141" i="14707"/>
  <c r="D144" i="14707"/>
  <c r="G138" i="14707"/>
  <c r="H142" i="14707"/>
  <c r="J142" i="14707"/>
  <c r="H138" i="14707"/>
  <c r="F146" i="14707"/>
  <c r="G142" i="14707"/>
  <c r="F140" i="14707"/>
  <c r="E140" i="14707"/>
  <c r="C145" i="14707"/>
  <c r="I140" i="14707"/>
  <c r="C143" i="14707"/>
  <c r="J143" i="14707"/>
  <c r="E138" i="14707"/>
  <c r="D145" i="14707"/>
  <c r="H141" i="14707"/>
  <c r="I145" i="14707"/>
  <c r="J144" i="14707"/>
  <c r="B145" i="14707"/>
  <c r="G146" i="14707"/>
  <c r="I141" i="14707"/>
  <c r="G141" i="14707"/>
  <c r="J141" i="14707"/>
  <c r="H140" i="14707"/>
  <c r="E142" i="14707"/>
  <c r="G144" i="14707"/>
  <c r="C139" i="14707"/>
  <c r="E141" i="14707"/>
  <c r="H139" i="14707"/>
  <c r="F142" i="14707"/>
  <c r="E143" i="14707"/>
  <c r="B138" i="14707"/>
  <c r="E144" i="14707"/>
  <c r="I146" i="14707"/>
  <c r="B139" i="14707"/>
  <c r="C141" i="14707"/>
  <c r="B146" i="14707"/>
  <c r="C144" i="14707"/>
  <c r="N51" i="14700"/>
  <c r="B59" i="14700" a="1"/>
  <c r="I59" i="14700" s="1"/>
  <c r="N50" i="14700"/>
  <c r="E48" i="14649"/>
  <c r="J139" i="14707"/>
  <c r="D142" i="14707"/>
  <c r="B141" i="14707"/>
  <c r="I143" i="14707"/>
  <c r="B142" i="14707"/>
  <c r="J145" i="14707"/>
  <c r="I138" i="14707"/>
  <c r="J140" i="14707"/>
  <c r="I139" i="14707"/>
  <c r="E146" i="14707"/>
  <c r="C48" i="14649"/>
  <c r="D48" i="14649"/>
  <c r="C146" i="14707"/>
  <c r="B143" i="14707"/>
  <c r="H146" i="14707"/>
  <c r="F141" i="14707"/>
  <c r="C140" i="14707"/>
  <c r="F139" i="14707"/>
  <c r="F138" i="14707"/>
  <c r="G145" i="14707"/>
  <c r="E145" i="14707"/>
  <c r="B140" i="14707"/>
  <c r="B144" i="14707"/>
  <c r="D138" i="14707"/>
  <c r="F144" i="14707"/>
  <c r="J146" i="14707"/>
  <c r="I142" i="14707"/>
  <c r="G140" i="14707"/>
  <c r="H145" i="14707"/>
  <c r="E139" i="14707"/>
  <c r="G143" i="14707"/>
  <c r="F145" i="14707"/>
  <c r="G139" i="14707"/>
  <c r="C142" i="14707"/>
  <c r="J138" i="14707"/>
  <c r="B63" i="14700" a="1"/>
  <c r="B63" i="14700" s="1"/>
  <c r="B48" i="14649"/>
  <c r="B68" i="14700"/>
  <c r="B64" i="14700" a="1"/>
  <c r="L64" i="14700" s="1"/>
  <c r="I54" i="14700"/>
  <c r="D54" i="14700"/>
  <c r="H54" i="14700"/>
  <c r="J49" i="14683"/>
  <c r="J56" i="14683"/>
  <c r="J57" i="14683"/>
  <c r="J54" i="14683"/>
  <c r="J55" i="14683"/>
  <c r="J50" i="14683"/>
  <c r="J51" i="14683"/>
  <c r="J52" i="14683"/>
  <c r="J53" i="14683"/>
  <c r="N49" i="14700"/>
  <c r="F64" i="14698"/>
  <c r="C64" i="14698"/>
  <c r="M64" i="14698"/>
  <c r="E64" i="14698"/>
  <c r="G64" i="14698"/>
  <c r="D64" i="14698"/>
  <c r="J64" i="14698"/>
  <c r="I64" i="14698"/>
  <c r="H64" i="14698"/>
  <c r="L64" i="14698"/>
  <c r="K64" i="14698"/>
  <c r="B64" i="14698"/>
  <c r="N54" i="14698"/>
  <c r="G54" i="14700"/>
  <c r="J54" i="14700"/>
  <c r="L54" i="14700"/>
  <c r="K54" i="14700"/>
  <c r="B54" i="14700"/>
  <c r="N46" i="14700"/>
  <c r="E54" i="14700"/>
  <c r="L59" i="14698"/>
  <c r="C59" i="14698"/>
  <c r="D59" i="14698"/>
  <c r="J59" i="14698"/>
  <c r="H59" i="14698"/>
  <c r="G59" i="14698"/>
  <c r="K59" i="14698"/>
  <c r="B59" i="14698"/>
  <c r="E59" i="14698"/>
  <c r="M59" i="14698"/>
  <c r="I59" i="14698"/>
  <c r="F59" i="14698"/>
  <c r="B60" i="14700" a="1"/>
  <c r="N52" i="14700"/>
  <c r="B66" i="14700" a="1"/>
  <c r="B62" i="14700" a="1"/>
  <c r="J62" i="14698"/>
  <c r="K62" i="14698"/>
  <c r="M62" i="14698"/>
  <c r="B62" i="14698"/>
  <c r="C62" i="14698"/>
  <c r="G62" i="14698"/>
  <c r="I62" i="14698"/>
  <c r="H62" i="14698"/>
  <c r="E62" i="14698"/>
  <c r="L62" i="14698"/>
  <c r="F62" i="14698"/>
  <c r="D62" i="14698"/>
  <c r="J66" i="14698"/>
  <c r="D66" i="14698"/>
  <c r="E66" i="14698"/>
  <c r="H66" i="14698"/>
  <c r="C66" i="14698"/>
  <c r="M66" i="14698"/>
  <c r="G66" i="14698"/>
  <c r="B66" i="14698"/>
  <c r="I66" i="14698"/>
  <c r="L66" i="14698"/>
  <c r="K66" i="14698"/>
  <c r="F66" i="14698"/>
  <c r="B61" i="14700" a="1"/>
  <c r="N47" i="14700"/>
  <c r="B65" i="14700" a="1"/>
  <c r="N53" i="14700"/>
  <c r="M63" i="14698"/>
  <c r="E63" i="14698"/>
  <c r="J63" i="14698"/>
  <c r="C63" i="14698"/>
  <c r="F63" i="14698"/>
  <c r="D63" i="14698"/>
  <c r="H63" i="14698"/>
  <c r="B63" i="14698"/>
  <c r="L63" i="14698"/>
  <c r="I63" i="14698"/>
  <c r="G63" i="14698"/>
  <c r="K63" i="14698"/>
  <c r="F54" i="14700"/>
  <c r="C54" i="14700"/>
  <c r="M54" i="14700"/>
  <c r="N48" i="14700"/>
  <c r="G61" i="14698"/>
  <c r="H61" i="14698"/>
  <c r="I61" i="14698"/>
  <c r="B61" i="14698"/>
  <c r="J61" i="14698"/>
  <c r="L61" i="14698"/>
  <c r="E61" i="14698"/>
  <c r="D61" i="14698"/>
  <c r="C61" i="14698"/>
  <c r="K61" i="14698"/>
  <c r="F61" i="14698"/>
  <c r="M61" i="14698"/>
  <c r="M60" i="14698"/>
  <c r="B60" i="14698"/>
  <c r="J60" i="14698"/>
  <c r="G60" i="14698"/>
  <c r="H60" i="14698"/>
  <c r="E60" i="14698"/>
  <c r="K60" i="14698"/>
  <c r="L60" i="14698"/>
  <c r="I60" i="14698"/>
  <c r="D60" i="14698"/>
  <c r="F60" i="14698"/>
  <c r="C60" i="14698"/>
  <c r="H65" i="14698"/>
  <c r="C65" i="14698"/>
  <c r="E65" i="14698"/>
  <c r="I65" i="14698"/>
  <c r="F65" i="14698"/>
  <c r="M65" i="14698"/>
  <c r="D65" i="14698"/>
  <c r="J65" i="14698"/>
  <c r="K65" i="14698"/>
  <c r="G65" i="14698"/>
  <c r="B65" i="14698"/>
  <c r="L65" i="14698"/>
  <c r="L15" i="14667"/>
  <c r="E16" i="4128"/>
  <c r="L13" i="14706"/>
  <c r="I100" i="14643" l="1"/>
  <c r="X28" i="14655"/>
  <c r="H96" i="14643"/>
  <c r="H97" i="14643"/>
  <c r="H93" i="14643"/>
  <c r="H94" i="14643"/>
  <c r="H92" i="14643"/>
  <c r="H95" i="14643"/>
  <c r="H98" i="14643"/>
  <c r="C51" i="14682"/>
  <c r="C11" i="14675" a="1"/>
  <c r="D78" i="14648"/>
  <c r="I78" i="14648"/>
  <c r="H78" i="14648"/>
  <c r="K78" i="14648"/>
  <c r="G78" i="14648"/>
  <c r="F78" i="14648"/>
  <c r="J78" i="14648"/>
  <c r="M78" i="14648"/>
  <c r="N78" i="14648"/>
  <c r="L78" i="14648"/>
  <c r="C78" i="14648"/>
  <c r="E78" i="14648"/>
  <c r="C6" i="14677"/>
  <c r="L6" i="14677"/>
  <c r="G6" i="14677"/>
  <c r="E6" i="14677"/>
  <c r="I6" i="14677"/>
  <c r="K6" i="14677"/>
  <c r="H6" i="14677"/>
  <c r="J6" i="14677"/>
  <c r="D6" i="14677"/>
  <c r="M6" i="14677"/>
  <c r="F6" i="14677"/>
  <c r="N6" i="14677"/>
  <c r="D39" i="14649"/>
  <c r="B58" i="14649" s="1"/>
  <c r="F39" i="14649"/>
  <c r="B60" i="14649" s="1"/>
  <c r="C39" i="14649"/>
  <c r="B57" i="14649" s="1"/>
  <c r="E39" i="14649"/>
  <c r="B59" i="14649" s="1"/>
  <c r="B39" i="14649"/>
  <c r="N5" i="14617" a="1"/>
  <c r="N22" i="14708"/>
  <c r="F24" i="14708" s="1"/>
  <c r="M55" i="14636"/>
  <c r="F55" i="14636"/>
  <c r="B55" i="14636"/>
  <c r="N52" i="14636"/>
  <c r="K55" i="14636"/>
  <c r="G55" i="14636"/>
  <c r="C55" i="14636"/>
  <c r="J55" i="14636"/>
  <c r="H55" i="14636"/>
  <c r="L55" i="14636"/>
  <c r="D55" i="14636"/>
  <c r="I55" i="14636"/>
  <c r="E55" i="14636"/>
  <c r="N53" i="14636"/>
  <c r="N54" i="14636"/>
  <c r="F60" i="14636"/>
  <c r="I60" i="14636"/>
  <c r="H60" i="14636"/>
  <c r="K60" i="14636"/>
  <c r="L60" i="14636"/>
  <c r="B60" i="14636"/>
  <c r="J60" i="14636"/>
  <c r="E60" i="14636"/>
  <c r="M60" i="14636"/>
  <c r="C60" i="14636"/>
  <c r="G60" i="14636"/>
  <c r="D60" i="14636"/>
  <c r="F54" i="14701"/>
  <c r="B9" i="14617" a="1"/>
  <c r="B9" i="14617" s="1"/>
  <c r="I60" i="14702"/>
  <c r="B53" i="14632"/>
  <c r="C50" i="14632"/>
  <c r="H60" i="14702"/>
  <c r="K64" i="14702"/>
  <c r="D64" i="14702"/>
  <c r="C65" i="14702"/>
  <c r="F63" i="14702"/>
  <c r="L60" i="14702"/>
  <c r="E64" i="14702"/>
  <c r="B49" i="14632"/>
  <c r="C52" i="14632"/>
  <c r="F65" i="14702"/>
  <c r="G60" i="14702"/>
  <c r="K60" i="14702"/>
  <c r="D60" i="14702"/>
  <c r="C63" i="14702"/>
  <c r="G63" i="14702"/>
  <c r="E63" i="14702"/>
  <c r="B60" i="14702"/>
  <c r="B54" i="14632"/>
  <c r="C51" i="14632"/>
  <c r="H65" i="14702"/>
  <c r="B65" i="14702"/>
  <c r="J60" i="14702"/>
  <c r="C60" i="14702"/>
  <c r="K65" i="14702"/>
  <c r="E65" i="14702"/>
  <c r="F60" i="14702"/>
  <c r="E60" i="14702"/>
  <c r="L63" i="14702"/>
  <c r="F64" i="14702"/>
  <c r="C64" i="14702"/>
  <c r="K63" i="14702"/>
  <c r="I64" i="14702"/>
  <c r="M64" i="14702"/>
  <c r="I12" i="14628"/>
  <c r="D51" i="14632"/>
  <c r="I59" i="14702"/>
  <c r="G12" i="14628"/>
  <c r="J12" i="14628"/>
  <c r="M12" i="14628"/>
  <c r="N12" i="14628"/>
  <c r="F12" i="14628"/>
  <c r="C15" i="14625" a="1"/>
  <c r="H15" i="14625" s="1"/>
  <c r="H54" i="14701"/>
  <c r="F53" i="14632"/>
  <c r="J59" i="14702"/>
  <c r="J62" i="14702"/>
  <c r="M62" i="14702"/>
  <c r="L59" i="14702"/>
  <c r="C12" i="14628"/>
  <c r="K12" i="14628"/>
  <c r="E12" i="14628"/>
  <c r="L12" i="14628"/>
  <c r="H12" i="14628"/>
  <c r="E52" i="14632"/>
  <c r="D53" i="14632"/>
  <c r="C59" i="14702"/>
  <c r="J66" i="14702"/>
  <c r="B61" i="14702"/>
  <c r="H66" i="14702"/>
  <c r="I62" i="14702"/>
  <c r="C62" i="14702"/>
  <c r="C66" i="14702"/>
  <c r="B11" i="8" a="1"/>
  <c r="L11" i="8" s="1"/>
  <c r="B60" i="14701" a="1"/>
  <c r="K60" i="14701" s="1"/>
  <c r="B65" i="14701" a="1"/>
  <c r="F65" i="14701" s="1"/>
  <c r="E54" i="14632"/>
  <c r="D54" i="14632"/>
  <c r="G11" i="4128"/>
  <c r="N23" i="14708" s="1"/>
  <c r="B66" i="14702"/>
  <c r="M59" i="14702"/>
  <c r="K59" i="14702"/>
  <c r="D59" i="14702"/>
  <c r="H59" i="14702"/>
  <c r="B59" i="14702"/>
  <c r="E62" i="14702"/>
  <c r="K62" i="14702"/>
  <c r="F62" i="14702"/>
  <c r="F59" i="14702"/>
  <c r="H62" i="14702"/>
  <c r="G59" i="14702"/>
  <c r="D62" i="14702"/>
  <c r="L62" i="14702"/>
  <c r="G62" i="14702"/>
  <c r="B62" i="14701" a="1"/>
  <c r="H62" i="14701" s="1"/>
  <c r="B61" i="14701" a="1"/>
  <c r="G61" i="14701" s="1"/>
  <c r="B63" i="14701" a="1"/>
  <c r="B63" i="14701" s="1"/>
  <c r="N67" i="14704"/>
  <c r="N49" i="14701"/>
  <c r="J54" i="14701"/>
  <c r="B66" i="14701" a="1"/>
  <c r="L66" i="14701" s="1"/>
  <c r="S57" i="14623"/>
  <c r="F29" i="14706" s="1"/>
  <c r="B51" i="14632"/>
  <c r="B50" i="14632"/>
  <c r="C53" i="14632"/>
  <c r="J65" i="14702"/>
  <c r="D65" i="14702"/>
  <c r="M65" i="14702"/>
  <c r="L65" i="14702"/>
  <c r="G65" i="14702"/>
  <c r="B63" i="14702"/>
  <c r="I63" i="14702"/>
  <c r="G64" i="14702"/>
  <c r="H64" i="14702"/>
  <c r="D63" i="14702"/>
  <c r="B64" i="14702"/>
  <c r="H63" i="14702"/>
  <c r="J64" i="14702"/>
  <c r="J63" i="14702"/>
  <c r="M54" i="14701"/>
  <c r="K54" i="14701"/>
  <c r="I54" i="14701"/>
  <c r="B64" i="14701" a="1"/>
  <c r="M64" i="14701" s="1"/>
  <c r="N48" i="14701"/>
  <c r="B54" i="14701"/>
  <c r="D54" i="14701"/>
  <c r="E66" i="14702"/>
  <c r="K61" i="14702"/>
  <c r="N53" i="14701"/>
  <c r="N51" i="14701"/>
  <c r="E11" i="4128"/>
  <c r="J23" i="14708" s="1"/>
  <c r="J30" i="14708" s="1"/>
  <c r="J31" i="14708" s="1"/>
  <c r="D11" i="4128"/>
  <c r="H23" i="14708" s="1"/>
  <c r="H30" i="14708" s="1"/>
  <c r="H31" i="14708" s="1"/>
  <c r="M66" i="14702"/>
  <c r="L66" i="14702"/>
  <c r="F66" i="14702"/>
  <c r="D66" i="14702"/>
  <c r="I66" i="14702"/>
  <c r="E61" i="14702"/>
  <c r="G66" i="14702"/>
  <c r="J61" i="14702"/>
  <c r="G61" i="14702"/>
  <c r="G54" i="14701"/>
  <c r="N47" i="14701"/>
  <c r="E54" i="14701"/>
  <c r="F11" i="4128"/>
  <c r="L23" i="14708" s="1"/>
  <c r="L30" i="14708" s="1"/>
  <c r="L31" i="14708" s="1"/>
  <c r="N52" i="14701"/>
  <c r="N50" i="14701"/>
  <c r="I61" i="14702"/>
  <c r="D61" i="14702"/>
  <c r="H61" i="14702"/>
  <c r="M61" i="14702"/>
  <c r="L61" i="14702"/>
  <c r="C61" i="14702"/>
  <c r="B68" i="14701"/>
  <c r="C54" i="14701"/>
  <c r="L54" i="14701"/>
  <c r="N46" i="14701"/>
  <c r="N54" i="14702"/>
  <c r="B59" i="14701" a="1"/>
  <c r="I59" i="14701" s="1"/>
  <c r="R47" i="14632"/>
  <c r="O47" i="14632"/>
  <c r="Q47" i="14632"/>
  <c r="E47" i="14632"/>
  <c r="N47" i="14632"/>
  <c r="F47" i="14632"/>
  <c r="J47" i="14632"/>
  <c r="L47" i="14632"/>
  <c r="M47" i="14632"/>
  <c r="S47" i="14632"/>
  <c r="B47" i="14632"/>
  <c r="C47" i="14632"/>
  <c r="D47" i="14632"/>
  <c r="G47" i="14632"/>
  <c r="K47" i="14632"/>
  <c r="H47" i="14632"/>
  <c r="I47" i="14632"/>
  <c r="P47" i="14632"/>
  <c r="J9" i="14667"/>
  <c r="H5" i="14667"/>
  <c r="O7" i="14675"/>
  <c r="O7" i="14674"/>
  <c r="F28" i="14667"/>
  <c r="D26" i="14667"/>
  <c r="D18" i="14659"/>
  <c r="B20" i="14659"/>
  <c r="F20" i="14667" s="1"/>
  <c r="F19" i="14659"/>
  <c r="C19" i="14659"/>
  <c r="O7" i="14639"/>
  <c r="S47" i="14678"/>
  <c r="R47" i="14678"/>
  <c r="Q47" i="14678"/>
  <c r="N47" i="14678"/>
  <c r="D47" i="14678"/>
  <c r="F47" i="14678"/>
  <c r="B47" i="14678"/>
  <c r="O47" i="14678"/>
  <c r="L47" i="14678"/>
  <c r="M47" i="14678"/>
  <c r="H47" i="14678"/>
  <c r="E47" i="14678"/>
  <c r="G47" i="14678"/>
  <c r="C47" i="14678"/>
  <c r="K47" i="14678"/>
  <c r="I47" i="14678"/>
  <c r="J47" i="14678"/>
  <c r="P47" i="14678"/>
  <c r="H26" i="14622"/>
  <c r="C15" i="14649"/>
  <c r="G7" i="14690"/>
  <c r="G9" i="14690" s="1"/>
  <c r="F7" i="14690"/>
  <c r="F9" i="14690" s="1"/>
  <c r="D7" i="14690"/>
  <c r="D9" i="14690" s="1"/>
  <c r="H7" i="14690"/>
  <c r="H9" i="14690" s="1"/>
  <c r="E7" i="14690"/>
  <c r="E9" i="14690" s="1"/>
  <c r="O7" i="14634"/>
  <c r="F41" i="14706"/>
  <c r="D39" i="14706"/>
  <c r="N47" i="14623"/>
  <c r="C47" i="14623"/>
  <c r="O47" i="14623"/>
  <c r="D47" i="14623"/>
  <c r="I47" i="14623"/>
  <c r="G47" i="14623"/>
  <c r="J47" i="14623"/>
  <c r="E47" i="14623"/>
  <c r="S47" i="14623"/>
  <c r="B47" i="14623"/>
  <c r="K47" i="14623"/>
  <c r="L47" i="14623"/>
  <c r="F47" i="14623"/>
  <c r="M47" i="14623"/>
  <c r="H47" i="14623"/>
  <c r="R47" i="14623"/>
  <c r="P47" i="14623"/>
  <c r="Q47" i="14623"/>
  <c r="E22" i="11" a="1"/>
  <c r="B26" i="14622"/>
  <c r="B28" i="14622" s="1"/>
  <c r="E32" i="11"/>
  <c r="E6" i="11" a="1"/>
  <c r="E16" i="11" a="1"/>
  <c r="F82" i="14689"/>
  <c r="G82" i="14689"/>
  <c r="E82" i="14689"/>
  <c r="D82" i="14689"/>
  <c r="C82" i="14689"/>
  <c r="J17" i="14706"/>
  <c r="H16" i="14706"/>
  <c r="N47" i="14638"/>
  <c r="S47" i="14638"/>
  <c r="P47" i="14638"/>
  <c r="E47" i="14638"/>
  <c r="G47" i="14638"/>
  <c r="B47" i="14638"/>
  <c r="I47" i="14638"/>
  <c r="J47" i="14638"/>
  <c r="M47" i="14638"/>
  <c r="O47" i="14638"/>
  <c r="D47" i="14638"/>
  <c r="F47" i="14638"/>
  <c r="C47" i="14638"/>
  <c r="L47" i="14638"/>
  <c r="K47" i="14638"/>
  <c r="H47" i="14638"/>
  <c r="Q47" i="14638"/>
  <c r="R47" i="14638"/>
  <c r="N39" i="14636"/>
  <c r="N45" i="14636"/>
  <c r="N49" i="14636"/>
  <c r="O6" i="14634"/>
  <c r="N50" i="14636"/>
  <c r="N46" i="14636"/>
  <c r="N36" i="14636"/>
  <c r="N34" i="14636"/>
  <c r="N35" i="14636"/>
  <c r="N47" i="14636"/>
  <c r="N40" i="14636"/>
  <c r="N41" i="14636"/>
  <c r="N44" i="14636"/>
  <c r="N33" i="14636"/>
  <c r="N37" i="14636"/>
  <c r="N48" i="14636"/>
  <c r="N38" i="14636"/>
  <c r="N43" i="14636"/>
  <c r="N51" i="14636"/>
  <c r="N42" i="14636"/>
  <c r="L59" i="14700"/>
  <c r="F64" i="14700"/>
  <c r="D59" i="14700"/>
  <c r="M64" i="14700"/>
  <c r="G63" i="14700"/>
  <c r="F59" i="14700"/>
  <c r="D64" i="14700"/>
  <c r="F63" i="14700"/>
  <c r="D63" i="14700"/>
  <c r="J59" i="14700"/>
  <c r="K59" i="14700"/>
  <c r="C59" i="14700"/>
  <c r="J64" i="14700"/>
  <c r="B64" i="14700"/>
  <c r="I64" i="14700"/>
  <c r="J63" i="14700"/>
  <c r="H63" i="14700"/>
  <c r="E63" i="14700"/>
  <c r="G59" i="14700"/>
  <c r="E59" i="14700"/>
  <c r="H59" i="14700"/>
  <c r="M59" i="14700"/>
  <c r="B59" i="14700"/>
  <c r="M63" i="14700"/>
  <c r="C63" i="14700"/>
  <c r="I63" i="14700"/>
  <c r="L63" i="14700"/>
  <c r="K63" i="14700"/>
  <c r="K64" i="14700"/>
  <c r="E64" i="14700"/>
  <c r="C64" i="14700"/>
  <c r="G64" i="14700"/>
  <c r="H64" i="14700"/>
  <c r="N64" i="14698"/>
  <c r="E62" i="14700"/>
  <c r="B62" i="14700"/>
  <c r="K62" i="14700"/>
  <c r="J62" i="14700"/>
  <c r="H62" i="14700"/>
  <c r="M62" i="14700"/>
  <c r="C62" i="14700"/>
  <c r="D62" i="14700"/>
  <c r="F62" i="14700"/>
  <c r="I62" i="14700"/>
  <c r="G62" i="14700"/>
  <c r="L62" i="14700"/>
  <c r="F67" i="14698"/>
  <c r="M67" i="14698"/>
  <c r="N59" i="14698"/>
  <c r="B67" i="14698"/>
  <c r="B35" i="14632" a="1"/>
  <c r="G67" i="14698"/>
  <c r="J67" i="14698"/>
  <c r="C67" i="14698"/>
  <c r="N54" i="14700"/>
  <c r="N65" i="14698"/>
  <c r="F31" i="14708"/>
  <c r="N60" i="14698"/>
  <c r="N61" i="14698"/>
  <c r="N63" i="14698"/>
  <c r="C65" i="14700"/>
  <c r="D65" i="14700"/>
  <c r="K65" i="14700"/>
  <c r="B65" i="14700"/>
  <c r="G65" i="14700"/>
  <c r="J65" i="14700"/>
  <c r="H65" i="14700"/>
  <c r="I65" i="14700"/>
  <c r="E65" i="14700"/>
  <c r="M65" i="14700"/>
  <c r="F65" i="14700"/>
  <c r="L65" i="14700"/>
  <c r="H61" i="14700"/>
  <c r="M61" i="14700"/>
  <c r="J61" i="14700"/>
  <c r="G61" i="14700"/>
  <c r="I61" i="14700"/>
  <c r="B61" i="14700"/>
  <c r="C61" i="14700"/>
  <c r="K61" i="14700"/>
  <c r="L61" i="14700"/>
  <c r="E61" i="14700"/>
  <c r="F61" i="14700"/>
  <c r="D61" i="14700"/>
  <c r="N66" i="14698"/>
  <c r="N62" i="14698"/>
  <c r="F66" i="14700"/>
  <c r="B66" i="14700"/>
  <c r="M66" i="14700"/>
  <c r="H66" i="14700"/>
  <c r="E66" i="14700"/>
  <c r="K66" i="14700"/>
  <c r="C66" i="14700"/>
  <c r="I66" i="14700"/>
  <c r="L66" i="14700"/>
  <c r="D66" i="14700"/>
  <c r="J66" i="14700"/>
  <c r="G66" i="14700"/>
  <c r="G60" i="14700"/>
  <c r="M60" i="14700"/>
  <c r="D60" i="14700"/>
  <c r="C60" i="14700"/>
  <c r="J60" i="14700"/>
  <c r="K60" i="14700"/>
  <c r="F60" i="14700"/>
  <c r="E60" i="14700"/>
  <c r="I60" i="14700"/>
  <c r="H60" i="14700"/>
  <c r="L60" i="14700"/>
  <c r="B60" i="14700"/>
  <c r="I67" i="14698"/>
  <c r="E67" i="14698"/>
  <c r="K67" i="14698"/>
  <c r="H67" i="14698"/>
  <c r="D67" i="14698"/>
  <c r="L67" i="14698"/>
  <c r="N13" i="14706"/>
  <c r="N15" i="14667"/>
  <c r="F16" i="4128"/>
  <c r="B33" i="14672" l="1" a="1"/>
  <c r="B33" i="14672" s="1"/>
  <c r="N30" i="14708"/>
  <c r="N31" i="14708" s="1"/>
  <c r="N7" i="14617"/>
  <c r="N6" i="14617"/>
  <c r="N5" i="14617"/>
  <c r="B56" i="14649"/>
  <c r="B22" i="14709" a="1"/>
  <c r="O6" i="14677"/>
  <c r="G11" i="14675"/>
  <c r="I11" i="14675"/>
  <c r="K11" i="14675"/>
  <c r="M11" i="14675"/>
  <c r="D11" i="14675"/>
  <c r="O11" i="14675"/>
  <c r="F11" i="14675"/>
  <c r="H11" i="14675"/>
  <c r="J11" i="14675"/>
  <c r="C11" i="14675"/>
  <c r="L11" i="14675"/>
  <c r="N11" i="14675"/>
  <c r="E11" i="14675"/>
  <c r="O78" i="14648"/>
  <c r="N55" i="14636"/>
  <c r="E15" i="14657" s="1"/>
  <c r="D29" i="14682" a="1"/>
  <c r="J11" i="8"/>
  <c r="B10" i="14617"/>
  <c r="B11" i="14617" s="1"/>
  <c r="B23" i="14709" s="1"/>
  <c r="G65" i="14701"/>
  <c r="I15" i="14625"/>
  <c r="N60" i="14702"/>
  <c r="L63" i="14701"/>
  <c r="D15" i="14625"/>
  <c r="J15" i="14625"/>
  <c r="G15" i="14625"/>
  <c r="L60" i="14701"/>
  <c r="D65" i="14701"/>
  <c r="I65" i="14701"/>
  <c r="J61" i="14701"/>
  <c r="C11" i="8"/>
  <c r="I63" i="14701"/>
  <c r="E15" i="14625"/>
  <c r="M15" i="14625"/>
  <c r="F15" i="14625"/>
  <c r="C15" i="14625"/>
  <c r="L15" i="14625"/>
  <c r="K15" i="14625"/>
  <c r="N15" i="14625"/>
  <c r="F40" i="14667"/>
  <c r="F50" i="14667" s="1"/>
  <c r="E65" i="14701"/>
  <c r="B65" i="14701"/>
  <c r="M65" i="14701"/>
  <c r="K11" i="8"/>
  <c r="H61" i="14701"/>
  <c r="K61" i="14701"/>
  <c r="E11" i="8"/>
  <c r="H11" i="8"/>
  <c r="B11" i="8"/>
  <c r="L62" i="14701"/>
  <c r="G63" i="14701"/>
  <c r="I66" i="14701"/>
  <c r="K64" i="14701"/>
  <c r="D11" i="8"/>
  <c r="G11" i="8"/>
  <c r="F11" i="8"/>
  <c r="M11" i="8"/>
  <c r="I11" i="8"/>
  <c r="C67" i="14702"/>
  <c r="B67" i="14702"/>
  <c r="L64" i="14701"/>
  <c r="H59" i="14701"/>
  <c r="N59" i="14702"/>
  <c r="H60" i="14701"/>
  <c r="L65" i="14701"/>
  <c r="J65" i="14701"/>
  <c r="H65" i="14701"/>
  <c r="K65" i="14701"/>
  <c r="C65" i="14701"/>
  <c r="M61" i="14701"/>
  <c r="E61" i="14701"/>
  <c r="I61" i="14701"/>
  <c r="D63" i="14701"/>
  <c r="E63" i="14701"/>
  <c r="C63" i="14701"/>
  <c r="H66" i="14701"/>
  <c r="F66" i="14701"/>
  <c r="F64" i="14701"/>
  <c r="K62" i="14701"/>
  <c r="D62" i="14701"/>
  <c r="B60" i="14701"/>
  <c r="F67" i="14702"/>
  <c r="G66" i="14701"/>
  <c r="D66" i="14701"/>
  <c r="B66" i="14701"/>
  <c r="E64" i="14701"/>
  <c r="J64" i="14701"/>
  <c r="D64" i="14701"/>
  <c r="M62" i="14701"/>
  <c r="E62" i="14701"/>
  <c r="F62" i="14701"/>
  <c r="D60" i="14701"/>
  <c r="E60" i="14701"/>
  <c r="I60" i="14701"/>
  <c r="N62" i="14702"/>
  <c r="H63" i="14701"/>
  <c r="F63" i="14701"/>
  <c r="K63" i="14701"/>
  <c r="M63" i="14701"/>
  <c r="J63" i="14701"/>
  <c r="E66" i="14701"/>
  <c r="J66" i="14701"/>
  <c r="M66" i="14701"/>
  <c r="K66" i="14701"/>
  <c r="C66" i="14701"/>
  <c r="C64" i="14701"/>
  <c r="H64" i="14701"/>
  <c r="G64" i="14701"/>
  <c r="B64" i="14701"/>
  <c r="I64" i="14701"/>
  <c r="J62" i="14701"/>
  <c r="B62" i="14701"/>
  <c r="G62" i="14701"/>
  <c r="C62" i="14701"/>
  <c r="I62" i="14701"/>
  <c r="E59" i="14701"/>
  <c r="C59" i="14701"/>
  <c r="C60" i="14701"/>
  <c r="G60" i="14701"/>
  <c r="M60" i="14701"/>
  <c r="J60" i="14701"/>
  <c r="F60" i="14701"/>
  <c r="L67" i="14702"/>
  <c r="K67" i="14702"/>
  <c r="H67" i="14702"/>
  <c r="J67" i="14702"/>
  <c r="N63" i="14702"/>
  <c r="F61" i="14701"/>
  <c r="L61" i="14701"/>
  <c r="C61" i="14701"/>
  <c r="B61" i="14701"/>
  <c r="D61" i="14701"/>
  <c r="N64" i="14702"/>
  <c r="N65" i="14702"/>
  <c r="M67" i="14702"/>
  <c r="D67" i="14702"/>
  <c r="G67" i="14702"/>
  <c r="N66" i="14702"/>
  <c r="L59" i="14701"/>
  <c r="J59" i="14701"/>
  <c r="K59" i="14701"/>
  <c r="N54" i="14701"/>
  <c r="I67" i="14702"/>
  <c r="E67" i="14702"/>
  <c r="N61" i="14702"/>
  <c r="B35" i="14679" a="1"/>
  <c r="J42" i="14679" s="1"/>
  <c r="F59" i="14701"/>
  <c r="M59" i="14701"/>
  <c r="D59" i="14701"/>
  <c r="G59" i="14701"/>
  <c r="B59" i="14701"/>
  <c r="O9" i="14634"/>
  <c r="O15" i="14634" s="1"/>
  <c r="M10" i="14631" s="1"/>
  <c r="E8" i="11"/>
  <c r="E11" i="11"/>
  <c r="E10" i="11"/>
  <c r="E6" i="11"/>
  <c r="E12" i="11"/>
  <c r="E14" i="11"/>
  <c r="E13" i="11"/>
  <c r="E9" i="11"/>
  <c r="E7" i="11"/>
  <c r="D15" i="14649" a="1"/>
  <c r="D22" i="14667"/>
  <c r="D13" i="14667" s="1"/>
  <c r="D24" i="14667" s="1"/>
  <c r="E19" i="14667" s="1"/>
  <c r="D6" i="14706"/>
  <c r="D5" i="14706" s="1"/>
  <c r="D24" i="14706" s="1"/>
  <c r="E5" i="14706" s="1"/>
  <c r="I26" i="14622"/>
  <c r="H28" i="14622"/>
  <c r="I28" i="14622" s="1"/>
  <c r="B36" i="11" s="1"/>
  <c r="B37" i="11" s="1"/>
  <c r="B38" i="11" s="1"/>
  <c r="B35" i="14625"/>
  <c r="E18" i="14659"/>
  <c r="I18" i="14659"/>
  <c r="D46" i="14667"/>
  <c r="E26" i="14667" s="1"/>
  <c r="D44" i="14667"/>
  <c r="E50" i="14667"/>
  <c r="F55" i="14649"/>
  <c r="L17" i="14706"/>
  <c r="J16" i="14706"/>
  <c r="E19" i="11"/>
  <c r="E17" i="11"/>
  <c r="E20" i="11"/>
  <c r="E16" i="11"/>
  <c r="E18" i="11"/>
  <c r="E26" i="11"/>
  <c r="E24" i="11"/>
  <c r="E30" i="11"/>
  <c r="E22" i="11"/>
  <c r="E29" i="11"/>
  <c r="E27" i="11"/>
  <c r="E23" i="11"/>
  <c r="E25" i="11"/>
  <c r="E28" i="11"/>
  <c r="D45" i="14706"/>
  <c r="D47" i="14706"/>
  <c r="E39" i="14706" s="1"/>
  <c r="E51" i="14706"/>
  <c r="F8" i="14706"/>
  <c r="F20" i="14659"/>
  <c r="N23" i="14625"/>
  <c r="C20" i="14659"/>
  <c r="L9" i="14667"/>
  <c r="J5" i="14667"/>
  <c r="C6" i="14639" a="1"/>
  <c r="N6" i="14639" s="1"/>
  <c r="N60" i="14636"/>
  <c r="N59" i="14700"/>
  <c r="F67" i="14700"/>
  <c r="N63" i="14700"/>
  <c r="N64" i="14700"/>
  <c r="C67" i="14700"/>
  <c r="J67" i="14700"/>
  <c r="L67" i="14700"/>
  <c r="I67" i="14700"/>
  <c r="D67" i="14700"/>
  <c r="G67" i="14700"/>
  <c r="K67" i="14700"/>
  <c r="H67" i="14700"/>
  <c r="E67" i="14700"/>
  <c r="M67" i="14700"/>
  <c r="N61" i="14700"/>
  <c r="N65" i="14700"/>
  <c r="B67" i="14700"/>
  <c r="J35" i="14632"/>
  <c r="G36" i="14632"/>
  <c r="F39" i="14632"/>
  <c r="M36" i="14632"/>
  <c r="F38" i="14632"/>
  <c r="D36" i="14632"/>
  <c r="M40" i="14632"/>
  <c r="F37" i="14632"/>
  <c r="B37" i="14632"/>
  <c r="B38" i="14632"/>
  <c r="F42" i="14632"/>
  <c r="C42" i="14632"/>
  <c r="E37" i="14632"/>
  <c r="M38" i="14632"/>
  <c r="I38" i="14632"/>
  <c r="J38" i="14632"/>
  <c r="I39" i="14632"/>
  <c r="E39" i="14632"/>
  <c r="H41" i="14632"/>
  <c r="C39" i="14632"/>
  <c r="M35" i="14632"/>
  <c r="C41" i="14632"/>
  <c r="C37" i="14632"/>
  <c r="B42" i="14632"/>
  <c r="G37" i="14632"/>
  <c r="L41" i="14632"/>
  <c r="B40" i="14632"/>
  <c r="H39" i="14632"/>
  <c r="G41" i="14632"/>
  <c r="L38" i="14632"/>
  <c r="L42" i="14632"/>
  <c r="K41" i="14632"/>
  <c r="D39" i="14632"/>
  <c r="E42" i="14632"/>
  <c r="K38" i="14632"/>
  <c r="K40" i="14632"/>
  <c r="B39" i="14632"/>
  <c r="K39" i="14632"/>
  <c r="G39" i="14632"/>
  <c r="C36" i="14632"/>
  <c r="J41" i="14632"/>
  <c r="G40" i="14632"/>
  <c r="I42" i="14632"/>
  <c r="D41" i="14632"/>
  <c r="E35" i="14632"/>
  <c r="F35" i="14632"/>
  <c r="L37" i="14632"/>
  <c r="D42" i="14632"/>
  <c r="M42" i="14632"/>
  <c r="K37" i="14632"/>
  <c r="G42" i="14632"/>
  <c r="I35" i="14632"/>
  <c r="L39" i="14632"/>
  <c r="J37" i="14632"/>
  <c r="I36" i="14632"/>
  <c r="E41" i="14632"/>
  <c r="I41" i="14632"/>
  <c r="D37" i="14632"/>
  <c r="C35" i="14632"/>
  <c r="G35" i="14632"/>
  <c r="F36" i="14632"/>
  <c r="J39" i="14632"/>
  <c r="J42" i="14632"/>
  <c r="F41" i="14632"/>
  <c r="E36" i="14632"/>
  <c r="I37" i="14632"/>
  <c r="M37" i="14632"/>
  <c r="J36" i="14632"/>
  <c r="M41" i="14632"/>
  <c r="B36" i="14632"/>
  <c r="D40" i="14632"/>
  <c r="H40" i="14632"/>
  <c r="J40" i="14632"/>
  <c r="L40" i="14632"/>
  <c r="I40" i="14632"/>
  <c r="H38" i="14632"/>
  <c r="K42" i="14632"/>
  <c r="F40" i="14632"/>
  <c r="B41" i="14632"/>
  <c r="H35" i="14632"/>
  <c r="K35" i="14632"/>
  <c r="H37" i="14632"/>
  <c r="M39" i="14632"/>
  <c r="B35" i="14632"/>
  <c r="C38" i="14632"/>
  <c r="L35" i="14632"/>
  <c r="H36" i="14632"/>
  <c r="D38" i="14632"/>
  <c r="L36" i="14632"/>
  <c r="E38" i="14632"/>
  <c r="D35" i="14632"/>
  <c r="C40" i="14632"/>
  <c r="K36" i="14632"/>
  <c r="G38" i="14632"/>
  <c r="H42" i="14632"/>
  <c r="E40" i="14632"/>
  <c r="N60" i="14700"/>
  <c r="B35" i="14638" a="1"/>
  <c r="N66" i="14700"/>
  <c r="N67" i="14698"/>
  <c r="C5" i="14634" a="1"/>
  <c r="N62" i="14700"/>
  <c r="C20" i="14628" a="1"/>
  <c r="O12" i="14628"/>
  <c r="C13" i="14628" a="1"/>
  <c r="G16" i="4128"/>
  <c r="F51" i="14706"/>
  <c r="I47" i="14672" l="1"/>
  <c r="F42" i="14672"/>
  <c r="D36" i="14672"/>
  <c r="I37" i="14672"/>
  <c r="M52" i="14672"/>
  <c r="K53" i="14672"/>
  <c r="I35" i="14672"/>
  <c r="M41" i="14672"/>
  <c r="H48" i="14672"/>
  <c r="D38" i="14672"/>
  <c r="M53" i="14672"/>
  <c r="K49" i="14672"/>
  <c r="H37" i="14672"/>
  <c r="C47" i="14672"/>
  <c r="M34" i="14672"/>
  <c r="H45" i="14672"/>
  <c r="E53" i="14672"/>
  <c r="C45" i="14672"/>
  <c r="K36" i="14672"/>
  <c r="G47" i="14672"/>
  <c r="E43" i="14672"/>
  <c r="C35" i="14672"/>
  <c r="K34" i="14672"/>
  <c r="G45" i="14672"/>
  <c r="E41" i="14672"/>
  <c r="C33" i="14672"/>
  <c r="F44" i="14672"/>
  <c r="J46" i="14672"/>
  <c r="G35" i="14672"/>
  <c r="L47" i="14672"/>
  <c r="H40" i="14672"/>
  <c r="J44" i="14672"/>
  <c r="G33" i="14672"/>
  <c r="K54" i="14672"/>
  <c r="B54" i="14672"/>
  <c r="J34" i="14672"/>
  <c r="H44" i="14672"/>
  <c r="D50" i="14672"/>
  <c r="B44" i="14672"/>
  <c r="I49" i="14672"/>
  <c r="M48" i="14672"/>
  <c r="F54" i="14672"/>
  <c r="D48" i="14672"/>
  <c r="B42" i="14672"/>
  <c r="M44" i="14672"/>
  <c r="K35" i="14672"/>
  <c r="J45" i="14672"/>
  <c r="J33" i="14672"/>
  <c r="I48" i="14672"/>
  <c r="I36" i="14672"/>
  <c r="H52" i="14672"/>
  <c r="G46" i="14672"/>
  <c r="G34" i="14672"/>
  <c r="H34" i="14672"/>
  <c r="F43" i="14672"/>
  <c r="M47" i="14672"/>
  <c r="E54" i="14672"/>
  <c r="E42" i="14672"/>
  <c r="L38" i="14672"/>
  <c r="D49" i="14672"/>
  <c r="D37" i="14672"/>
  <c r="K45" i="14672"/>
  <c r="C46" i="14672"/>
  <c r="C34" i="14672"/>
  <c r="H36" i="14672"/>
  <c r="B43" i="14672"/>
  <c r="L45" i="14672"/>
  <c r="K33" i="14672"/>
  <c r="J43" i="14672"/>
  <c r="M39" i="14672"/>
  <c r="I46" i="14672"/>
  <c r="I34" i="14672"/>
  <c r="H39" i="14672"/>
  <c r="G44" i="14672"/>
  <c r="M54" i="14672"/>
  <c r="F53" i="14672"/>
  <c r="F41" i="14672"/>
  <c r="M38" i="14672"/>
  <c r="E52" i="14672"/>
  <c r="E40" i="14672"/>
  <c r="K46" i="14672"/>
  <c r="D47" i="14672"/>
  <c r="D35" i="14672"/>
  <c r="H42" i="14672"/>
  <c r="C44" i="14672"/>
  <c r="M49" i="14672"/>
  <c r="B53" i="14672"/>
  <c r="B41" i="14672"/>
  <c r="L35" i="14672"/>
  <c r="J54" i="14672"/>
  <c r="J42" i="14672"/>
  <c r="L50" i="14672"/>
  <c r="I45" i="14672"/>
  <c r="I33" i="14672"/>
  <c r="H33" i="14672"/>
  <c r="G43" i="14672"/>
  <c r="M45" i="14672"/>
  <c r="F52" i="14672"/>
  <c r="F40" i="14672"/>
  <c r="L51" i="14672"/>
  <c r="E51" i="14672"/>
  <c r="E39" i="14672"/>
  <c r="H53" i="14672"/>
  <c r="D46" i="14672"/>
  <c r="D34" i="14672"/>
  <c r="H38" i="14672"/>
  <c r="C43" i="14672"/>
  <c r="M42" i="14672"/>
  <c r="B52" i="14672"/>
  <c r="B40" i="14672"/>
  <c r="K48" i="14672"/>
  <c r="J53" i="14672"/>
  <c r="J41" i="14672"/>
  <c r="L40" i="14672"/>
  <c r="I44" i="14672"/>
  <c r="M51" i="14672"/>
  <c r="G54" i="14672"/>
  <c r="G42" i="14672"/>
  <c r="M35" i="14672"/>
  <c r="F51" i="14672"/>
  <c r="F39" i="14672"/>
  <c r="L43" i="14672"/>
  <c r="E50" i="14672"/>
  <c r="E38" i="14672"/>
  <c r="H47" i="14672"/>
  <c r="D45" i="14672"/>
  <c r="D33" i="14672"/>
  <c r="C54" i="14672"/>
  <c r="C42" i="14672"/>
  <c r="M36" i="14672"/>
  <c r="B51" i="14672"/>
  <c r="B39" i="14672"/>
  <c r="K42" i="14672"/>
  <c r="J52" i="14672"/>
  <c r="J40" i="14672"/>
  <c r="K51" i="14672"/>
  <c r="I43" i="14672"/>
  <c r="M46" i="14672"/>
  <c r="G53" i="14672"/>
  <c r="G41" i="14672"/>
  <c r="L52" i="14672"/>
  <c r="F50" i="14672"/>
  <c r="F38" i="14672"/>
  <c r="L34" i="14672"/>
  <c r="E49" i="14672"/>
  <c r="E37" i="14672"/>
  <c r="H41" i="14672"/>
  <c r="D44" i="14672"/>
  <c r="M50" i="14672"/>
  <c r="C53" i="14672"/>
  <c r="C41" i="14672"/>
  <c r="L53" i="14672"/>
  <c r="B50" i="14672"/>
  <c r="B38" i="14672"/>
  <c r="K41" i="14672"/>
  <c r="J51" i="14672"/>
  <c r="J39" i="14672"/>
  <c r="I54" i="14672"/>
  <c r="I42" i="14672"/>
  <c r="M40" i="14672"/>
  <c r="G52" i="14672"/>
  <c r="G40" i="14672"/>
  <c r="L46" i="14672"/>
  <c r="F49" i="14672"/>
  <c r="F37" i="14672"/>
  <c r="K50" i="14672"/>
  <c r="E48" i="14672"/>
  <c r="E36" i="14672"/>
  <c r="H35" i="14672"/>
  <c r="D43" i="14672"/>
  <c r="M43" i="14672"/>
  <c r="C52" i="14672"/>
  <c r="C40" i="14672"/>
  <c r="L44" i="14672"/>
  <c r="B49" i="14672"/>
  <c r="B37" i="14672"/>
  <c r="K40" i="14672"/>
  <c r="J50" i="14672"/>
  <c r="J38" i="14672"/>
  <c r="I53" i="14672"/>
  <c r="I41" i="14672"/>
  <c r="M37" i="14672"/>
  <c r="G51" i="14672"/>
  <c r="G39" i="14672"/>
  <c r="L39" i="14672"/>
  <c r="F48" i="14672"/>
  <c r="F36" i="14672"/>
  <c r="K43" i="14672"/>
  <c r="E47" i="14672"/>
  <c r="E35" i="14672"/>
  <c r="D54" i="14672"/>
  <c r="D42" i="14672"/>
  <c r="M33" i="14672"/>
  <c r="C51" i="14672"/>
  <c r="C39" i="14672"/>
  <c r="L33" i="14672"/>
  <c r="B48" i="14672"/>
  <c r="B36" i="14672"/>
  <c r="K39" i="14672"/>
  <c r="J49" i="14672"/>
  <c r="J37" i="14672"/>
  <c r="I52" i="14672"/>
  <c r="I40" i="14672"/>
  <c r="L49" i="14672"/>
  <c r="G50" i="14672"/>
  <c r="G38" i="14672"/>
  <c r="K52" i="14672"/>
  <c r="F47" i="14672"/>
  <c r="F35" i="14672"/>
  <c r="H54" i="14672"/>
  <c r="E46" i="14672"/>
  <c r="E34" i="14672"/>
  <c r="D53" i="14672"/>
  <c r="D41" i="14672"/>
  <c r="L48" i="14672"/>
  <c r="C50" i="14672"/>
  <c r="C38" i="14672"/>
  <c r="K47" i="14672"/>
  <c r="B47" i="14672"/>
  <c r="B35" i="14672"/>
  <c r="K38" i="14672"/>
  <c r="J48" i="14672"/>
  <c r="J36" i="14672"/>
  <c r="I51" i="14672"/>
  <c r="I39" i="14672"/>
  <c r="L42" i="14672"/>
  <c r="G49" i="14672"/>
  <c r="G37" i="14672"/>
  <c r="K44" i="14672"/>
  <c r="F46" i="14672"/>
  <c r="F34" i="14672"/>
  <c r="H49" i="14672"/>
  <c r="E45" i="14672"/>
  <c r="E33" i="14672"/>
  <c r="D52" i="14672"/>
  <c r="D40" i="14672"/>
  <c r="L41" i="14672"/>
  <c r="C49" i="14672"/>
  <c r="C37" i="14672"/>
  <c r="H51" i="14672"/>
  <c r="B46" i="14672"/>
  <c r="B34" i="14672"/>
  <c r="K37" i="14672"/>
  <c r="J47" i="14672"/>
  <c r="J35" i="14672"/>
  <c r="I50" i="14672"/>
  <c r="I38" i="14672"/>
  <c r="L37" i="14672"/>
  <c r="G48" i="14672"/>
  <c r="G36" i="14672"/>
  <c r="H50" i="14672"/>
  <c r="F45" i="14672"/>
  <c r="F33" i="14672"/>
  <c r="H43" i="14672"/>
  <c r="E44" i="14672"/>
  <c r="L54" i="14672"/>
  <c r="D51" i="14672"/>
  <c r="D39" i="14672"/>
  <c r="L36" i="14672"/>
  <c r="C48" i="14672"/>
  <c r="C36" i="14672"/>
  <c r="H46" i="14672"/>
  <c r="B45" i="14672"/>
  <c r="F33" i="14708"/>
  <c r="F22" i="14709"/>
  <c r="C22" i="14709"/>
  <c r="B22" i="14709"/>
  <c r="D22" i="14709"/>
  <c r="E22" i="14709"/>
  <c r="D30" i="14682"/>
  <c r="D32" i="14682"/>
  <c r="D34" i="14682"/>
  <c r="D36" i="14682"/>
  <c r="D38" i="14682"/>
  <c r="D40" i="14682"/>
  <c r="D42" i="14682"/>
  <c r="D44" i="14682"/>
  <c r="D46" i="14682"/>
  <c r="D48" i="14682"/>
  <c r="D50" i="14682"/>
  <c r="D29" i="14682"/>
  <c r="D31" i="14682"/>
  <c r="D33" i="14682"/>
  <c r="D35" i="14682"/>
  <c r="D37" i="14682"/>
  <c r="D39" i="14682"/>
  <c r="D41" i="14682"/>
  <c r="D43" i="14682"/>
  <c r="D45" i="14682"/>
  <c r="D47" i="14682"/>
  <c r="D49" i="14682"/>
  <c r="C9" i="14617" a="1"/>
  <c r="C9" i="14617" s="1"/>
  <c r="C24" i="4128"/>
  <c r="O15" i="14625"/>
  <c r="M36" i="14679"/>
  <c r="D41" i="14679"/>
  <c r="L40" i="14679"/>
  <c r="E36" i="14679"/>
  <c r="C38" i="14679"/>
  <c r="B39" i="14679"/>
  <c r="N61" i="14701"/>
  <c r="N60" i="14701"/>
  <c r="C36" i="14679"/>
  <c r="L36" i="14679"/>
  <c r="G41" i="14679"/>
  <c r="L35" i="14679"/>
  <c r="K41" i="14679"/>
  <c r="I39" i="14679"/>
  <c r="N11" i="8"/>
  <c r="D38" i="14679"/>
  <c r="F35" i="14679"/>
  <c r="M40" i="14679"/>
  <c r="H37" i="14679"/>
  <c r="E41" i="14679"/>
  <c r="B37" i="14679"/>
  <c r="B35" i="14679"/>
  <c r="F39" i="14679"/>
  <c r="L38" i="14679"/>
  <c r="H36" i="14679"/>
  <c r="G40" i="14679"/>
  <c r="D39" i="14679"/>
  <c r="H67" i="14701"/>
  <c r="B13" i="8" a="1"/>
  <c r="J13" i="8" s="1"/>
  <c r="L67" i="14701"/>
  <c r="B67" i="14701"/>
  <c r="D67" i="14701"/>
  <c r="F67" i="14701"/>
  <c r="C67" i="14701"/>
  <c r="N62" i="14701"/>
  <c r="N65" i="14701"/>
  <c r="E67" i="14701"/>
  <c r="N64" i="14701"/>
  <c r="K67" i="14701"/>
  <c r="I67" i="14701"/>
  <c r="N66" i="14701"/>
  <c r="N63" i="14701"/>
  <c r="G67" i="14701"/>
  <c r="M67" i="14701"/>
  <c r="J67" i="14701"/>
  <c r="C5" i="14675" a="1"/>
  <c r="E5" i="14675" s="1"/>
  <c r="M39" i="14679"/>
  <c r="B38" i="14679"/>
  <c r="I42" i="14679"/>
  <c r="D35" i="14679"/>
  <c r="E38" i="14679"/>
  <c r="C42" i="14679"/>
  <c r="E37" i="14679"/>
  <c r="I41" i="14679"/>
  <c r="D36" i="14679"/>
  <c r="K40" i="14679"/>
  <c r="C39" i="14679"/>
  <c r="E42" i="14679"/>
  <c r="M37" i="14679"/>
  <c r="M42" i="14679"/>
  <c r="J40" i="14679"/>
  <c r="L42" i="14679"/>
  <c r="H39" i="14679"/>
  <c r="D42" i="14679"/>
  <c r="G36" i="14679"/>
  <c r="F36" i="14679"/>
  <c r="E40" i="14679"/>
  <c r="L39" i="14679"/>
  <c r="H38" i="14679"/>
  <c r="N67" i="14702"/>
  <c r="K39" i="14679"/>
  <c r="F40" i="14679"/>
  <c r="I40" i="14679"/>
  <c r="D37" i="14679"/>
  <c r="K37" i="14679"/>
  <c r="E35" i="14679"/>
  <c r="H40" i="14679"/>
  <c r="J41" i="14679"/>
  <c r="B42" i="14679"/>
  <c r="K35" i="14679"/>
  <c r="G39" i="14679"/>
  <c r="M38" i="14679"/>
  <c r="F41" i="14679"/>
  <c r="E39" i="14679"/>
  <c r="K42" i="14679"/>
  <c r="J39" i="14679"/>
  <c r="B36" i="14679"/>
  <c r="M41" i="14679"/>
  <c r="I35" i="14679"/>
  <c r="M35" i="14679"/>
  <c r="D40" i="14679"/>
  <c r="J38" i="14679"/>
  <c r="H35" i="14679"/>
  <c r="I36" i="14679"/>
  <c r="K38" i="14679"/>
  <c r="G37" i="14679"/>
  <c r="F42" i="14679"/>
  <c r="J36" i="14679"/>
  <c r="J37" i="14679"/>
  <c r="B41" i="14679"/>
  <c r="G35" i="14679"/>
  <c r="L41" i="14679"/>
  <c r="F38" i="14679"/>
  <c r="G42" i="14679"/>
  <c r="C35" i="14679"/>
  <c r="H41" i="14679"/>
  <c r="B40" i="14679"/>
  <c r="J35" i="14679"/>
  <c r="C41" i="14679"/>
  <c r="C37" i="14679"/>
  <c r="H42" i="14679"/>
  <c r="I37" i="14679"/>
  <c r="L37" i="14679"/>
  <c r="I38" i="14679"/>
  <c r="K36" i="14679"/>
  <c r="C40" i="14679"/>
  <c r="G38" i="14679"/>
  <c r="F37" i="14679"/>
  <c r="N59" i="14701"/>
  <c r="B35" i="14678" a="1"/>
  <c r="I38" i="14678" s="1"/>
  <c r="N10" i="14631"/>
  <c r="D9" i="14617" s="1" a="1"/>
  <c r="B11" i="14631" a="1"/>
  <c r="E6" i="14706"/>
  <c r="E14" i="14706"/>
  <c r="E20" i="14667"/>
  <c r="E9" i="14706"/>
  <c r="E11" i="14706"/>
  <c r="E7" i="14706"/>
  <c r="E22" i="14706"/>
  <c r="E8" i="14706"/>
  <c r="E17" i="14706"/>
  <c r="E5" i="14667"/>
  <c r="E13" i="14706"/>
  <c r="E12" i="14706"/>
  <c r="E20" i="14706"/>
  <c r="E16" i="14706"/>
  <c r="E24" i="14706" s="1"/>
  <c r="E10" i="14706"/>
  <c r="E21" i="14706"/>
  <c r="E19" i="14706"/>
  <c r="E21" i="14667"/>
  <c r="E9" i="14667"/>
  <c r="D53" i="14667"/>
  <c r="C91" i="14649" s="1"/>
  <c r="E7" i="14667"/>
  <c r="E14" i="14667"/>
  <c r="E6" i="14667"/>
  <c r="D54" i="14706"/>
  <c r="E13" i="14667"/>
  <c r="E22" i="14667"/>
  <c r="E15" i="14667"/>
  <c r="E17" i="14667"/>
  <c r="E16" i="14667"/>
  <c r="E18" i="14667"/>
  <c r="E8" i="14667"/>
  <c r="E11" i="14667"/>
  <c r="L5" i="14667"/>
  <c r="N9" i="14667"/>
  <c r="N5" i="14667" s="1"/>
  <c r="D49" i="14706"/>
  <c r="E49" i="14706" s="1"/>
  <c r="E45" i="14706"/>
  <c r="L16" i="14706"/>
  <c r="N17" i="14706"/>
  <c r="N16" i="14706" s="1"/>
  <c r="E33" i="14667"/>
  <c r="E39" i="14667"/>
  <c r="E30" i="14667"/>
  <c r="E38" i="14667"/>
  <c r="E35" i="14667"/>
  <c r="E42" i="14667"/>
  <c r="E32" i="14667"/>
  <c r="E37" i="14667"/>
  <c r="E34" i="14667"/>
  <c r="E41" i="14667"/>
  <c r="E43" i="14667"/>
  <c r="E29" i="14667"/>
  <c r="E27" i="14667"/>
  <c r="E40" i="14667"/>
  <c r="E45" i="14667"/>
  <c r="E28" i="14667"/>
  <c r="E15" i="14649"/>
  <c r="G15" i="14649"/>
  <c r="F15" i="14649"/>
  <c r="D15" i="14649"/>
  <c r="E26" i="14706"/>
  <c r="E35" i="14706"/>
  <c r="E46" i="14706"/>
  <c r="E31" i="14706"/>
  <c r="E28" i="14706"/>
  <c r="E36" i="14706"/>
  <c r="E27" i="14706"/>
  <c r="E42" i="14706"/>
  <c r="E32" i="14706"/>
  <c r="E34" i="14706"/>
  <c r="E40" i="14706"/>
  <c r="E29" i="14706"/>
  <c r="E37" i="14706"/>
  <c r="E43" i="14706"/>
  <c r="E30" i="14706"/>
  <c r="E41" i="14706"/>
  <c r="D48" i="14667"/>
  <c r="E44" i="14667"/>
  <c r="C85" i="14648"/>
  <c r="C87" i="14648" s="1"/>
  <c r="B9" i="14648"/>
  <c r="D82" i="14649"/>
  <c r="C82" i="14649" s="1"/>
  <c r="B27" i="14684"/>
  <c r="C27" i="14626"/>
  <c r="C19" i="14626" s="1"/>
  <c r="C29" i="14626" s="1"/>
  <c r="G31" i="14626" s="1"/>
  <c r="C30" i="14622"/>
  <c r="D27" i="14690"/>
  <c r="F28" i="14690" s="1"/>
  <c r="B34" i="11"/>
  <c r="B35" i="11" s="1"/>
  <c r="M6" i="14639"/>
  <c r="E6" i="14639"/>
  <c r="L6" i="14639"/>
  <c r="G6" i="14639"/>
  <c r="J6" i="14639"/>
  <c r="K6" i="14639"/>
  <c r="F6" i="14639"/>
  <c r="D6" i="14639"/>
  <c r="I6" i="14639"/>
  <c r="H6" i="14639"/>
  <c r="C6" i="14639"/>
  <c r="F8" i="14643"/>
  <c r="N41" i="14632"/>
  <c r="G5" i="14634"/>
  <c r="G9" i="14634" s="1"/>
  <c r="L5" i="14634"/>
  <c r="L9" i="14634" s="1"/>
  <c r="D5" i="14634"/>
  <c r="D9" i="14634" s="1"/>
  <c r="E5" i="14634"/>
  <c r="E9" i="14634" s="1"/>
  <c r="F5" i="14634"/>
  <c r="F9" i="14634" s="1"/>
  <c r="C5" i="14634"/>
  <c r="C9" i="14634" s="1"/>
  <c r="N5" i="14634"/>
  <c r="N9" i="14634" s="1"/>
  <c r="H5" i="14634"/>
  <c r="H9" i="14634" s="1"/>
  <c r="M5" i="14634"/>
  <c r="M9" i="14634" s="1"/>
  <c r="J5" i="14634"/>
  <c r="J9" i="14634" s="1"/>
  <c r="K5" i="14634"/>
  <c r="K9" i="14634" s="1"/>
  <c r="I5" i="14634"/>
  <c r="I9" i="14634" s="1"/>
  <c r="J54" i="14632" a="1"/>
  <c r="J54" i="14632" s="1"/>
  <c r="H52" i="14632" a="1"/>
  <c r="H52" i="14632" s="1"/>
  <c r="F50" i="14632" a="1"/>
  <c r="F50" i="14632" s="1"/>
  <c r="D43" i="14632"/>
  <c r="D48" i="14632" a="1"/>
  <c r="D48" i="14632" s="1"/>
  <c r="G51" i="14632" a="1"/>
  <c r="G51" i="14632" s="1"/>
  <c r="I53" i="14632" a="1"/>
  <c r="I53" i="14632" s="1"/>
  <c r="E49" i="14632" a="1"/>
  <c r="E49" i="14632" s="1"/>
  <c r="O52" i="14632" a="1"/>
  <c r="O52" i="14632" s="1"/>
  <c r="Q54" i="14632" a="1"/>
  <c r="Q54" i="14632" s="1"/>
  <c r="K48" i="14632" a="1"/>
  <c r="K48" i="14632" s="1"/>
  <c r="P53" i="14632" a="1"/>
  <c r="P53" i="14632" s="1"/>
  <c r="L49" i="14632" a="1"/>
  <c r="L49" i="14632" s="1"/>
  <c r="M50" i="14632" a="1"/>
  <c r="M50" i="14632" s="1"/>
  <c r="N51" i="14632" a="1"/>
  <c r="N51" i="14632" s="1"/>
  <c r="K43" i="14632"/>
  <c r="F51" i="14632" a="1"/>
  <c r="F51" i="14632" s="1"/>
  <c r="I54" i="14632" a="1"/>
  <c r="I54" i="14632" s="1"/>
  <c r="D49" i="14632" a="1"/>
  <c r="D49" i="14632" s="1"/>
  <c r="C48" i="14632" a="1"/>
  <c r="C48" i="14632" s="1"/>
  <c r="E50" i="14632" a="1"/>
  <c r="E50" i="14632" s="1"/>
  <c r="G52" i="14632" a="1"/>
  <c r="G52" i="14632" s="1"/>
  <c r="C43" i="14632"/>
  <c r="H53" i="14632" a="1"/>
  <c r="H53" i="14632" s="1"/>
  <c r="K54" i="14632" a="1"/>
  <c r="K54" i="14632" s="1"/>
  <c r="E43" i="14632"/>
  <c r="E48" i="14632" a="1"/>
  <c r="E48" i="14632" s="1"/>
  <c r="H51" i="14632" a="1"/>
  <c r="H51" i="14632" s="1"/>
  <c r="G50" i="14632" a="1"/>
  <c r="G50" i="14632" s="1"/>
  <c r="J53" i="14632" a="1"/>
  <c r="J53" i="14632" s="1"/>
  <c r="I52" i="14632" a="1"/>
  <c r="I52" i="14632" s="1"/>
  <c r="F49" i="14632" a="1"/>
  <c r="F49" i="14632" s="1"/>
  <c r="N39" i="14632"/>
  <c r="N40" i="14632"/>
  <c r="N49" i="14632" a="1"/>
  <c r="N49" i="14632" s="1"/>
  <c r="M48" i="14632" a="1"/>
  <c r="M48" i="14632" s="1"/>
  <c r="Q52" i="14632" a="1"/>
  <c r="Q52" i="14632" s="1"/>
  <c r="S54" i="14632" a="1"/>
  <c r="S54" i="14632" s="1"/>
  <c r="P51" i="14632" a="1"/>
  <c r="P51" i="14632" s="1"/>
  <c r="M43" i="14632"/>
  <c r="O50" i="14632" a="1"/>
  <c r="O50" i="14632" s="1"/>
  <c r="R53" i="14632" a="1"/>
  <c r="R53" i="14632" s="1"/>
  <c r="N37" i="14632"/>
  <c r="O53" i="14632" a="1"/>
  <c r="O53" i="14632" s="1"/>
  <c r="K49" i="14632" a="1"/>
  <c r="K49" i="14632" s="1"/>
  <c r="N52" i="14632" a="1"/>
  <c r="N52" i="14632" s="1"/>
  <c r="P54" i="14632" a="1"/>
  <c r="P54" i="14632" s="1"/>
  <c r="J43" i="14632"/>
  <c r="M51" i="14632" a="1"/>
  <c r="M51" i="14632" s="1"/>
  <c r="L50" i="14632" a="1"/>
  <c r="L50" i="14632" s="1"/>
  <c r="J48" i="14632" a="1"/>
  <c r="J48" i="14632" s="1"/>
  <c r="E42" i="14638"/>
  <c r="J38" i="14638"/>
  <c r="H42" i="14638"/>
  <c r="G39" i="14638"/>
  <c r="K39" i="14638"/>
  <c r="B39" i="14638"/>
  <c r="G35" i="14638"/>
  <c r="I39" i="14638"/>
  <c r="J41" i="14638"/>
  <c r="L35" i="14638"/>
  <c r="M37" i="14638"/>
  <c r="C42" i="14638"/>
  <c r="M40" i="14638"/>
  <c r="H37" i="14638"/>
  <c r="F39" i="14638"/>
  <c r="K38" i="14638"/>
  <c r="F35" i="14638"/>
  <c r="H38" i="14638"/>
  <c r="G36" i="14638"/>
  <c r="H40" i="14638"/>
  <c r="J39" i="14638"/>
  <c r="H41" i="14638"/>
  <c r="C38" i="14638"/>
  <c r="D39" i="14638"/>
  <c r="E41" i="14638"/>
  <c r="I38" i="14638"/>
  <c r="M42" i="14638"/>
  <c r="K37" i="14638"/>
  <c r="I35" i="14638"/>
  <c r="M36" i="14638"/>
  <c r="I40" i="14638"/>
  <c r="F42" i="14638"/>
  <c r="L37" i="14638"/>
  <c r="D37" i="14638"/>
  <c r="B35" i="14638"/>
  <c r="D35" i="14638"/>
  <c r="I36" i="14638"/>
  <c r="G40" i="14638"/>
  <c r="F40" i="14638"/>
  <c r="K42" i="14638"/>
  <c r="G37" i="14638"/>
  <c r="J37" i="14638"/>
  <c r="I42" i="14638"/>
  <c r="K36" i="14638"/>
  <c r="F38" i="14638"/>
  <c r="B42" i="14638"/>
  <c r="C36" i="14638"/>
  <c r="L36" i="14638"/>
  <c r="F36" i="14638"/>
  <c r="G42" i="14638"/>
  <c r="E36" i="14638"/>
  <c r="E39" i="14638"/>
  <c r="M38" i="14638"/>
  <c r="E40" i="14638"/>
  <c r="G41" i="14638"/>
  <c r="H39" i="14638"/>
  <c r="L41" i="14638"/>
  <c r="B36" i="14638"/>
  <c r="M39" i="14638"/>
  <c r="B40" i="14638"/>
  <c r="C39" i="14638"/>
  <c r="H35" i="14638"/>
  <c r="L38" i="14638"/>
  <c r="E35" i="14638"/>
  <c r="B41" i="14638"/>
  <c r="C41" i="14638"/>
  <c r="G38" i="14638"/>
  <c r="D36" i="14638"/>
  <c r="K35" i="14638"/>
  <c r="C37" i="14638"/>
  <c r="K41" i="14638"/>
  <c r="F37" i="14638"/>
  <c r="I41" i="14638"/>
  <c r="M41" i="14638"/>
  <c r="B37" i="14638"/>
  <c r="E37" i="14638"/>
  <c r="J40" i="14638"/>
  <c r="I37" i="14638"/>
  <c r="C35" i="14638"/>
  <c r="M35" i="14638"/>
  <c r="D40" i="14638"/>
  <c r="D41" i="14638"/>
  <c r="K40" i="14638"/>
  <c r="H36" i="14638"/>
  <c r="E38" i="14638"/>
  <c r="L39" i="14638"/>
  <c r="C40" i="14638"/>
  <c r="D42" i="14638"/>
  <c r="B38" i="14638"/>
  <c r="D38" i="14638"/>
  <c r="J42" i="14638"/>
  <c r="L42" i="14638"/>
  <c r="L40" i="14638"/>
  <c r="F41" i="14638"/>
  <c r="J36" i="14638"/>
  <c r="J35" i="14638"/>
  <c r="Q53" i="14632" a="1"/>
  <c r="Q53" i="14632" s="1"/>
  <c r="R54" i="14632" a="1"/>
  <c r="R54" i="14632" s="1"/>
  <c r="N50" i="14632" a="1"/>
  <c r="N50" i="14632" s="1"/>
  <c r="L43" i="14632"/>
  <c r="M49" i="14632" a="1"/>
  <c r="M49" i="14632" s="1"/>
  <c r="O51" i="14632" a="1"/>
  <c r="O51" i="14632" s="1"/>
  <c r="L48" i="14632" a="1"/>
  <c r="L48" i="14632" s="1"/>
  <c r="P52" i="14632" a="1"/>
  <c r="P52" i="14632" s="1"/>
  <c r="E51" i="14632" a="1"/>
  <c r="E51" i="14632" s="1"/>
  <c r="N35" i="14632"/>
  <c r="C49" i="14632" a="1"/>
  <c r="C49" i="14632" s="1"/>
  <c r="B43" i="14632"/>
  <c r="B48" i="14632" a="1"/>
  <c r="B48" i="14632" s="1"/>
  <c r="B55" i="14632" s="1"/>
  <c r="G53" i="14632" a="1"/>
  <c r="G53" i="14632" s="1"/>
  <c r="F52" i="14632" a="1"/>
  <c r="F52" i="14632" s="1"/>
  <c r="H54" i="14632" a="1"/>
  <c r="H54" i="14632" s="1"/>
  <c r="D50" i="14632" a="1"/>
  <c r="D50" i="14632" s="1"/>
  <c r="K51" i="14632" a="1"/>
  <c r="K51" i="14632" s="1"/>
  <c r="L52" i="14632" a="1"/>
  <c r="L52" i="14632" s="1"/>
  <c r="J50" i="14632" a="1"/>
  <c r="J50" i="14632" s="1"/>
  <c r="I49" i="14632" a="1"/>
  <c r="I49" i="14632" s="1"/>
  <c r="H43" i="14632"/>
  <c r="H48" i="14632" a="1"/>
  <c r="H48" i="14632" s="1"/>
  <c r="M53" i="14632" a="1"/>
  <c r="M53" i="14632" s="1"/>
  <c r="N54" i="14632" a="1"/>
  <c r="N54" i="14632" s="1"/>
  <c r="N36" i="14632"/>
  <c r="G48" i="14632" a="1"/>
  <c r="G48" i="14632" s="1"/>
  <c r="L53" i="14632" a="1"/>
  <c r="L53" i="14632" s="1"/>
  <c r="I50" i="14632" a="1"/>
  <c r="I50" i="14632" s="1"/>
  <c r="G43" i="14632"/>
  <c r="M54" i="14632" a="1"/>
  <c r="M54" i="14632" s="1"/>
  <c r="K52" i="14632" a="1"/>
  <c r="K52" i="14632" s="1"/>
  <c r="J51" i="14632" a="1"/>
  <c r="J51" i="14632" s="1"/>
  <c r="H49" i="14632" a="1"/>
  <c r="H49" i="14632" s="1"/>
  <c r="N53" i="14632" a="1"/>
  <c r="N53" i="14632" s="1"/>
  <c r="O54" i="14632" a="1"/>
  <c r="O54" i="14632" s="1"/>
  <c r="M52" i="14632" a="1"/>
  <c r="M52" i="14632" s="1"/>
  <c r="I43" i="14632"/>
  <c r="J49" i="14632" a="1"/>
  <c r="J49" i="14632" s="1"/>
  <c r="K50" i="14632" a="1"/>
  <c r="K50" i="14632" s="1"/>
  <c r="I48" i="14632" a="1"/>
  <c r="I48" i="14632" s="1"/>
  <c r="L51" i="14632" a="1"/>
  <c r="L51" i="14632" s="1"/>
  <c r="I51" i="14632" a="1"/>
  <c r="I51" i="14632" s="1"/>
  <c r="K53" i="14632" a="1"/>
  <c r="K53" i="14632" s="1"/>
  <c r="F48" i="14632" a="1"/>
  <c r="F48" i="14632" s="1"/>
  <c r="H50" i="14632" a="1"/>
  <c r="H50" i="14632" s="1"/>
  <c r="G49" i="14632" a="1"/>
  <c r="G49" i="14632" s="1"/>
  <c r="L54" i="14632" a="1"/>
  <c r="L54" i="14632" s="1"/>
  <c r="J52" i="14632" a="1"/>
  <c r="J52" i="14632" s="1"/>
  <c r="F43" i="14632"/>
  <c r="N42" i="14632"/>
  <c r="N38" i="14632"/>
  <c r="C5" i="14639" a="1"/>
  <c r="N67" i="14700"/>
  <c r="H13" i="14628"/>
  <c r="L13" i="14628"/>
  <c r="N13" i="14628"/>
  <c r="G13" i="14628"/>
  <c r="K13" i="14628"/>
  <c r="M13" i="14628"/>
  <c r="E13" i="14628"/>
  <c r="D13" i="14628"/>
  <c r="F13" i="14628"/>
  <c r="J13" i="14628"/>
  <c r="C13" i="14628"/>
  <c r="I13" i="14628"/>
  <c r="H20" i="14628"/>
  <c r="D20" i="14628"/>
  <c r="L20" i="14628"/>
  <c r="N20" i="14628"/>
  <c r="C20" i="14628"/>
  <c r="J20" i="14628"/>
  <c r="G20" i="14628"/>
  <c r="M20" i="14628"/>
  <c r="E20" i="14628"/>
  <c r="K20" i="14628"/>
  <c r="F20" i="14628"/>
  <c r="I20" i="14628"/>
  <c r="B45" i="14649"/>
  <c r="N53" i="14672" l="1"/>
  <c r="G55" i="14672"/>
  <c r="I55" i="14672"/>
  <c r="H55" i="14672"/>
  <c r="D55" i="14672"/>
  <c r="L55" i="14672"/>
  <c r="M55" i="14672"/>
  <c r="E55" i="14672"/>
  <c r="C55" i="14672"/>
  <c r="F55" i="14672"/>
  <c r="D51" i="14682"/>
  <c r="B55" i="14672"/>
  <c r="J55" i="14672"/>
  <c r="K55" i="14672"/>
  <c r="N54" i="14672"/>
  <c r="C10" i="14617"/>
  <c r="C84" i="14690"/>
  <c r="M60" i="14672"/>
  <c r="J60" i="14672"/>
  <c r="E60" i="14672"/>
  <c r="B60" i="14672"/>
  <c r="D60" i="14672"/>
  <c r="H60" i="14672"/>
  <c r="G60" i="14672"/>
  <c r="L60" i="14672"/>
  <c r="F60" i="14672"/>
  <c r="I60" i="14672"/>
  <c r="C60" i="14672"/>
  <c r="K60" i="14672"/>
  <c r="N52" i="14672"/>
  <c r="C11" i="14617"/>
  <c r="G37" i="14678"/>
  <c r="I5" i="14675"/>
  <c r="L13" i="8"/>
  <c r="N40" i="14672"/>
  <c r="B13" i="8"/>
  <c r="H13" i="8"/>
  <c r="N67" i="14701"/>
  <c r="K53" i="14679" a="1"/>
  <c r="K53" i="14679" s="1"/>
  <c r="C13" i="8"/>
  <c r="I13" i="8"/>
  <c r="E13" i="8"/>
  <c r="M13" i="8"/>
  <c r="D13" i="8"/>
  <c r="K13" i="8"/>
  <c r="G13" i="8"/>
  <c r="F13" i="8"/>
  <c r="S54" i="14679" a="1"/>
  <c r="S54" i="14679" s="1"/>
  <c r="S55" i="14679" s="1"/>
  <c r="P53" i="14679" a="1"/>
  <c r="P53" i="14679" s="1"/>
  <c r="P52" i="14679" a="1"/>
  <c r="P52" i="14679" s="1"/>
  <c r="L5" i="14675"/>
  <c r="C5" i="14674" a="1"/>
  <c r="L5" i="14674" s="1"/>
  <c r="N49" i="14679" a="1"/>
  <c r="N49" i="14679" s="1"/>
  <c r="K5" i="14675"/>
  <c r="M5" i="14675"/>
  <c r="C5" i="14675"/>
  <c r="G49" i="14679" a="1"/>
  <c r="G49" i="14679" s="1"/>
  <c r="N35" i="14679"/>
  <c r="F39" i="14678"/>
  <c r="H5" i="14675"/>
  <c r="N5" i="14675"/>
  <c r="J5" i="14675"/>
  <c r="G5" i="14675"/>
  <c r="F5" i="14675"/>
  <c r="D5" i="14675"/>
  <c r="O53" i="14679" a="1"/>
  <c r="O53" i="14679" s="1"/>
  <c r="H48" i="14679" a="1"/>
  <c r="H48" i="14679" s="1"/>
  <c r="O51" i="14679" a="1"/>
  <c r="O51" i="14679" s="1"/>
  <c r="B48" i="14679" a="1"/>
  <c r="B48" i="14679" s="1"/>
  <c r="M43" i="14679"/>
  <c r="M50" i="14679" a="1"/>
  <c r="M50" i="14679" s="1"/>
  <c r="I50" i="14679" a="1"/>
  <c r="I50" i="14679" s="1"/>
  <c r="I43" i="14679"/>
  <c r="H50" i="14679" a="1"/>
  <c r="H50" i="14679" s="1"/>
  <c r="N42" i="14679"/>
  <c r="J54" i="14679" a="1"/>
  <c r="J54" i="14679" s="1"/>
  <c r="C49" i="14679" a="1"/>
  <c r="C49" i="14679" s="1"/>
  <c r="E39" i="14678"/>
  <c r="F50" i="14679" a="1"/>
  <c r="F50" i="14679" s="1"/>
  <c r="E50" i="14679" a="1"/>
  <c r="E50" i="14679" s="1"/>
  <c r="H49" i="14679" a="1"/>
  <c r="H49" i="14679" s="1"/>
  <c r="K54" i="14679" a="1"/>
  <c r="K54" i="14679" s="1"/>
  <c r="M49" i="14679" a="1"/>
  <c r="M49" i="14679" s="1"/>
  <c r="L54" i="14679" a="1"/>
  <c r="L54" i="14679" s="1"/>
  <c r="D48" i="14679" a="1"/>
  <c r="D48" i="14679" s="1"/>
  <c r="H54" i="14679" a="1"/>
  <c r="H54" i="14679" s="1"/>
  <c r="B38" i="14678"/>
  <c r="M35" i="14678"/>
  <c r="L42" i="14678"/>
  <c r="R53" i="14679" a="1"/>
  <c r="R53" i="14679" s="1"/>
  <c r="G50" i="14679" a="1"/>
  <c r="G50" i="14679" s="1"/>
  <c r="J48" i="14679" a="1"/>
  <c r="J48" i="14679" s="1"/>
  <c r="E49" i="14679" a="1"/>
  <c r="E49" i="14679" s="1"/>
  <c r="O50" i="14679" a="1"/>
  <c r="O50" i="14679" s="1"/>
  <c r="J52" i="14679" a="1"/>
  <c r="J52" i="14679" s="1"/>
  <c r="I49" i="14679" a="1"/>
  <c r="I49" i="14679" s="1"/>
  <c r="N51" i="14679" a="1"/>
  <c r="N51" i="14679" s="1"/>
  <c r="I53" i="14679" a="1"/>
  <c r="I53" i="14679" s="1"/>
  <c r="G52" i="14679" a="1"/>
  <c r="G52" i="14679" s="1"/>
  <c r="G43" i="14679"/>
  <c r="L51" i="14679" a="1"/>
  <c r="L51" i="14679" s="1"/>
  <c r="J53" i="14679" a="1"/>
  <c r="J53" i="14679" s="1"/>
  <c r="J36" i="14678"/>
  <c r="K42" i="14678"/>
  <c r="H42" i="14678"/>
  <c r="G40" i="14678"/>
  <c r="H35" i="14678"/>
  <c r="L41" i="14678"/>
  <c r="M48" i="14679" a="1"/>
  <c r="M48" i="14679" s="1"/>
  <c r="N53" i="14679" a="1"/>
  <c r="N53" i="14679" s="1"/>
  <c r="K43" i="14679"/>
  <c r="H51" i="14679" a="1"/>
  <c r="H51" i="14679" s="1"/>
  <c r="F49" i="14679" a="1"/>
  <c r="F49" i="14679" s="1"/>
  <c r="C48" i="14679" a="1"/>
  <c r="C48" i="14679" s="1"/>
  <c r="M54" i="14679" a="1"/>
  <c r="M54" i="14679" s="1"/>
  <c r="F52" i="14679" a="1"/>
  <c r="F52" i="14679" s="1"/>
  <c r="J51" i="14679" a="1"/>
  <c r="J51" i="14679" s="1"/>
  <c r="G53" i="14679" a="1"/>
  <c r="G53" i="14679" s="1"/>
  <c r="Q52" i="14679" a="1"/>
  <c r="Q52" i="14679" s="1"/>
  <c r="P51" i="14679" a="1"/>
  <c r="P51" i="14679" s="1"/>
  <c r="E48" i="14679" a="1"/>
  <c r="E48" i="14679" s="1"/>
  <c r="E43" i="14679"/>
  <c r="I52" i="14679" a="1"/>
  <c r="I52" i="14679" s="1"/>
  <c r="F51" i="14679" a="1"/>
  <c r="F51" i="14679" s="1"/>
  <c r="I54" i="14679" a="1"/>
  <c r="I54" i="14679" s="1"/>
  <c r="D49" i="14679" a="1"/>
  <c r="D49" i="14679" s="1"/>
  <c r="N37" i="14679"/>
  <c r="O52" i="14679" a="1"/>
  <c r="O52" i="14679" s="1"/>
  <c r="Q53" i="14679" a="1"/>
  <c r="Q53" i="14679" s="1"/>
  <c r="N41" i="14679"/>
  <c r="N40" i="14679"/>
  <c r="M51" i="14679" a="1"/>
  <c r="M51" i="14679" s="1"/>
  <c r="D43" i="14679"/>
  <c r="J49" i="14679" a="1"/>
  <c r="J49" i="14679" s="1"/>
  <c r="C43" i="14679"/>
  <c r="N38" i="14679"/>
  <c r="K52" i="14679" a="1"/>
  <c r="K52" i="14679" s="1"/>
  <c r="N54" i="14679" a="1"/>
  <c r="N54" i="14679" s="1"/>
  <c r="B43" i="14679"/>
  <c r="N39" i="14679"/>
  <c r="J50" i="14679" a="1"/>
  <c r="J50" i="14679" s="1"/>
  <c r="H43" i="14679"/>
  <c r="M52" i="14679" a="1"/>
  <c r="M52" i="14679" s="1"/>
  <c r="O54" i="14679" a="1"/>
  <c r="O54" i="14679" s="1"/>
  <c r="L49" i="14679" a="1"/>
  <c r="L49" i="14679" s="1"/>
  <c r="H52" i="14679" a="1"/>
  <c r="H52" i="14679" s="1"/>
  <c r="G51" i="14679" a="1"/>
  <c r="G51" i="14679" s="1"/>
  <c r="F48" i="14679" a="1"/>
  <c r="F48" i="14679" s="1"/>
  <c r="F43" i="14679"/>
  <c r="H53" i="14679" a="1"/>
  <c r="H53" i="14679" s="1"/>
  <c r="L43" i="14679"/>
  <c r="R54" i="14679" a="1"/>
  <c r="R54" i="14679" s="1"/>
  <c r="L53" i="14679" a="1"/>
  <c r="L53" i="14679" s="1"/>
  <c r="L50" i="14679" a="1"/>
  <c r="L50" i="14679" s="1"/>
  <c r="J43" i="14679"/>
  <c r="E51" i="14679" a="1"/>
  <c r="E51" i="14679" s="1"/>
  <c r="D50" i="14679" a="1"/>
  <c r="D50" i="14679" s="1"/>
  <c r="K51" i="14679" a="1"/>
  <c r="K51" i="14679" s="1"/>
  <c r="I48" i="14679" a="1"/>
  <c r="I48" i="14679" s="1"/>
  <c r="M53" i="14679" a="1"/>
  <c r="M53" i="14679" s="1"/>
  <c r="K50" i="14679" a="1"/>
  <c r="K50" i="14679" s="1"/>
  <c r="K48" i="14679" a="1"/>
  <c r="K48" i="14679" s="1"/>
  <c r="I51" i="14679" a="1"/>
  <c r="I51" i="14679" s="1"/>
  <c r="N36" i="14679"/>
  <c r="L52" i="14679" a="1"/>
  <c r="L52" i="14679" s="1"/>
  <c r="Q54" i="14679" a="1"/>
  <c r="Q54" i="14679" s="1"/>
  <c r="G48" i="14679" a="1"/>
  <c r="G48" i="14679" s="1"/>
  <c r="K49" i="14679" a="1"/>
  <c r="K49" i="14679" s="1"/>
  <c r="N50" i="14679" a="1"/>
  <c r="N50" i="14679" s="1"/>
  <c r="N52" i="14679" a="1"/>
  <c r="N52" i="14679" s="1"/>
  <c r="L48" i="14679" a="1"/>
  <c r="L48" i="14679" s="1"/>
  <c r="P54" i="14679" a="1"/>
  <c r="P54" i="14679" s="1"/>
  <c r="F35" i="14678"/>
  <c r="J35" i="14678"/>
  <c r="E36" i="14678"/>
  <c r="I39" i="14678"/>
  <c r="G36" i="14678"/>
  <c r="C40" i="14678"/>
  <c r="J40" i="14678"/>
  <c r="E37" i="14678"/>
  <c r="D36" i="14678"/>
  <c r="H38" i="14678"/>
  <c r="E40" i="14678"/>
  <c r="L38" i="14678"/>
  <c r="B39" i="14678"/>
  <c r="C39" i="14678"/>
  <c r="F37" i="14678"/>
  <c r="J38" i="14678"/>
  <c r="F40" i="14678"/>
  <c r="I35" i="14678"/>
  <c r="F41" i="14678"/>
  <c r="M38" i="14678"/>
  <c r="F42" i="14678"/>
  <c r="K39" i="14678"/>
  <c r="L40" i="14678"/>
  <c r="L36" i="14678"/>
  <c r="D39" i="14678"/>
  <c r="I40" i="14678"/>
  <c r="K41" i="14678"/>
  <c r="M41" i="14678"/>
  <c r="C42" i="14678"/>
  <c r="L39" i="14678"/>
  <c r="G35" i="14678"/>
  <c r="D35" i="14678"/>
  <c r="E35" i="14678"/>
  <c r="M36" i="14678"/>
  <c r="B36" i="14678"/>
  <c r="B37" i="14678"/>
  <c r="L37" i="14678"/>
  <c r="D41" i="14678"/>
  <c r="K38" i="14678"/>
  <c r="H37" i="14678"/>
  <c r="B41" i="14678"/>
  <c r="J39" i="14678"/>
  <c r="J37" i="14678"/>
  <c r="D40" i="14678"/>
  <c r="B35" i="14678"/>
  <c r="D38" i="14678"/>
  <c r="B42" i="14678"/>
  <c r="G38" i="14678"/>
  <c r="G42" i="14678"/>
  <c r="C38" i="14678"/>
  <c r="H41" i="14678"/>
  <c r="M37" i="14678"/>
  <c r="G39" i="14678"/>
  <c r="K35" i="14678"/>
  <c r="H40" i="14678"/>
  <c r="G41" i="14678"/>
  <c r="F36" i="14678"/>
  <c r="I41" i="14678"/>
  <c r="E41" i="14678"/>
  <c r="K40" i="14678"/>
  <c r="K37" i="14678"/>
  <c r="K36" i="14678"/>
  <c r="I36" i="14678"/>
  <c r="L35" i="14678"/>
  <c r="M39" i="14678"/>
  <c r="I37" i="14678"/>
  <c r="M40" i="14678"/>
  <c r="B40" i="14678"/>
  <c r="D37" i="14678"/>
  <c r="C41" i="14678"/>
  <c r="J42" i="14678"/>
  <c r="C37" i="14678"/>
  <c r="M42" i="14678"/>
  <c r="J41" i="14678"/>
  <c r="E38" i="14678"/>
  <c r="D42" i="14678"/>
  <c r="F38" i="14678"/>
  <c r="H36" i="14678"/>
  <c r="E42" i="14678"/>
  <c r="I42" i="14678"/>
  <c r="C35" i="14678"/>
  <c r="C36" i="14678"/>
  <c r="H39" i="14678"/>
  <c r="C11" i="14631"/>
  <c r="K11" i="14631"/>
  <c r="J11" i="14631"/>
  <c r="I11" i="14631"/>
  <c r="G11" i="14631"/>
  <c r="M11" i="14631"/>
  <c r="L11" i="14631"/>
  <c r="F11" i="14631"/>
  <c r="D11" i="14631"/>
  <c r="B11" i="14631"/>
  <c r="E11" i="14631"/>
  <c r="H11" i="14631"/>
  <c r="D9" i="14617"/>
  <c r="D10" i="14617"/>
  <c r="E24" i="14667"/>
  <c r="C12" i="14634" a="1"/>
  <c r="E47" i="14706"/>
  <c r="E46" i="14667"/>
  <c r="C31" i="14622"/>
  <c r="B30" i="14622"/>
  <c r="D91" i="14649"/>
  <c r="E48" i="14667"/>
  <c r="B23" i="14649"/>
  <c r="D18" i="14649" a="1"/>
  <c r="N45" i="14672"/>
  <c r="N42" i="14672"/>
  <c r="N41" i="14672"/>
  <c r="N36" i="14672"/>
  <c r="N44" i="14672"/>
  <c r="N38" i="14672"/>
  <c r="N50" i="14672"/>
  <c r="N39" i="14672"/>
  <c r="N51" i="14672"/>
  <c r="N49" i="14672"/>
  <c r="N35" i="14672"/>
  <c r="N48" i="14672"/>
  <c r="N43" i="14672"/>
  <c r="N33" i="14672"/>
  <c r="N46" i="14672"/>
  <c r="N47" i="14672"/>
  <c r="N34" i="14672"/>
  <c r="N37" i="14672"/>
  <c r="O6" i="14639"/>
  <c r="N38" i="14638"/>
  <c r="N37" i="14638"/>
  <c r="F55" i="14632"/>
  <c r="H55" i="14632"/>
  <c r="N43" i="14632"/>
  <c r="L50" i="14638" a="1"/>
  <c r="L50" i="14638" s="1"/>
  <c r="J43" i="14638"/>
  <c r="M51" i="14638" a="1"/>
  <c r="M51" i="14638" s="1"/>
  <c r="O53" i="14638" a="1"/>
  <c r="O53" i="14638" s="1"/>
  <c r="J48" i="14638" a="1"/>
  <c r="J48" i="14638" s="1"/>
  <c r="K49" i="14638" a="1"/>
  <c r="K49" i="14638" s="1"/>
  <c r="P54" i="14638" a="1"/>
  <c r="P54" i="14638" s="1"/>
  <c r="N52" i="14638" a="1"/>
  <c r="N52" i="14638" s="1"/>
  <c r="P51" i="14638" a="1"/>
  <c r="P51" i="14638" s="1"/>
  <c r="S54" i="14638" a="1"/>
  <c r="S54" i="14638" s="1"/>
  <c r="R53" i="14638" a="1"/>
  <c r="R53" i="14638" s="1"/>
  <c r="N49" i="14638" a="1"/>
  <c r="N49" i="14638" s="1"/>
  <c r="M43" i="14638"/>
  <c r="M48" i="14638" a="1"/>
  <c r="M48" i="14638" s="1"/>
  <c r="O50" i="14638" a="1"/>
  <c r="O50" i="14638" s="1"/>
  <c r="Q52" i="14638" a="1"/>
  <c r="Q52" i="14638" s="1"/>
  <c r="E48" i="14638" a="1"/>
  <c r="E48" i="14638" s="1"/>
  <c r="F49" i="14638" a="1"/>
  <c r="F49" i="14638" s="1"/>
  <c r="E43" i="14638"/>
  <c r="G50" i="14638" a="1"/>
  <c r="G50" i="14638" s="1"/>
  <c r="K54" i="14638" a="1"/>
  <c r="K54" i="14638" s="1"/>
  <c r="J53" i="14638" a="1"/>
  <c r="J53" i="14638" s="1"/>
  <c r="I52" i="14638" a="1"/>
  <c r="I52" i="14638" s="1"/>
  <c r="H51" i="14638" a="1"/>
  <c r="H51" i="14638" s="1"/>
  <c r="N54" i="14638" a="1"/>
  <c r="N54" i="14638" s="1"/>
  <c r="I49" i="14638" a="1"/>
  <c r="I49" i="14638" s="1"/>
  <c r="H48" i="14638" a="1"/>
  <c r="H48" i="14638" s="1"/>
  <c r="H43" i="14638"/>
  <c r="J50" i="14638" a="1"/>
  <c r="J50" i="14638" s="1"/>
  <c r="K51" i="14638" a="1"/>
  <c r="K51" i="14638" s="1"/>
  <c r="L52" i="14638" a="1"/>
  <c r="L52" i="14638" s="1"/>
  <c r="M53" i="14638" a="1"/>
  <c r="M53" i="14638" s="1"/>
  <c r="N40" i="14638"/>
  <c r="N36" i="14638"/>
  <c r="N42" i="14638"/>
  <c r="D48" i="14638" a="1"/>
  <c r="D48" i="14638" s="1"/>
  <c r="F50" i="14638" a="1"/>
  <c r="F50" i="14638" s="1"/>
  <c r="I53" i="14638" a="1"/>
  <c r="I53" i="14638" s="1"/>
  <c r="H52" i="14638" a="1"/>
  <c r="H52" i="14638" s="1"/>
  <c r="J54" i="14638" a="1"/>
  <c r="J54" i="14638" s="1"/>
  <c r="D43" i="14638"/>
  <c r="G51" i="14638" a="1"/>
  <c r="G51" i="14638" s="1"/>
  <c r="E49" i="14638" a="1"/>
  <c r="E49" i="14638" s="1"/>
  <c r="Q53" i="14638" a="1"/>
  <c r="Q53" i="14638" s="1"/>
  <c r="L43" i="14638"/>
  <c r="N50" i="14638" a="1"/>
  <c r="N50" i="14638" s="1"/>
  <c r="L48" i="14638" a="1"/>
  <c r="L48" i="14638" s="1"/>
  <c r="P52" i="14638" a="1"/>
  <c r="P52" i="14638" s="1"/>
  <c r="R54" i="14638" a="1"/>
  <c r="R54" i="14638" s="1"/>
  <c r="O51" i="14638" a="1"/>
  <c r="O51" i="14638" s="1"/>
  <c r="M49" i="14638" a="1"/>
  <c r="M49" i="14638" s="1"/>
  <c r="N39" i="14638"/>
  <c r="R55" i="14632"/>
  <c r="F53" i="14638" a="1"/>
  <c r="S55" i="14632"/>
  <c r="G54" i="14638"/>
  <c r="M55" i="14632"/>
  <c r="C55" i="14632"/>
  <c r="L5" i="14639"/>
  <c r="L9" i="14639" s="1"/>
  <c r="N5" i="14639"/>
  <c r="N9" i="14639" s="1"/>
  <c r="E5" i="14639"/>
  <c r="E9" i="14639" s="1"/>
  <c r="M5" i="14639"/>
  <c r="M9" i="14639" s="1"/>
  <c r="I5" i="14639"/>
  <c r="I9" i="14639" s="1"/>
  <c r="K5" i="14639"/>
  <c r="K9" i="14639" s="1"/>
  <c r="G5" i="14639"/>
  <c r="G9" i="14639" s="1"/>
  <c r="J5" i="14639"/>
  <c r="J9" i="14639" s="1"/>
  <c r="C5" i="14639"/>
  <c r="D5" i="14639"/>
  <c r="D9" i="14639" s="1"/>
  <c r="F5" i="14639"/>
  <c r="F9" i="14639" s="1"/>
  <c r="H5" i="14639"/>
  <c r="H9" i="14639" s="1"/>
  <c r="I55" i="14632"/>
  <c r="G55" i="14632"/>
  <c r="L55" i="14632"/>
  <c r="F51" i="14638" a="1"/>
  <c r="F51" i="14638" s="1"/>
  <c r="I54" i="14638" a="1"/>
  <c r="I54" i="14638" s="1"/>
  <c r="C48" i="14638" a="1"/>
  <c r="C48" i="14638" s="1"/>
  <c r="G52" i="14638" a="1"/>
  <c r="G52" i="14638" s="1"/>
  <c r="C43" i="14638"/>
  <c r="E50" i="14638" a="1"/>
  <c r="E50" i="14638" s="1"/>
  <c r="D49" i="14638" a="1"/>
  <c r="D49" i="14638" s="1"/>
  <c r="H53" i="14638" a="1"/>
  <c r="H53" i="14638" s="1"/>
  <c r="L49" i="14638" a="1"/>
  <c r="L49" i="14638" s="1"/>
  <c r="N51" i="14638" a="1"/>
  <c r="N51" i="14638" s="1"/>
  <c r="Q54" i="14638" a="1"/>
  <c r="Q54" i="14638" s="1"/>
  <c r="P53" i="14638" a="1"/>
  <c r="P53" i="14638" s="1"/>
  <c r="O52" i="14638" a="1"/>
  <c r="O52" i="14638" s="1"/>
  <c r="K43" i="14638"/>
  <c r="K48" i="14638" a="1"/>
  <c r="K48" i="14638" s="1"/>
  <c r="M50" i="14638" a="1"/>
  <c r="M50" i="14638" s="1"/>
  <c r="N41" i="14638"/>
  <c r="F52" i="14638" a="1"/>
  <c r="F52" i="14638" s="1"/>
  <c r="D50" i="14638" a="1"/>
  <c r="D50" i="14638" s="1"/>
  <c r="B48" i="14638" a="1"/>
  <c r="B48" i="14638" s="1"/>
  <c r="G53" i="14638" a="1"/>
  <c r="G53" i="14638" s="1"/>
  <c r="C49" i="14638" a="1"/>
  <c r="C49" i="14638" s="1"/>
  <c r="N35" i="14638"/>
  <c r="B43" i="14638"/>
  <c r="H54" i="14638" a="1"/>
  <c r="H54" i="14638" s="1"/>
  <c r="E51" i="14638" a="1"/>
  <c r="E51" i="14638" s="1"/>
  <c r="O54" i="14638" a="1"/>
  <c r="O54" i="14638" s="1"/>
  <c r="J49" i="14638" a="1"/>
  <c r="J49" i="14638" s="1"/>
  <c r="K50" i="14638" a="1"/>
  <c r="K50" i="14638" s="1"/>
  <c r="I48" i="14638" a="1"/>
  <c r="I48" i="14638" s="1"/>
  <c r="I43" i="14638"/>
  <c r="L51" i="14638" a="1"/>
  <c r="L51" i="14638" s="1"/>
  <c r="N53" i="14638" a="1"/>
  <c r="N53" i="14638" s="1"/>
  <c r="M52" i="14638" a="1"/>
  <c r="M52" i="14638" s="1"/>
  <c r="L54" i="14638" a="1"/>
  <c r="L54" i="14638" s="1"/>
  <c r="I51" i="14638" a="1"/>
  <c r="I51" i="14638" s="1"/>
  <c r="K53" i="14638" a="1"/>
  <c r="K53" i="14638" s="1"/>
  <c r="F48" i="14638" a="1"/>
  <c r="F48" i="14638" s="1"/>
  <c r="H50" i="14638" a="1"/>
  <c r="H50" i="14638" s="1"/>
  <c r="G49" i="14638" a="1"/>
  <c r="G49" i="14638" s="1"/>
  <c r="J52" i="14638" a="1"/>
  <c r="J52" i="14638" s="1"/>
  <c r="F43" i="14638"/>
  <c r="K52" i="14638" a="1"/>
  <c r="K52" i="14638" s="1"/>
  <c r="G43" i="14638"/>
  <c r="J51" i="14638" a="1"/>
  <c r="J51" i="14638" s="1"/>
  <c r="I50" i="14638" a="1"/>
  <c r="I50" i="14638" s="1"/>
  <c r="M54" i="14638" a="1"/>
  <c r="M54" i="14638" s="1"/>
  <c r="G48" i="14638" a="1"/>
  <c r="G48" i="14638" s="1"/>
  <c r="L53" i="14638" a="1"/>
  <c r="L53" i="14638" s="1"/>
  <c r="H49" i="14638" a="1"/>
  <c r="H49" i="14638" s="1"/>
  <c r="J55" i="14632"/>
  <c r="O55" i="14632"/>
  <c r="C50" i="14638" a="1"/>
  <c r="P55" i="14632"/>
  <c r="D51" i="14638" a="1"/>
  <c r="E52" i="14638" a="1"/>
  <c r="Q55" i="14632"/>
  <c r="B49" i="14638" a="1"/>
  <c r="N55" i="14632"/>
  <c r="E55" i="14632"/>
  <c r="K55" i="14632"/>
  <c r="D55" i="14632"/>
  <c r="O20" i="14628"/>
  <c r="C21" i="14628" a="1"/>
  <c r="O13" i="14628"/>
  <c r="B17" i="14617" s="1"/>
  <c r="B17" i="8" a="1"/>
  <c r="B33" i="14673" l="1" a="1"/>
  <c r="B33" i="14673" s="1"/>
  <c r="C50" i="14673"/>
  <c r="C52" i="14673"/>
  <c r="E44" i="14673"/>
  <c r="E46" i="14673"/>
  <c r="G36" i="14673"/>
  <c r="G38" i="14673"/>
  <c r="J52" i="14673"/>
  <c r="L54" i="14673"/>
  <c r="K37" i="14673"/>
  <c r="K39" i="14673"/>
  <c r="N55" i="14672"/>
  <c r="E29" i="14682" a="1"/>
  <c r="E5" i="14674"/>
  <c r="R55" i="14679"/>
  <c r="I5" i="14674"/>
  <c r="N5" i="14674"/>
  <c r="K5" i="14674"/>
  <c r="C5" i="14674"/>
  <c r="G5" i="14674"/>
  <c r="N13" i="8"/>
  <c r="B13" i="14617" s="1"/>
  <c r="C13" i="14617" s="1"/>
  <c r="G49" i="14678" a="1"/>
  <c r="G49" i="14678" s="1"/>
  <c r="M5" i="14674"/>
  <c r="F5" i="14674"/>
  <c r="J5" i="14674"/>
  <c r="D5" i="14674"/>
  <c r="H5" i="14674"/>
  <c r="N43" i="14679"/>
  <c r="P55" i="14679"/>
  <c r="O5" i="14675"/>
  <c r="F49" i="14678" a="1"/>
  <c r="F49" i="14678" s="1"/>
  <c r="L55" i="14679"/>
  <c r="M54" i="14678" a="1"/>
  <c r="M54" i="14678" s="1"/>
  <c r="F48" i="14678" a="1"/>
  <c r="F48" i="14678" s="1"/>
  <c r="J49" i="14678" a="1"/>
  <c r="J49" i="14678" s="1"/>
  <c r="N51" i="14678" a="1"/>
  <c r="N51" i="14678" s="1"/>
  <c r="G50" i="14678" a="1"/>
  <c r="G50" i="14678" s="1"/>
  <c r="J52" i="14678" a="1"/>
  <c r="J52" i="14678" s="1"/>
  <c r="M53" i="14678" a="1"/>
  <c r="M53" i="14678" s="1"/>
  <c r="I51" i="14678" a="1"/>
  <c r="I51" i="14678" s="1"/>
  <c r="I55" i="14679"/>
  <c r="R54" i="14678" a="1"/>
  <c r="R54" i="14678" s="1"/>
  <c r="K54" i="14678" a="1"/>
  <c r="K54" i="14678" s="1"/>
  <c r="Q55" i="14679"/>
  <c r="C49" i="14678" a="1"/>
  <c r="C49" i="14678" s="1"/>
  <c r="R53" i="14678" a="1"/>
  <c r="R53" i="14678" s="1"/>
  <c r="I53" i="14678" a="1"/>
  <c r="I53" i="14678" s="1"/>
  <c r="N52" i="14678" a="1"/>
  <c r="N52" i="14678" s="1"/>
  <c r="J55" i="14679"/>
  <c r="O55" i="14679"/>
  <c r="H55" i="14679"/>
  <c r="E43" i="14678"/>
  <c r="K55" i="14679"/>
  <c r="N54" i="14678" a="1"/>
  <c r="N54" i="14678" s="1"/>
  <c r="I54" i="14678" a="1"/>
  <c r="I54" i="14678" s="1"/>
  <c r="N53" i="14678" a="1"/>
  <c r="N53" i="14678" s="1"/>
  <c r="Q53" i="14678" a="1"/>
  <c r="Q53" i="14678" s="1"/>
  <c r="P51" i="14678" a="1"/>
  <c r="P51" i="14678" s="1"/>
  <c r="D50" i="14678" a="1"/>
  <c r="D50" i="14678" s="1"/>
  <c r="J43" i="14678"/>
  <c r="N36" i="14678"/>
  <c r="E48" i="14678" a="1"/>
  <c r="E48" i="14678" s="1"/>
  <c r="J51" i="14678" a="1"/>
  <c r="J51" i="14678" s="1"/>
  <c r="E49" i="14678" a="1"/>
  <c r="E49" i="14678" s="1"/>
  <c r="K53" i="14678" a="1"/>
  <c r="K53" i="14678" s="1"/>
  <c r="N55" i="14679"/>
  <c r="M55" i="14679"/>
  <c r="J53" i="14678" a="1"/>
  <c r="J53" i="14678" s="1"/>
  <c r="H51" i="14678" a="1"/>
  <c r="H51" i="14678" s="1"/>
  <c r="I52" i="14678" a="1"/>
  <c r="I52" i="14678" s="1"/>
  <c r="F43" i="14678"/>
  <c r="L54" i="14678" a="1"/>
  <c r="L54" i="14678" s="1"/>
  <c r="H50" i="14678" a="1"/>
  <c r="H50" i="14678" s="1"/>
  <c r="E50" i="14678" a="1"/>
  <c r="E50" i="14678" s="1"/>
  <c r="K51" i="14678" a="1"/>
  <c r="K51" i="14678" s="1"/>
  <c r="H54" i="14678" a="1"/>
  <c r="H54" i="14678" s="1"/>
  <c r="O51" i="14678" a="1"/>
  <c r="O51" i="14678" s="1"/>
  <c r="N41" i="14678"/>
  <c r="M50" i="14678" a="1"/>
  <c r="M50" i="14678" s="1"/>
  <c r="I50" i="14678" a="1"/>
  <c r="I50" i="14678" s="1"/>
  <c r="B48" i="14678" a="1"/>
  <c r="B48" i="14678" s="1"/>
  <c r="M48" i="14678" a="1"/>
  <c r="M48" i="14678" s="1"/>
  <c r="D43" i="14678"/>
  <c r="K50" i="14678" a="1"/>
  <c r="K50" i="14678" s="1"/>
  <c r="P54" i="14678" a="1"/>
  <c r="P54" i="14678" s="1"/>
  <c r="N39" i="14678"/>
  <c r="L52" i="14678" a="1"/>
  <c r="L52" i="14678" s="1"/>
  <c r="H52" i="14678" a="1"/>
  <c r="H52" i="14678" s="1"/>
  <c r="L53" i="14678" a="1"/>
  <c r="L53" i="14678" s="1"/>
  <c r="Q52" i="14678" a="1"/>
  <c r="Q52" i="14678" s="1"/>
  <c r="I43" i="14678"/>
  <c r="L50" i="14678" a="1"/>
  <c r="L50" i="14678" s="1"/>
  <c r="L48" i="14678" a="1"/>
  <c r="L48" i="14678" s="1"/>
  <c r="L43" i="14678"/>
  <c r="B43" i="14678"/>
  <c r="F51" i="14678" a="1"/>
  <c r="F51" i="14678" s="1"/>
  <c r="K43" i="14678"/>
  <c r="N40" i="14678"/>
  <c r="C48" i="14678" a="1"/>
  <c r="C48" i="14678" s="1"/>
  <c r="L49" i="14678" a="1"/>
  <c r="L49" i="14678" s="1"/>
  <c r="D49" i="14678" a="1"/>
  <c r="D49" i="14678" s="1"/>
  <c r="J50" i="14678" a="1"/>
  <c r="J50" i="14678" s="1"/>
  <c r="N37" i="14678"/>
  <c r="S54" i="14678" a="1"/>
  <c r="S54" i="14678" s="1"/>
  <c r="G54" i="14679" s="1"/>
  <c r="G55" i="14679" s="1"/>
  <c r="N38" i="14678"/>
  <c r="N42" i="14678"/>
  <c r="L51" i="14678" a="1"/>
  <c r="L51" i="14678" s="1"/>
  <c r="N35" i="14678"/>
  <c r="K52" i="14678" a="1"/>
  <c r="K52" i="14678" s="1"/>
  <c r="J54" i="14678" a="1"/>
  <c r="J54" i="14678" s="1"/>
  <c r="O53" i="14678" a="1"/>
  <c r="O53" i="14678" s="1"/>
  <c r="H43" i="14678"/>
  <c r="I49" i="14678" a="1"/>
  <c r="I49" i="14678" s="1"/>
  <c r="H48" i="14678" a="1"/>
  <c r="H48" i="14678" s="1"/>
  <c r="F50" i="14678" a="1"/>
  <c r="F50" i="14678" s="1"/>
  <c r="G51" i="14678" a="1"/>
  <c r="G51" i="14678" s="1"/>
  <c r="D48" i="14678" a="1"/>
  <c r="D48" i="14678" s="1"/>
  <c r="G48" i="14678" a="1"/>
  <c r="G48" i="14678" s="1"/>
  <c r="H49" i="14678" a="1"/>
  <c r="H49" i="14678" s="1"/>
  <c r="G43" i="14678"/>
  <c r="N49" i="14678" a="1"/>
  <c r="N49" i="14678" s="1"/>
  <c r="O50" i="14678" a="1"/>
  <c r="O50" i="14678" s="1"/>
  <c r="M43" i="14678"/>
  <c r="M52" i="14678" a="1"/>
  <c r="M52" i="14678" s="1"/>
  <c r="I48" i="14678" a="1"/>
  <c r="I48" i="14678" s="1"/>
  <c r="O54" i="14678" a="1"/>
  <c r="O54" i="14678" s="1"/>
  <c r="K49" i="14678" a="1"/>
  <c r="K49" i="14678" s="1"/>
  <c r="J48" i="14678" a="1"/>
  <c r="J48" i="14678" s="1"/>
  <c r="M51" i="14678" a="1"/>
  <c r="M51" i="14678" s="1"/>
  <c r="C43" i="14678"/>
  <c r="H53" i="14678" a="1"/>
  <c r="H53" i="14678" s="1"/>
  <c r="G52" i="14678" a="1"/>
  <c r="G52" i="14678" s="1"/>
  <c r="M49" i="14678" a="1"/>
  <c r="M49" i="14678" s="1"/>
  <c r="N50" i="14678" a="1"/>
  <c r="N50" i="14678" s="1"/>
  <c r="P52" i="14678" a="1"/>
  <c r="P52" i="14678" s="1"/>
  <c r="O52" i="14678" a="1"/>
  <c r="O52" i="14678" s="1"/>
  <c r="K48" i="14678" a="1"/>
  <c r="K48" i="14678" s="1"/>
  <c r="P53" i="14678" a="1"/>
  <c r="P53" i="14678" s="1"/>
  <c r="Q54" i="14678" a="1"/>
  <c r="Q54" i="14678" s="1"/>
  <c r="F52" i="14678" a="1"/>
  <c r="F52" i="14678" s="1"/>
  <c r="E51" i="14678" a="1"/>
  <c r="E51" i="14678" s="1"/>
  <c r="G53" i="14678" a="1"/>
  <c r="G53" i="14678" s="1"/>
  <c r="N11" i="14631"/>
  <c r="B13" i="14631" a="1"/>
  <c r="F9" i="14617"/>
  <c r="D11" i="14617"/>
  <c r="D12" i="14634"/>
  <c r="F12" i="14634"/>
  <c r="H12" i="14634"/>
  <c r="J12" i="14634"/>
  <c r="L12" i="14634"/>
  <c r="N12" i="14634"/>
  <c r="C12" i="14634"/>
  <c r="E12" i="14634"/>
  <c r="G12" i="14634"/>
  <c r="I12" i="14634"/>
  <c r="K12" i="14634"/>
  <c r="M12" i="14634"/>
  <c r="D18" i="14649"/>
  <c r="G18" i="14649"/>
  <c r="E18" i="14649"/>
  <c r="F18" i="14649"/>
  <c r="C6" i="14674" a="1"/>
  <c r="D6" i="14674" s="1"/>
  <c r="N60" i="14672"/>
  <c r="N43" i="14638"/>
  <c r="C15" i="14633" a="1"/>
  <c r="N15" i="14633" s="1"/>
  <c r="S57" i="14632"/>
  <c r="H40" i="14667" s="1"/>
  <c r="D53" i="14638"/>
  <c r="D52" i="14638"/>
  <c r="D54" i="14638"/>
  <c r="D51" i="14638"/>
  <c r="C51" i="14638"/>
  <c r="C53" i="14638"/>
  <c r="C52" i="14638"/>
  <c r="C54" i="14638"/>
  <c r="C50" i="14638"/>
  <c r="I55" i="14638"/>
  <c r="G55" i="14638"/>
  <c r="F53" i="14638"/>
  <c r="F54" i="14638"/>
  <c r="Q55" i="14638"/>
  <c r="E52" i="14678" a="1"/>
  <c r="M55" i="14638"/>
  <c r="N55" i="14638"/>
  <c r="B49" i="14678" a="1"/>
  <c r="G54" i="14678"/>
  <c r="S55" i="14638"/>
  <c r="B52" i="14638"/>
  <c r="B54" i="14638"/>
  <c r="B53" i="14638"/>
  <c r="B50" i="14638"/>
  <c r="B49" i="14638"/>
  <c r="B51" i="14638"/>
  <c r="E52" i="14638"/>
  <c r="E54" i="14638"/>
  <c r="E53" i="14638"/>
  <c r="K55" i="14638"/>
  <c r="O5" i="14639"/>
  <c r="O9" i="14639" s="1"/>
  <c r="O15" i="14639" s="1"/>
  <c r="M10" i="14640" s="1"/>
  <c r="C9" i="14639"/>
  <c r="C12" i="14639" s="1" a="1"/>
  <c r="L55" i="14638"/>
  <c r="H55" i="14638"/>
  <c r="O55" i="14638"/>
  <c r="C50" i="14678" a="1"/>
  <c r="R55" i="14638"/>
  <c r="F53" i="14678" a="1"/>
  <c r="D51" i="14678" a="1"/>
  <c r="P55" i="14638"/>
  <c r="J55" i="14638"/>
  <c r="I17" i="8"/>
  <c r="H17" i="8"/>
  <c r="E17" i="8"/>
  <c r="C17" i="8"/>
  <c r="D17" i="8"/>
  <c r="M17" i="8"/>
  <c r="G17" i="8"/>
  <c r="L17" i="8"/>
  <c r="K17" i="8"/>
  <c r="F17" i="8"/>
  <c r="J17" i="8"/>
  <c r="B17" i="8"/>
  <c r="N21" i="14628"/>
  <c r="E21" i="14628"/>
  <c r="I21" i="14628"/>
  <c r="L21" i="14628"/>
  <c r="H21" i="14628"/>
  <c r="J21" i="14628"/>
  <c r="F21" i="14628"/>
  <c r="K21" i="14628"/>
  <c r="G21" i="14628"/>
  <c r="M21" i="14628"/>
  <c r="C21" i="14628"/>
  <c r="D21" i="14628"/>
  <c r="K36" i="14673" l="1"/>
  <c r="J43" i="14673"/>
  <c r="G35" i="14673"/>
  <c r="E43" i="14673"/>
  <c r="C49" i="14673"/>
  <c r="J37" i="14673"/>
  <c r="H46" i="14673"/>
  <c r="F54" i="14673"/>
  <c r="E34" i="14673"/>
  <c r="C40" i="14673"/>
  <c r="J35" i="14673"/>
  <c r="H44" i="14673"/>
  <c r="F52" i="14673"/>
  <c r="M50" i="14673"/>
  <c r="C38" i="14673"/>
  <c r="J34" i="14673"/>
  <c r="H43" i="14673"/>
  <c r="F51" i="14673"/>
  <c r="M37" i="14673"/>
  <c r="C37" i="14673"/>
  <c r="M49" i="14673"/>
  <c r="I54" i="14673"/>
  <c r="H34" i="14673"/>
  <c r="F42" i="14673"/>
  <c r="D49" i="14673"/>
  <c r="L38" i="14673"/>
  <c r="L47" i="14673"/>
  <c r="I52" i="14673"/>
  <c r="M52" i="14673"/>
  <c r="F40" i="14673"/>
  <c r="D47" i="14673"/>
  <c r="B54" i="14673"/>
  <c r="L42" i="14673"/>
  <c r="I51" i="14673"/>
  <c r="M36" i="14673"/>
  <c r="F39" i="14673"/>
  <c r="D46" i="14673"/>
  <c r="B53" i="14673"/>
  <c r="K51" i="14673"/>
  <c r="I42" i="14673"/>
  <c r="G50" i="14673"/>
  <c r="M35" i="14673"/>
  <c r="D37" i="14673"/>
  <c r="B44" i="14673"/>
  <c r="K49" i="14673"/>
  <c r="I40" i="14673"/>
  <c r="G48" i="14673"/>
  <c r="J53" i="14673"/>
  <c r="D35" i="14673"/>
  <c r="B42" i="14673"/>
  <c r="K48" i="14673"/>
  <c r="I39" i="14673"/>
  <c r="G47" i="14673"/>
  <c r="J45" i="14673"/>
  <c r="D34" i="14673"/>
  <c r="B41" i="14673"/>
  <c r="M40" i="14673"/>
  <c r="K50" i="14673"/>
  <c r="K38" i="14673"/>
  <c r="J36" i="14673"/>
  <c r="I53" i="14673"/>
  <c r="I41" i="14673"/>
  <c r="L43" i="14673"/>
  <c r="H45" i="14673"/>
  <c r="H33" i="14673"/>
  <c r="G49" i="14673"/>
  <c r="G37" i="14673"/>
  <c r="F53" i="14673"/>
  <c r="F41" i="14673"/>
  <c r="L44" i="14673"/>
  <c r="E45" i="14673"/>
  <c r="E33" i="14673"/>
  <c r="D48" i="14673"/>
  <c r="D36" i="14673"/>
  <c r="C51" i="14673"/>
  <c r="C39" i="14673"/>
  <c r="J49" i="14673"/>
  <c r="B43" i="14673"/>
  <c r="L37" i="14673"/>
  <c r="K47" i="14673"/>
  <c r="K35" i="14673"/>
  <c r="J33" i="14673"/>
  <c r="I50" i="14673"/>
  <c r="I38" i="14673"/>
  <c r="H54" i="14673"/>
  <c r="H42" i="14673"/>
  <c r="L52" i="14673"/>
  <c r="G46" i="14673"/>
  <c r="G34" i="14673"/>
  <c r="F50" i="14673"/>
  <c r="F38" i="14673"/>
  <c r="E54" i="14673"/>
  <c r="E42" i="14673"/>
  <c r="L50" i="14673"/>
  <c r="D45" i="14673"/>
  <c r="D33" i="14673"/>
  <c r="C48" i="14673"/>
  <c r="C36" i="14673"/>
  <c r="B52" i="14673"/>
  <c r="B40" i="14673"/>
  <c r="L36" i="14673"/>
  <c r="K46" i="14673"/>
  <c r="K34" i="14673"/>
  <c r="M51" i="14673"/>
  <c r="I49" i="14673"/>
  <c r="I37" i="14673"/>
  <c r="H53" i="14673"/>
  <c r="H41" i="14673"/>
  <c r="L46" i="14673"/>
  <c r="G45" i="14673"/>
  <c r="G33" i="14673"/>
  <c r="F49" i="14673"/>
  <c r="F37" i="14673"/>
  <c r="E53" i="14673"/>
  <c r="E41" i="14673"/>
  <c r="L40" i="14673"/>
  <c r="D44" i="14673"/>
  <c r="M47" i="14673"/>
  <c r="C47" i="14673"/>
  <c r="C35" i="14673"/>
  <c r="B51" i="14673"/>
  <c r="B39" i="14673"/>
  <c r="L35" i="14673"/>
  <c r="K45" i="14673"/>
  <c r="K33" i="14673"/>
  <c r="M43" i="14673"/>
  <c r="I48" i="14673"/>
  <c r="I36" i="14673"/>
  <c r="H52" i="14673"/>
  <c r="H40" i="14673"/>
  <c r="J51" i="14673"/>
  <c r="G44" i="14673"/>
  <c r="M48" i="14673"/>
  <c r="F48" i="14673"/>
  <c r="F36" i="14673"/>
  <c r="E52" i="14673"/>
  <c r="E40" i="14673"/>
  <c r="J48" i="14673"/>
  <c r="D43" i="14673"/>
  <c r="M41" i="14673"/>
  <c r="C46" i="14673"/>
  <c r="C34" i="14673"/>
  <c r="B50" i="14673"/>
  <c r="B38" i="14673"/>
  <c r="L34" i="14673"/>
  <c r="K44" i="14673"/>
  <c r="M33" i="14673"/>
  <c r="M42" i="14673"/>
  <c r="I47" i="14673"/>
  <c r="I35" i="14673"/>
  <c r="H51" i="14673"/>
  <c r="H39" i="14673"/>
  <c r="J42" i="14673"/>
  <c r="G43" i="14673"/>
  <c r="M34" i="14673"/>
  <c r="F47" i="14673"/>
  <c r="F35" i="14673"/>
  <c r="E51" i="14673"/>
  <c r="E39" i="14673"/>
  <c r="D54" i="14673"/>
  <c r="D42" i="14673"/>
  <c r="L51" i="14673"/>
  <c r="C45" i="14673"/>
  <c r="C33" i="14673"/>
  <c r="B49" i="14673"/>
  <c r="B37" i="14673"/>
  <c r="L33" i="14673"/>
  <c r="K43" i="14673"/>
  <c r="J47" i="14673"/>
  <c r="L53" i="14673"/>
  <c r="I46" i="14673"/>
  <c r="I34" i="14673"/>
  <c r="H50" i="14673"/>
  <c r="H38" i="14673"/>
  <c r="G54" i="14673"/>
  <c r="G42" i="14673"/>
  <c r="L48" i="14673"/>
  <c r="F46" i="14673"/>
  <c r="F34" i="14673"/>
  <c r="E50" i="14673"/>
  <c r="E38" i="14673"/>
  <c r="D53" i="14673"/>
  <c r="D41" i="14673"/>
  <c r="L45" i="14673"/>
  <c r="C44" i="14673"/>
  <c r="M54" i="14673"/>
  <c r="B48" i="14673"/>
  <c r="B36" i="14673"/>
  <c r="K54" i="14673"/>
  <c r="K42" i="14673"/>
  <c r="J40" i="14673"/>
  <c r="L39" i="14673"/>
  <c r="I45" i="14673"/>
  <c r="I33" i="14673"/>
  <c r="H49" i="14673"/>
  <c r="H37" i="14673"/>
  <c r="G53" i="14673"/>
  <c r="G41" i="14673"/>
  <c r="L41" i="14673"/>
  <c r="F45" i="14673"/>
  <c r="F33" i="14673"/>
  <c r="E49" i="14673"/>
  <c r="E37" i="14673"/>
  <c r="D52" i="14673"/>
  <c r="D40" i="14673"/>
  <c r="J46" i="14673"/>
  <c r="C43" i="14673"/>
  <c r="M46" i="14673"/>
  <c r="B47" i="14673"/>
  <c r="B35" i="14673"/>
  <c r="K53" i="14673"/>
  <c r="K41" i="14673"/>
  <c r="J39" i="14673"/>
  <c r="J50" i="14673"/>
  <c r="I44" i="14673"/>
  <c r="M45" i="14673"/>
  <c r="H48" i="14673"/>
  <c r="H36" i="14673"/>
  <c r="G52" i="14673"/>
  <c r="G40" i="14673"/>
  <c r="J54" i="14673"/>
  <c r="F44" i="14673"/>
  <c r="M53" i="14673"/>
  <c r="E48" i="14673"/>
  <c r="E36" i="14673"/>
  <c r="D51" i="14673"/>
  <c r="D39" i="14673"/>
  <c r="C54" i="14673"/>
  <c r="C42" i="14673"/>
  <c r="M39" i="14673"/>
  <c r="B46" i="14673"/>
  <c r="B34" i="14673"/>
  <c r="K52" i="14673"/>
  <c r="K40" i="14673"/>
  <c r="J38" i="14673"/>
  <c r="J41" i="14673"/>
  <c r="I43" i="14673"/>
  <c r="M38" i="14673"/>
  <c r="H47" i="14673"/>
  <c r="H35" i="14673"/>
  <c r="G51" i="14673"/>
  <c r="G39" i="14673"/>
  <c r="J44" i="14673"/>
  <c r="F43" i="14673"/>
  <c r="M44" i="14673"/>
  <c r="E47" i="14673"/>
  <c r="E35" i="14673"/>
  <c r="D50" i="14673"/>
  <c r="D38" i="14673"/>
  <c r="C53" i="14673"/>
  <c r="C41" i="14673"/>
  <c r="L49" i="14673"/>
  <c r="B45" i="14673"/>
  <c r="F53" i="14679" a="1"/>
  <c r="F53" i="14679" s="1"/>
  <c r="E30" i="14682"/>
  <c r="E32" i="14682"/>
  <c r="E34" i="14682"/>
  <c r="E36" i="14682"/>
  <c r="E38" i="14682"/>
  <c r="E40" i="14682"/>
  <c r="E42" i="14682"/>
  <c r="E44" i="14682"/>
  <c r="E46" i="14682"/>
  <c r="E48" i="14682"/>
  <c r="E50" i="14682"/>
  <c r="E29" i="14682"/>
  <c r="E31" i="14682"/>
  <c r="E33" i="14682"/>
  <c r="E35" i="14682"/>
  <c r="E37" i="14682"/>
  <c r="E39" i="14682"/>
  <c r="E41" i="14682"/>
  <c r="E43" i="14682"/>
  <c r="E45" i="14682"/>
  <c r="E47" i="14682"/>
  <c r="E49" i="14682"/>
  <c r="F15" i="14708"/>
  <c r="D9" i="14674"/>
  <c r="O5" i="14674"/>
  <c r="R55" i="14678"/>
  <c r="S55" i="14678"/>
  <c r="S57" i="14679"/>
  <c r="N29" i="14706" s="1"/>
  <c r="N51" i="14706" s="1"/>
  <c r="E52" i="14679" a="1"/>
  <c r="E52" i="14679" s="1"/>
  <c r="J55" i="14678"/>
  <c r="H55" i="14678"/>
  <c r="G55" i="14678"/>
  <c r="O55" i="14678"/>
  <c r="L55" i="14678"/>
  <c r="K55" i="14678"/>
  <c r="B49" i="14679" a="1"/>
  <c r="B52" i="14679" s="1"/>
  <c r="N43" i="14678"/>
  <c r="I55" i="14678"/>
  <c r="P55" i="14678"/>
  <c r="C50" i="14679" a="1"/>
  <c r="C53" i="14679" s="1"/>
  <c r="Q55" i="14678"/>
  <c r="D51" i="14679" a="1"/>
  <c r="D52" i="14679" s="1"/>
  <c r="M55" i="14678"/>
  <c r="N55" i="14678"/>
  <c r="N10" i="14640"/>
  <c r="G9" i="14617" s="1" a="1"/>
  <c r="B11" i="14640" a="1"/>
  <c r="E9" i="14617" a="1"/>
  <c r="D13" i="14617"/>
  <c r="C23" i="14709"/>
  <c r="H13" i="14631"/>
  <c r="G13" i="14631"/>
  <c r="B13" i="14631"/>
  <c r="C13" i="14631"/>
  <c r="K13" i="14631"/>
  <c r="I13" i="14631"/>
  <c r="L13" i="14631"/>
  <c r="F13" i="14631"/>
  <c r="D13" i="14631"/>
  <c r="E13" i="14631"/>
  <c r="M13" i="14631"/>
  <c r="J13" i="14631"/>
  <c r="C12" i="14639"/>
  <c r="E12" i="14639"/>
  <c r="G12" i="14639"/>
  <c r="I12" i="14639"/>
  <c r="K12" i="14639"/>
  <c r="M12" i="14639"/>
  <c r="D12" i="14639"/>
  <c r="F12" i="14639"/>
  <c r="H12" i="14639"/>
  <c r="J12" i="14639"/>
  <c r="L12" i="14639"/>
  <c r="N12" i="14639"/>
  <c r="F15" i="14657"/>
  <c r="B26" i="14649"/>
  <c r="C23" i="14649" s="1" a="1"/>
  <c r="G8" i="14643"/>
  <c r="G6" i="14674"/>
  <c r="G9" i="14674" s="1"/>
  <c r="F6" i="14674"/>
  <c r="F9" i="14674" s="1"/>
  <c r="I6" i="14674"/>
  <c r="I9" i="14674" s="1"/>
  <c r="J6" i="14674"/>
  <c r="J9" i="14674" s="1"/>
  <c r="M6" i="14674"/>
  <c r="M9" i="14674" s="1"/>
  <c r="L6" i="14674"/>
  <c r="L9" i="14674" s="1"/>
  <c r="N6" i="14674"/>
  <c r="N9" i="14674" s="1"/>
  <c r="K6" i="14674"/>
  <c r="K9" i="14674" s="1"/>
  <c r="H6" i="14674"/>
  <c r="H9" i="14674" s="1"/>
  <c r="E6" i="14674"/>
  <c r="E9" i="14674" s="1"/>
  <c r="C6" i="14674"/>
  <c r="C9" i="14674" s="1"/>
  <c r="I15" i="14633"/>
  <c r="C55" i="14638"/>
  <c r="H29" i="14706"/>
  <c r="H51" i="14706" s="1"/>
  <c r="E55" i="14638"/>
  <c r="D15" i="14633"/>
  <c r="F55" i="14638"/>
  <c r="D55" i="14638"/>
  <c r="G15" i="14633"/>
  <c r="H15" i="14633"/>
  <c r="M15" i="14633"/>
  <c r="J15" i="14633"/>
  <c r="K15" i="14633"/>
  <c r="E15" i="14633"/>
  <c r="F15" i="14633"/>
  <c r="C15" i="14633"/>
  <c r="L15" i="14633"/>
  <c r="B55" i="14638"/>
  <c r="D52" i="14678"/>
  <c r="D54" i="14678"/>
  <c r="D53" i="14678"/>
  <c r="D51" i="14678"/>
  <c r="B51" i="14678"/>
  <c r="B54" i="14678"/>
  <c r="B53" i="14678"/>
  <c r="B52" i="14678"/>
  <c r="B49" i="14678"/>
  <c r="B50" i="14678"/>
  <c r="C20" i="14634" a="1"/>
  <c r="O12" i="14634"/>
  <c r="C13" i="14634" a="1"/>
  <c r="F53" i="14678"/>
  <c r="F54" i="14678"/>
  <c r="C51" i="14678"/>
  <c r="C54" i="14678"/>
  <c r="C53" i="14678"/>
  <c r="C52" i="14678"/>
  <c r="C50" i="14678"/>
  <c r="S57" i="14638"/>
  <c r="E52" i="14678"/>
  <c r="E54" i="14678"/>
  <c r="E53" i="14678"/>
  <c r="H50" i="14667"/>
  <c r="D24" i="4128"/>
  <c r="N17" i="8"/>
  <c r="F22" i="14628"/>
  <c r="O21" i="14628"/>
  <c r="N41" i="14673" l="1"/>
  <c r="N43" i="14673"/>
  <c r="N53" i="14673"/>
  <c r="F54" i="14679"/>
  <c r="N52" i="14673"/>
  <c r="N54" i="14673"/>
  <c r="N40" i="14673"/>
  <c r="H55" i="14673"/>
  <c r="D60" i="14673"/>
  <c r="D55" i="14673"/>
  <c r="K55" i="14673"/>
  <c r="I55" i="14673"/>
  <c r="J55" i="14673"/>
  <c r="E55" i="14673"/>
  <c r="B55" i="14673"/>
  <c r="F55" i="14673"/>
  <c r="L55" i="14673"/>
  <c r="N34" i="14673"/>
  <c r="G55" i="14673"/>
  <c r="E51" i="14682"/>
  <c r="M60" i="14673"/>
  <c r="M55" i="14673"/>
  <c r="C55" i="14673"/>
  <c r="G60" i="14673"/>
  <c r="K60" i="14673"/>
  <c r="I60" i="14673"/>
  <c r="B60" i="14673"/>
  <c r="C60" i="14673"/>
  <c r="H60" i="14673"/>
  <c r="F60" i="14673"/>
  <c r="E60" i="14673"/>
  <c r="L60" i="14673"/>
  <c r="J60" i="14673"/>
  <c r="N42" i="14673"/>
  <c r="N48" i="14673"/>
  <c r="N35" i="14673"/>
  <c r="N44" i="14673"/>
  <c r="N36" i="14673"/>
  <c r="N33" i="14673"/>
  <c r="N47" i="14673"/>
  <c r="N50" i="14673"/>
  <c r="N46" i="14673"/>
  <c r="N37" i="14673"/>
  <c r="N39" i="14673"/>
  <c r="N45" i="14673"/>
  <c r="N51" i="14673"/>
  <c r="N49" i="14673"/>
  <c r="N38" i="14673"/>
  <c r="E53" i="14679"/>
  <c r="C50" i="14679"/>
  <c r="B53" i="14679"/>
  <c r="N40" i="14667"/>
  <c r="N50" i="14667" s="1"/>
  <c r="E54" i="14679"/>
  <c r="B51" i="14679"/>
  <c r="B49" i="14679"/>
  <c r="B50" i="14679"/>
  <c r="B54" i="14679"/>
  <c r="C52" i="14679"/>
  <c r="D53" i="14679"/>
  <c r="C54" i="14679"/>
  <c r="S57" i="14678"/>
  <c r="L29" i="14706" s="1"/>
  <c r="L51" i="14706" s="1"/>
  <c r="D54" i="14679"/>
  <c r="C51" i="14679"/>
  <c r="D51" i="14679"/>
  <c r="C11" i="14640"/>
  <c r="E11" i="14640"/>
  <c r="H11" i="14640"/>
  <c r="D11" i="14640"/>
  <c r="F11" i="14640"/>
  <c r="G11" i="14640"/>
  <c r="K11" i="14640"/>
  <c r="J11" i="14640"/>
  <c r="M11" i="14640"/>
  <c r="B11" i="14640"/>
  <c r="L11" i="14640"/>
  <c r="I11" i="14640"/>
  <c r="G9" i="14617"/>
  <c r="G10" i="14617"/>
  <c r="N13" i="14631"/>
  <c r="H15" i="14708"/>
  <c r="E13" i="14617"/>
  <c r="F13" i="14617"/>
  <c r="E11" i="14617"/>
  <c r="E9" i="14617"/>
  <c r="E10" i="14617"/>
  <c r="C12" i="14674" a="1"/>
  <c r="C26" i="14649"/>
  <c r="C25" i="14649"/>
  <c r="C24" i="14649"/>
  <c r="C23" i="14649"/>
  <c r="O6" i="14674"/>
  <c r="O9" i="14674" s="1"/>
  <c r="O15" i="14674" s="1"/>
  <c r="M10" i="14670" s="1"/>
  <c r="O15" i="14633"/>
  <c r="C55" i="14678"/>
  <c r="F55" i="14678"/>
  <c r="C15" i="14641" a="1"/>
  <c r="E15" i="14641" s="1"/>
  <c r="E55" i="14678"/>
  <c r="C45" i="14649"/>
  <c r="J29" i="14706"/>
  <c r="J51" i="14706" s="1"/>
  <c r="J40" i="14667"/>
  <c r="K13" i="14634"/>
  <c r="H13" i="14634"/>
  <c r="C13" i="14634"/>
  <c r="J13" i="14634"/>
  <c r="L13" i="14634"/>
  <c r="D13" i="14634"/>
  <c r="F13" i="14634"/>
  <c r="N13" i="14634"/>
  <c r="M13" i="14634"/>
  <c r="E13" i="14634"/>
  <c r="I13" i="14634"/>
  <c r="G13" i="14634"/>
  <c r="J20" i="14634"/>
  <c r="F20" i="14634"/>
  <c r="D20" i="14634"/>
  <c r="M20" i="14634"/>
  <c r="C20" i="14634"/>
  <c r="L20" i="14634"/>
  <c r="H20" i="14634"/>
  <c r="I20" i="14634"/>
  <c r="E20" i="14634"/>
  <c r="N20" i="14634"/>
  <c r="G20" i="14634"/>
  <c r="K20" i="14634"/>
  <c r="B55" i="14678"/>
  <c r="D55" i="14678"/>
  <c r="F24" i="14628"/>
  <c r="I22" i="14628"/>
  <c r="F55" i="14679" l="1"/>
  <c r="N55" i="14673"/>
  <c r="F29" i="14682" a="1"/>
  <c r="F49" i="14682" s="1"/>
  <c r="F29" i="14682"/>
  <c r="F31" i="14682"/>
  <c r="F35" i="14682"/>
  <c r="F37" i="14682"/>
  <c r="F39" i="14682"/>
  <c r="F41" i="14682"/>
  <c r="F43" i="14682"/>
  <c r="F45" i="14682"/>
  <c r="F47" i="14682"/>
  <c r="F30" i="14682"/>
  <c r="F32" i="14682"/>
  <c r="F34" i="14682"/>
  <c r="F38" i="14682"/>
  <c r="F40" i="14682"/>
  <c r="F42" i="14682"/>
  <c r="F44" i="14682"/>
  <c r="F46" i="14682"/>
  <c r="F48" i="14682"/>
  <c r="F50" i="14682"/>
  <c r="E55" i="14679"/>
  <c r="C6" i="14675" a="1"/>
  <c r="J6" i="14675" s="1"/>
  <c r="J9" i="14675" s="1"/>
  <c r="N60" i="14673"/>
  <c r="G15" i="14657"/>
  <c r="L40" i="14667"/>
  <c r="L50" i="14667" s="1"/>
  <c r="B55" i="14679"/>
  <c r="C55" i="14679"/>
  <c r="D55" i="14679"/>
  <c r="N10" i="14670"/>
  <c r="J9" i="14617" s="1" a="1"/>
  <c r="B11" i="14670" a="1"/>
  <c r="N11" i="14640"/>
  <c r="B13" i="14640" a="1"/>
  <c r="G11" i="14617"/>
  <c r="H9" i="14617" s="1" a="1"/>
  <c r="I9" i="14617"/>
  <c r="D12" i="14674"/>
  <c r="F12" i="14674"/>
  <c r="H12" i="14674"/>
  <c r="J12" i="14674"/>
  <c r="L12" i="14674"/>
  <c r="N12" i="14674"/>
  <c r="C12" i="14674"/>
  <c r="E12" i="14674"/>
  <c r="G12" i="14674"/>
  <c r="I12" i="14674"/>
  <c r="K12" i="14674"/>
  <c r="M12" i="14674"/>
  <c r="K15" i="14641"/>
  <c r="I15" i="14641"/>
  <c r="N15" i="14641"/>
  <c r="C15" i="14641"/>
  <c r="D15" i="14641"/>
  <c r="G15" i="14641"/>
  <c r="L15" i="14641"/>
  <c r="M15" i="14641"/>
  <c r="J15" i="14641"/>
  <c r="H15" i="14641"/>
  <c r="F15" i="14641"/>
  <c r="C15" i="14676" a="1"/>
  <c r="C21" i="14634" a="1"/>
  <c r="O20" i="14634"/>
  <c r="B17" i="14631" a="1"/>
  <c r="O13" i="14634"/>
  <c r="D17" i="14617" s="1"/>
  <c r="J50" i="14667"/>
  <c r="D45" i="14649" s="1"/>
  <c r="E24" i="4128"/>
  <c r="O12" i="14639"/>
  <c r="C20" i="14639" a="1"/>
  <c r="C13" i="14639" a="1"/>
  <c r="L22" i="14628"/>
  <c r="O22" i="14628" s="1"/>
  <c r="I24" i="14628"/>
  <c r="F36" i="14682" l="1"/>
  <c r="F33" i="14682"/>
  <c r="K6" i="14675"/>
  <c r="K9" i="14675" s="1"/>
  <c r="E6" i="14675"/>
  <c r="E9" i="14675" s="1"/>
  <c r="L6" i="14675"/>
  <c r="L9" i="14675" s="1"/>
  <c r="I6" i="14675"/>
  <c r="I9" i="14675" s="1"/>
  <c r="N6" i="14675"/>
  <c r="N9" i="14675" s="1"/>
  <c r="C6" i="14675"/>
  <c r="C9" i="14675" s="1"/>
  <c r="D6" i="14675"/>
  <c r="D9" i="14675" s="1"/>
  <c r="H6" i="14675"/>
  <c r="H9" i="14675" s="1"/>
  <c r="F6" i="14675"/>
  <c r="F9" i="14675" s="1"/>
  <c r="M6" i="14675"/>
  <c r="M9" i="14675" s="1"/>
  <c r="G6" i="14675"/>
  <c r="G9" i="14675" s="1"/>
  <c r="H8" i="14643"/>
  <c r="C15" i="14677" a="1"/>
  <c r="M15" i="14677" s="1"/>
  <c r="H11" i="14670"/>
  <c r="M11" i="14670"/>
  <c r="J11" i="14670"/>
  <c r="B11" i="14670"/>
  <c r="L11" i="14670"/>
  <c r="C11" i="14670"/>
  <c r="I11" i="14670"/>
  <c r="E11" i="14670"/>
  <c r="G11" i="14670"/>
  <c r="F11" i="14670"/>
  <c r="K11" i="14670"/>
  <c r="D11" i="14670"/>
  <c r="J9" i="14617"/>
  <c r="J10" i="14617"/>
  <c r="B13" i="14640"/>
  <c r="H13" i="14640"/>
  <c r="I13" i="14640"/>
  <c r="F13" i="14640"/>
  <c r="E13" i="14640"/>
  <c r="K13" i="14640"/>
  <c r="L13" i="14640"/>
  <c r="C13" i="14640"/>
  <c r="M13" i="14640"/>
  <c r="D13" i="14640"/>
  <c r="J13" i="14640"/>
  <c r="G13" i="14640"/>
  <c r="H10" i="14617"/>
  <c r="H9" i="14617"/>
  <c r="H11" i="14617"/>
  <c r="D23" i="14709"/>
  <c r="G13" i="14617"/>
  <c r="C13" i="14674" a="1"/>
  <c r="L13" i="14674" s="1"/>
  <c r="O12" i="14674"/>
  <c r="C20" i="14674" a="1"/>
  <c r="G20" i="14674" s="1"/>
  <c r="O15" i="14641"/>
  <c r="M13" i="14639"/>
  <c r="F13" i="14639"/>
  <c r="I13" i="14639"/>
  <c r="D13" i="14639"/>
  <c r="L13" i="14639"/>
  <c r="C13" i="14639"/>
  <c r="J13" i="14639"/>
  <c r="N13" i="14639"/>
  <c r="H13" i="14639"/>
  <c r="G13" i="14639"/>
  <c r="K13" i="14639"/>
  <c r="E13" i="14639"/>
  <c r="E45" i="14649"/>
  <c r="F45" i="14649"/>
  <c r="D17" i="14631"/>
  <c r="G17" i="14631"/>
  <c r="K17" i="14631"/>
  <c r="F17" i="14631"/>
  <c r="H17" i="14631"/>
  <c r="E17" i="14631"/>
  <c r="L17" i="14631"/>
  <c r="M17" i="14631"/>
  <c r="J17" i="14631"/>
  <c r="C17" i="14631"/>
  <c r="B17" i="14631"/>
  <c r="I17" i="14631"/>
  <c r="D21" i="14634"/>
  <c r="M21" i="14634"/>
  <c r="E21" i="14634"/>
  <c r="C21" i="14634"/>
  <c r="K21" i="14634"/>
  <c r="L21" i="14634"/>
  <c r="G21" i="14634"/>
  <c r="J21" i="14634"/>
  <c r="H21" i="14634"/>
  <c r="F21" i="14634"/>
  <c r="I21" i="14634"/>
  <c r="N21" i="14634"/>
  <c r="N20" i="14639"/>
  <c r="F20" i="14639"/>
  <c r="M20" i="14639"/>
  <c r="L20" i="14639"/>
  <c r="D20" i="14639"/>
  <c r="H20" i="14639"/>
  <c r="E20" i="14639"/>
  <c r="C20" i="14639"/>
  <c r="G20" i="14639"/>
  <c r="I20" i="14639"/>
  <c r="J20" i="14639"/>
  <c r="K20" i="14639"/>
  <c r="F17" i="14617"/>
  <c r="F15" i="14676"/>
  <c r="H15" i="14676"/>
  <c r="C15" i="14676"/>
  <c r="L15" i="14676"/>
  <c r="D15" i="14676"/>
  <c r="M15" i="14676"/>
  <c r="G15" i="14676"/>
  <c r="K15" i="14676"/>
  <c r="J15" i="14676"/>
  <c r="E15" i="14676"/>
  <c r="N15" i="14676"/>
  <c r="I15" i="14676"/>
  <c r="L24" i="14628"/>
  <c r="F51" i="14682" l="1"/>
  <c r="A109" i="14707" a="1"/>
  <c r="C12" i="14675" a="1"/>
  <c r="C12" i="14675" s="1"/>
  <c r="O6" i="14675"/>
  <c r="O9" i="14675" s="1"/>
  <c r="O15" i="14675" s="1"/>
  <c r="M10" i="14671" s="1"/>
  <c r="N10" i="14671" s="1"/>
  <c r="M9" i="14617" s="1" a="1"/>
  <c r="F15" i="14677"/>
  <c r="J15" i="14677"/>
  <c r="N15" i="14677"/>
  <c r="I15" i="14677"/>
  <c r="L15" i="14677"/>
  <c r="G15" i="14677"/>
  <c r="D15" i="14677"/>
  <c r="K15" i="14677"/>
  <c r="E15" i="14677"/>
  <c r="H15" i="14677"/>
  <c r="C15" i="14677"/>
  <c r="B13" i="14670" a="1"/>
  <c r="N11" i="14670"/>
  <c r="J11" i="14617"/>
  <c r="K9" i="14617" s="1" a="1"/>
  <c r="L9" i="14617"/>
  <c r="F24" i="4128"/>
  <c r="J15" i="14708"/>
  <c r="H13" i="14617"/>
  <c r="I13" i="14617"/>
  <c r="N13" i="14640"/>
  <c r="M13" i="14674"/>
  <c r="D13" i="14674"/>
  <c r="G13" i="14674"/>
  <c r="C13" i="14674"/>
  <c r="M20" i="14674"/>
  <c r="F13" i="14674"/>
  <c r="J13" i="14674"/>
  <c r="D20" i="14674"/>
  <c r="H13" i="14674"/>
  <c r="I20" i="14674"/>
  <c r="N13" i="14674"/>
  <c r="K13" i="14674"/>
  <c r="I13" i="14674"/>
  <c r="E13" i="14674"/>
  <c r="C20" i="14674"/>
  <c r="N20" i="14674"/>
  <c r="L20" i="14674"/>
  <c r="E20" i="14674"/>
  <c r="F20" i="14674"/>
  <c r="J20" i="14674"/>
  <c r="K20" i="14674"/>
  <c r="H20" i="14674"/>
  <c r="O21" i="14634"/>
  <c r="O15" i="14676"/>
  <c r="C21" i="14639" a="1"/>
  <c r="O20" i="14639"/>
  <c r="N17" i="14631"/>
  <c r="C12" i="14696" a="1"/>
  <c r="O13" i="14639"/>
  <c r="G17" i="14617" s="1"/>
  <c r="B17" i="14640" a="1"/>
  <c r="C22" i="14625" a="1"/>
  <c r="O24" i="14628"/>
  <c r="F7" i="14706"/>
  <c r="F21" i="14667"/>
  <c r="C22" i="14634"/>
  <c r="N12" i="14675" l="1"/>
  <c r="D12" i="14675"/>
  <c r="M12" i="14675"/>
  <c r="G12" i="14675"/>
  <c r="L12" i="14675"/>
  <c r="I12" i="14675"/>
  <c r="K12" i="14675"/>
  <c r="H12" i="14675"/>
  <c r="E12" i="14675"/>
  <c r="J12" i="14675"/>
  <c r="F12" i="14675"/>
  <c r="F115" i="14707"/>
  <c r="F114" i="14707"/>
  <c r="F120" i="14707"/>
  <c r="A117" i="14707"/>
  <c r="A115" i="14707"/>
  <c r="A111" i="14707"/>
  <c r="A122" i="14707"/>
  <c r="A109" i="14707"/>
  <c r="A123" i="14707"/>
  <c r="A114" i="14707"/>
  <c r="A112" i="14707"/>
  <c r="A124" i="14707"/>
  <c r="A121" i="14707"/>
  <c r="C116" i="14707"/>
  <c r="C123" i="14707"/>
  <c r="C120" i="14707"/>
  <c r="C126" i="14707"/>
  <c r="C127" i="14707"/>
  <c r="C110" i="14707"/>
  <c r="C113" i="14707"/>
  <c r="C111" i="14707"/>
  <c r="C122" i="14707"/>
  <c r="C114" i="14707"/>
  <c r="D115" i="14707"/>
  <c r="D126" i="14707"/>
  <c r="D111" i="14707"/>
  <c r="D113" i="14707"/>
  <c r="D119" i="14707"/>
  <c r="D127" i="14707"/>
  <c r="D110" i="14707"/>
  <c r="D123" i="14707"/>
  <c r="D124" i="14707"/>
  <c r="E113" i="14707"/>
  <c r="E126" i="14707"/>
  <c r="E116" i="14707"/>
  <c r="E123" i="14707"/>
  <c r="E115" i="14707"/>
  <c r="E124" i="14707"/>
  <c r="E112" i="14707"/>
  <c r="E120" i="14707"/>
  <c r="E111" i="14707"/>
  <c r="E114" i="14707"/>
  <c r="F118" i="14707"/>
  <c r="F121" i="14707"/>
  <c r="F117" i="14707"/>
  <c r="F112" i="14707"/>
  <c r="A119" i="14707"/>
  <c r="A118" i="14707"/>
  <c r="A113" i="14707"/>
  <c r="A120" i="14707"/>
  <c r="A127" i="14707"/>
  <c r="A110" i="14707"/>
  <c r="A126" i="14707"/>
  <c r="A116" i="14707"/>
  <c r="A125" i="14707"/>
  <c r="C124" i="14707"/>
  <c r="C109" i="14707"/>
  <c r="C118" i="14707"/>
  <c r="C117" i="14707"/>
  <c r="C119" i="14707"/>
  <c r="C115" i="14707"/>
  <c r="C125" i="14707"/>
  <c r="C121" i="14707"/>
  <c r="C112" i="14707"/>
  <c r="D117" i="14707"/>
  <c r="D109" i="14707"/>
  <c r="D112" i="14707"/>
  <c r="D122" i="14707"/>
  <c r="D118" i="14707"/>
  <c r="D114" i="14707"/>
  <c r="D120" i="14707"/>
  <c r="D121" i="14707"/>
  <c r="D125" i="14707"/>
  <c r="D116" i="14707"/>
  <c r="E109" i="14707"/>
  <c r="E125" i="14707"/>
  <c r="E110" i="14707"/>
  <c r="E127" i="14707"/>
  <c r="E122" i="14707"/>
  <c r="E117" i="14707"/>
  <c r="E118" i="14707"/>
  <c r="E121" i="14707"/>
  <c r="E119" i="14707"/>
  <c r="F127" i="14707"/>
  <c r="F125" i="14707"/>
  <c r="F110" i="14707"/>
  <c r="F124" i="14707"/>
  <c r="F109" i="14707"/>
  <c r="F119" i="14707"/>
  <c r="F123" i="14707"/>
  <c r="F126" i="14707"/>
  <c r="F113" i="14707"/>
  <c r="F111" i="14707"/>
  <c r="B11" i="14671" a="1"/>
  <c r="F11" i="14671" s="1"/>
  <c r="F116" i="14707"/>
  <c r="F122" i="14707"/>
  <c r="O15" i="14677"/>
  <c r="M9" i="14617"/>
  <c r="M10" i="14617"/>
  <c r="K10" i="14617"/>
  <c r="K9" i="14617"/>
  <c r="K11" i="14617"/>
  <c r="J13" i="14617"/>
  <c r="E23" i="14709"/>
  <c r="E13" i="14670"/>
  <c r="G13" i="14670"/>
  <c r="I13" i="14670"/>
  <c r="B13" i="14670"/>
  <c r="D13" i="14670"/>
  <c r="C13" i="14670"/>
  <c r="F13" i="14670"/>
  <c r="H13" i="14670"/>
  <c r="J13" i="14670"/>
  <c r="K13" i="14670"/>
  <c r="M13" i="14670"/>
  <c r="L13" i="14670"/>
  <c r="B17" i="14670" a="1"/>
  <c r="C17" i="14670" s="1"/>
  <c r="O13" i="14674"/>
  <c r="J17" i="14617" s="1"/>
  <c r="C21" i="14674" a="1"/>
  <c r="H21" i="14674" s="1"/>
  <c r="O20" i="14674"/>
  <c r="G17" i="14640"/>
  <c r="K17" i="14640"/>
  <c r="J17" i="14640"/>
  <c r="M17" i="14640"/>
  <c r="E17" i="14640"/>
  <c r="D17" i="14640"/>
  <c r="C17" i="14640"/>
  <c r="F17" i="14640"/>
  <c r="B17" i="14640"/>
  <c r="L17" i="14640"/>
  <c r="H17" i="14640"/>
  <c r="I17" i="14640"/>
  <c r="D12" i="14696"/>
  <c r="C12" i="14696"/>
  <c r="B40" i="14709" s="1"/>
  <c r="G12" i="14696"/>
  <c r="F12" i="14696"/>
  <c r="E12" i="14696"/>
  <c r="F22" i="14625"/>
  <c r="I22" i="14625"/>
  <c r="E22" i="14625"/>
  <c r="D22" i="14625"/>
  <c r="M22" i="14625"/>
  <c r="N22" i="14625"/>
  <c r="J22" i="14625"/>
  <c r="K22" i="14625"/>
  <c r="G22" i="14625"/>
  <c r="H22" i="14625"/>
  <c r="C22" i="14625"/>
  <c r="I17" i="14617"/>
  <c r="L21" i="14639"/>
  <c r="H21" i="14639"/>
  <c r="N21" i="14639"/>
  <c r="D21" i="14639"/>
  <c r="G21" i="14639"/>
  <c r="M21" i="14639"/>
  <c r="J21" i="14639"/>
  <c r="C21" i="14639"/>
  <c r="F21" i="14639"/>
  <c r="I21" i="14639"/>
  <c r="E21" i="14639"/>
  <c r="K21" i="14639"/>
  <c r="L22" i="14625"/>
  <c r="H26" i="14634"/>
  <c r="C24" i="14634"/>
  <c r="F22" i="14634"/>
  <c r="F41" i="14667"/>
  <c r="F30" i="14706"/>
  <c r="H11" i="14671" l="1"/>
  <c r="O12" i="14675"/>
  <c r="C20" i="14675" a="1"/>
  <c r="K20" i="14675" s="1"/>
  <c r="C13" i="14675" a="1"/>
  <c r="M13" i="14675" s="1"/>
  <c r="B11" i="14671"/>
  <c r="M11" i="14671"/>
  <c r="I11" i="14671"/>
  <c r="C11" i="14671"/>
  <c r="J11" i="14671"/>
  <c r="E11" i="14671"/>
  <c r="D11" i="14671"/>
  <c r="G11" i="14671"/>
  <c r="L11" i="14671"/>
  <c r="K11" i="14671"/>
  <c r="E128" i="14707"/>
  <c r="C128" i="14707"/>
  <c r="F128" i="14707"/>
  <c r="D128" i="14707"/>
  <c r="M11" i="14617"/>
  <c r="G24" i="4128"/>
  <c r="O9" i="14617"/>
  <c r="L15" i="14708"/>
  <c r="K13" i="14617"/>
  <c r="L13" i="14617"/>
  <c r="N13" i="14670"/>
  <c r="H17" i="14670"/>
  <c r="F17" i="14670"/>
  <c r="B17" i="14670"/>
  <c r="J17" i="14670"/>
  <c r="D21" i="14674"/>
  <c r="K21" i="14674"/>
  <c r="G21" i="14674"/>
  <c r="L17" i="14617"/>
  <c r="F21" i="14674"/>
  <c r="M21" i="14674"/>
  <c r="C21" i="14674"/>
  <c r="L21" i="14674"/>
  <c r="L17" i="14670"/>
  <c r="I17" i="14670"/>
  <c r="M17" i="14670"/>
  <c r="D17" i="14670"/>
  <c r="G17" i="14670"/>
  <c r="K17" i="14670"/>
  <c r="E17" i="14670"/>
  <c r="E21" i="14674"/>
  <c r="N21" i="14674"/>
  <c r="J21" i="14674"/>
  <c r="I21" i="14674"/>
  <c r="C40" i="14709" a="1"/>
  <c r="O22" i="14625"/>
  <c r="N17" i="14640"/>
  <c r="O21" i="14639"/>
  <c r="C9" i="14633" a="1"/>
  <c r="H9" i="14633" s="1"/>
  <c r="F24" i="14634"/>
  <c r="I22" i="14634"/>
  <c r="I13" i="14675" l="1"/>
  <c r="D20" i="14675"/>
  <c r="G20" i="14675"/>
  <c r="G13" i="14675"/>
  <c r="D13" i="14675"/>
  <c r="K13" i="14675"/>
  <c r="H13" i="14675"/>
  <c r="J20" i="14675"/>
  <c r="F20" i="14675"/>
  <c r="N20" i="14675"/>
  <c r="C20" i="14675"/>
  <c r="M20" i="14675"/>
  <c r="E20" i="14675"/>
  <c r="I20" i="14675"/>
  <c r="H20" i="14675"/>
  <c r="L20" i="14675"/>
  <c r="J13" i="14675"/>
  <c r="F13" i="14675"/>
  <c r="C13" i="14675"/>
  <c r="L13" i="14675"/>
  <c r="E13" i="14675"/>
  <c r="N13" i="14675"/>
  <c r="B13" i="14671" a="1"/>
  <c r="M13" i="14671" s="1"/>
  <c r="N11" i="14671"/>
  <c r="N9" i="14617" a="1"/>
  <c r="F23" i="14709"/>
  <c r="M13" i="14617"/>
  <c r="O21" i="14674"/>
  <c r="N17" i="14670"/>
  <c r="C40" i="14709"/>
  <c r="E40" i="14709"/>
  <c r="D40" i="14709"/>
  <c r="F40" i="14709"/>
  <c r="M9" i="14633"/>
  <c r="C9" i="14633"/>
  <c r="I9" i="14633"/>
  <c r="E9" i="14633"/>
  <c r="J9" i="14633"/>
  <c r="D9" i="14633"/>
  <c r="K9" i="14633"/>
  <c r="F9" i="14633"/>
  <c r="L9" i="14633"/>
  <c r="N9" i="14633"/>
  <c r="G9" i="14633"/>
  <c r="I24" i="14634"/>
  <c r="L22" i="14634"/>
  <c r="O22" i="14634" s="1"/>
  <c r="O20" i="14675" l="1"/>
  <c r="I13" i="14671"/>
  <c r="J13" i="14671"/>
  <c r="L13" i="14671"/>
  <c r="C13" i="14671"/>
  <c r="F13" i="14671"/>
  <c r="C21" i="14675" a="1"/>
  <c r="E21" i="14675" s="1"/>
  <c r="B17" i="14671" a="1"/>
  <c r="K17" i="14671" s="1"/>
  <c r="O13" i="14675"/>
  <c r="M17" i="14617" s="1"/>
  <c r="O17" i="14617" s="1"/>
  <c r="E13" i="14671"/>
  <c r="B13" i="14671"/>
  <c r="D13" i="14671"/>
  <c r="H13" i="14671"/>
  <c r="K13" i="14671"/>
  <c r="G13" i="14671"/>
  <c r="N13" i="14617"/>
  <c r="N15" i="14708"/>
  <c r="O13" i="14617"/>
  <c r="N11" i="14617"/>
  <c r="N9" i="14617"/>
  <c r="N10" i="14617"/>
  <c r="O9" i="14633"/>
  <c r="L24" i="14634"/>
  <c r="G21" i="14675" l="1"/>
  <c r="F21" i="14675"/>
  <c r="L21" i="14675"/>
  <c r="J21" i="14675"/>
  <c r="K21" i="14675"/>
  <c r="M21" i="14675"/>
  <c r="I21" i="14675"/>
  <c r="N21" i="14675"/>
  <c r="H21" i="14675"/>
  <c r="C21" i="14675"/>
  <c r="L17" i="14671"/>
  <c r="B17" i="14671"/>
  <c r="M17" i="14671"/>
  <c r="J17" i="14671"/>
  <c r="H17" i="14671"/>
  <c r="D17" i="14671"/>
  <c r="D21" i="14675"/>
  <c r="E17" i="14671"/>
  <c r="F17" i="14671"/>
  <c r="I17" i="14671"/>
  <c r="G17" i="14671"/>
  <c r="C17" i="14671"/>
  <c r="N13" i="14671"/>
  <c r="C22" i="14633" a="1"/>
  <c r="C22" i="14639"/>
  <c r="O24" i="14634"/>
  <c r="H21" i="14667"/>
  <c r="H7" i="14706"/>
  <c r="N17" i="14671" l="1"/>
  <c r="O21" i="14675"/>
  <c r="C22" i="14633"/>
  <c r="F22" i="14633"/>
  <c r="J22" i="14633"/>
  <c r="N22" i="14633"/>
  <c r="M22" i="14633"/>
  <c r="D22" i="14633"/>
  <c r="H22" i="14633"/>
  <c r="K22" i="14633"/>
  <c r="G22" i="14633"/>
  <c r="E22" i="14633"/>
  <c r="I22" i="14633"/>
  <c r="L22" i="14633"/>
  <c r="H30" i="14706"/>
  <c r="H41" i="14667"/>
  <c r="F22" i="14639"/>
  <c r="C24" i="14639"/>
  <c r="H26" i="14639"/>
  <c r="O22" i="14633" l="1"/>
  <c r="C9" i="14641" a="1"/>
  <c r="H9" i="14641" s="1"/>
  <c r="F24" i="14639"/>
  <c r="I22" i="14639"/>
  <c r="G9" i="14641" l="1"/>
  <c r="J9" i="14641"/>
  <c r="E9" i="14641"/>
  <c r="F9" i="14641"/>
  <c r="L9" i="14641"/>
  <c r="N9" i="14641"/>
  <c r="D9" i="14641"/>
  <c r="K9" i="14641"/>
  <c r="C9" i="14641"/>
  <c r="I9" i="14641"/>
  <c r="M9" i="14641"/>
  <c r="I24" i="14639"/>
  <c r="L22" i="14639"/>
  <c r="O22" i="14639" s="1"/>
  <c r="O9" i="14641" l="1"/>
  <c r="L24" i="14639"/>
  <c r="C22" i="14641" l="1" a="1"/>
  <c r="L22" i="14641" s="1"/>
  <c r="J21" i="14667"/>
  <c r="J7" i="14706"/>
  <c r="C22" i="14674"/>
  <c r="O24" i="14639"/>
  <c r="C22" i="14641" l="1"/>
  <c r="N22" i="14641"/>
  <c r="G22" i="14641"/>
  <c r="D22" i="14641"/>
  <c r="E22" i="14641"/>
  <c r="F22" i="14641"/>
  <c r="M22" i="14641"/>
  <c r="J22" i="14641"/>
  <c r="H22" i="14641"/>
  <c r="K22" i="14641"/>
  <c r="I22" i="14641"/>
  <c r="J30" i="14706"/>
  <c r="J41" i="14667"/>
  <c r="H26" i="14674"/>
  <c r="C24" i="14674"/>
  <c r="F22" i="14674"/>
  <c r="O22" i="14641" l="1"/>
  <c r="C9" i="14676" a="1"/>
  <c r="H9" i="14676" s="1"/>
  <c r="F24" i="14674"/>
  <c r="I22" i="14674"/>
  <c r="D9" i="14676" l="1"/>
  <c r="N9" i="14676"/>
  <c r="F9" i="14676"/>
  <c r="L9" i="14676"/>
  <c r="M9" i="14676"/>
  <c r="G9" i="14676"/>
  <c r="K9" i="14676"/>
  <c r="C9" i="14676"/>
  <c r="I9" i="14676"/>
  <c r="E9" i="14676"/>
  <c r="J9" i="14676"/>
  <c r="I24" i="14674"/>
  <c r="L22" i="14674"/>
  <c r="O22" i="14674" s="1"/>
  <c r="O9" i="14676" l="1"/>
  <c r="L24" i="14674"/>
  <c r="C22" i="14676" l="1" a="1"/>
  <c r="C22" i="14675"/>
  <c r="L7" i="14706"/>
  <c r="L21" i="14667"/>
  <c r="O24" i="14674"/>
  <c r="C22" i="14676" l="1"/>
  <c r="F22" i="14676"/>
  <c r="M22" i="14676"/>
  <c r="D22" i="14676"/>
  <c r="E22" i="14676"/>
  <c r="G22" i="14676"/>
  <c r="H22" i="14676"/>
  <c r="J22" i="14676"/>
  <c r="K22" i="14676"/>
  <c r="N22" i="14676"/>
  <c r="I22" i="14676"/>
  <c r="L22" i="14676"/>
  <c r="L41" i="14667"/>
  <c r="L30" i="14706"/>
  <c r="H26" i="14675"/>
  <c r="C24" i="14675"/>
  <c r="F22" i="14675"/>
  <c r="O22" i="14676" l="1"/>
  <c r="C9" i="14677" a="1"/>
  <c r="H9" i="14677" s="1"/>
  <c r="F24" i="14675"/>
  <c r="I22" i="14675"/>
  <c r="M9" i="14677" l="1"/>
  <c r="J9" i="14677"/>
  <c r="N9" i="14677"/>
  <c r="C9" i="14677"/>
  <c r="I9" i="14677"/>
  <c r="E9" i="14677"/>
  <c r="D9" i="14677"/>
  <c r="K9" i="14677"/>
  <c r="G9" i="14677"/>
  <c r="F9" i="14677"/>
  <c r="L9" i="14677"/>
  <c r="I24" i="14675"/>
  <c r="L22" i="14675"/>
  <c r="O22" i="14675" s="1"/>
  <c r="O9" i="14677" l="1"/>
  <c r="L24" i="14675"/>
  <c r="C22" i="14677" l="1" a="1"/>
  <c r="O24" i="14675"/>
  <c r="N21" i="14667"/>
  <c r="N7" i="14706"/>
  <c r="C22" i="14677" l="1"/>
  <c r="F22" i="14677"/>
  <c r="J22" i="14677"/>
  <c r="H22" i="14677"/>
  <c r="N22" i="14677"/>
  <c r="K22" i="14677"/>
  <c r="D22" i="14677"/>
  <c r="E22" i="14677"/>
  <c r="M22" i="14677"/>
  <c r="G22" i="14677"/>
  <c r="I22" i="14677"/>
  <c r="L22" i="14677"/>
  <c r="N41" i="14667"/>
  <c r="N30" i="14706"/>
  <c r="O22" i="14677" l="1"/>
  <c r="C62" i="4128" l="1"/>
  <c r="C63" i="4128"/>
  <c r="C61" i="4128"/>
  <c r="B111" i="14707" l="1"/>
  <c r="B113" i="14707"/>
  <c r="B115" i="14707"/>
  <c r="B117" i="14707"/>
  <c r="B119" i="14707"/>
  <c r="B121" i="14707"/>
  <c r="B123" i="14707"/>
  <c r="B125" i="14707"/>
  <c r="B127" i="14707"/>
  <c r="B110" i="14707"/>
  <c r="B112" i="14707"/>
  <c r="B114" i="14707"/>
  <c r="B116" i="14707"/>
  <c r="B118" i="14707"/>
  <c r="B120" i="14707"/>
  <c r="B122" i="14707"/>
  <c r="B124" i="14707"/>
  <c r="B126" i="14707"/>
  <c r="B109" i="14707" l="1"/>
  <c r="B128" i="14707" s="1"/>
  <c r="B48" i="14622" l="1" a="1"/>
  <c r="B48" i="14622"/>
  <c r="C84" i="14689" s="1"/>
  <c r="C86" i="14689" s="1"/>
  <c r="F16" i="14682" a="1"/>
  <c r="G5" i="14684" a="1"/>
  <c r="G5" i="14684"/>
  <c r="G6" i="14684"/>
  <c r="E16" i="14682" a="1"/>
  <c r="F5" i="14684" a="1"/>
  <c r="F5" i="14684"/>
  <c r="F6" i="14684"/>
  <c r="D16" i="14682" a="1"/>
  <c r="E5" i="14684" a="1"/>
  <c r="E5" i="14684"/>
  <c r="E6" i="14684"/>
  <c r="C16" i="14682" a="1"/>
  <c r="D5" i="14684" a="1"/>
  <c r="D5" i="14684"/>
  <c r="D6" i="14684"/>
  <c r="B7" i="14648" a="1"/>
  <c r="C10" i="14625" a="1"/>
  <c r="C10" i="14625"/>
  <c r="E17" i="14682"/>
  <c r="E100" i="14707" s="1"/>
  <c r="C17" i="14682"/>
  <c r="C100" i="14707" s="1"/>
  <c r="B16" i="8" a="1"/>
  <c r="B99" i="14707" a="1"/>
  <c r="B16" i="14682" a="1"/>
  <c r="D17" i="14682"/>
  <c r="D100" i="14707" s="1"/>
  <c r="F17" i="14682"/>
  <c r="F100" i="14707" s="1"/>
  <c r="B17" i="14682"/>
  <c r="B100" i="14707" s="1"/>
  <c r="F17" i="14684" a="1"/>
  <c r="K15" i="14617" a="1"/>
  <c r="G13" i="14684" a="1"/>
  <c r="E22" i="14617" a="1"/>
  <c r="K17" i="14617"/>
  <c r="K15" i="14617"/>
  <c r="C29" i="14625" a="1"/>
  <c r="B7" i="14648"/>
  <c r="E15" i="14617" a="1"/>
  <c r="N22" i="14617" a="1"/>
  <c r="N22" i="14617"/>
  <c r="C5" i="14684" a="1"/>
  <c r="C8" i="14684"/>
  <c r="C5" i="14684"/>
  <c r="C7" i="14684"/>
  <c r="C6" i="14684"/>
  <c r="E13" i="14684" a="1"/>
  <c r="E22" i="14617"/>
  <c r="C13" i="14684" a="1"/>
  <c r="C16" i="14684"/>
  <c r="B70" i="14707" a="1"/>
  <c r="H22" i="14617" a="1"/>
  <c r="H22" i="14617"/>
  <c r="D53" i="14690" a="1"/>
  <c r="D53" i="14690"/>
  <c r="D13" i="14684" a="1"/>
  <c r="G17" i="14684" a="1"/>
  <c r="G19" i="14684"/>
  <c r="G17" i="14684"/>
  <c r="G18" i="14684"/>
  <c r="G21" i="14684"/>
  <c r="B78" i="14707" a="1"/>
  <c r="N15" i="14617" a="1"/>
  <c r="N15" i="14617"/>
  <c r="N17" i="14617"/>
  <c r="K22" i="14617" a="1"/>
  <c r="E15" i="14617"/>
  <c r="E17" i="14617"/>
  <c r="B25" i="8" a="1"/>
  <c r="B25" i="8"/>
  <c r="C86" i="14689" a="1"/>
  <c r="F13" i="14684" a="1"/>
  <c r="G16" i="14684"/>
  <c r="D16" i="14684"/>
  <c r="D17" i="14684" a="1"/>
  <c r="D17" i="14684"/>
  <c r="D21" i="14684"/>
  <c r="D19" i="14684"/>
  <c r="D18" i="14684"/>
  <c r="H15" i="14617" a="1"/>
  <c r="H17" i="14617"/>
  <c r="H15" i="14617"/>
  <c r="C22" i="14617" a="1"/>
  <c r="C22" i="14617"/>
  <c r="C17" i="14684" a="1"/>
  <c r="C19" i="14684"/>
  <c r="C17" i="14684"/>
  <c r="C21" i="14684"/>
  <c r="C18" i="14684"/>
  <c r="F78" i="14707"/>
  <c r="B79" i="14707"/>
  <c r="D78" i="14707"/>
  <c r="B78" i="14707"/>
  <c r="E79" i="14707"/>
  <c r="F79" i="14707"/>
  <c r="D79" i="14707"/>
  <c r="C79" i="14707"/>
  <c r="C78" i="14707"/>
  <c r="E78" i="14707"/>
  <c r="B76" i="14707"/>
  <c r="F70" i="14707"/>
  <c r="B70" i="14707"/>
  <c r="F76" i="14707"/>
  <c r="D76" i="14707"/>
  <c r="C76" i="14707"/>
  <c r="D70" i="14707"/>
  <c r="C70" i="14707"/>
  <c r="E76" i="14707"/>
  <c r="E70" i="14707"/>
  <c r="E16" i="14684"/>
  <c r="F17" i="14684"/>
  <c r="F21" i="14684"/>
  <c r="F18" i="14684"/>
  <c r="F19" i="14684"/>
  <c r="F16" i="14684"/>
  <c r="E17" i="14684" a="1"/>
  <c r="E21" i="14684"/>
  <c r="E18" i="14684"/>
  <c r="E17" i="14684"/>
  <c r="E19" i="14684"/>
  <c r="K22" i="14617"/>
  <c r="C15" i="14617" a="1"/>
  <c r="C17" i="14617"/>
  <c r="C15" i="14617"/>
  <c r="B58" i="14624" a="1"/>
  <c r="B8" i="14648" a="1"/>
  <c r="B8" i="14648"/>
  <c r="B15" i="8" a="1"/>
  <c r="C16" i="14625" a="1"/>
  <c r="B26" i="8" a="1"/>
  <c r="B20" i="8" a="1"/>
  <c r="B23" i="8" a="1"/>
  <c r="C30" i="14625" a="1"/>
  <c r="C31" i="14625" a="1"/>
  <c r="C90" i="14648" a="1"/>
  <c r="B27" i="8" a="1"/>
  <c r="B30" i="14709" a="1"/>
  <c r="E83" i="14649" a="1"/>
  <c r="C25" i="14617" a="1"/>
  <c r="B25" i="14709" a="1"/>
  <c r="B38" i="14707" a="1"/>
  <c r="B26" i="14709" a="1"/>
  <c r="B25" i="14631" a="1"/>
  <c r="B25" i="14682" a="1"/>
  <c r="B18" i="14629" a="1"/>
  <c r="D23" i="14643" a="1"/>
  <c r="B53" i="14682" a="1"/>
  <c r="B105" i="14707" a="1"/>
  <c r="D27" i="14643" a="1"/>
  <c r="C10" i="14633" a="1"/>
  <c r="C25" i="14684" a="1"/>
  <c r="B28" i="14709" a="1"/>
  <c r="B39" i="14707" a="1"/>
  <c r="B130" i="14707" a="1"/>
  <c r="B16" i="14631" a="1"/>
  <c r="C25" i="14657" a="1"/>
  <c r="C28" i="14648" a="1"/>
  <c r="B22" i="14648" a="1"/>
  <c r="D35" i="14643" a="1"/>
  <c r="B49" i="14649" a="1"/>
  <c r="B58" i="14629" a="1"/>
  <c r="C27" i="14648" a="1"/>
  <c r="B23" i="14648" a="1"/>
  <c r="B15" i="14631" a="1"/>
  <c r="C16" i="14633" a="1"/>
  <c r="B26" i="14631" a="1"/>
  <c r="B29" i="14709" a="1"/>
  <c r="B47" i="14707" a="1"/>
  <c r="E74" i="14649" a="1"/>
  <c r="B20" i="14631" a="1"/>
  <c r="B37" i="14709" a="1"/>
  <c r="B51" i="14649" a="1"/>
  <c r="B23" i="14631" a="1"/>
  <c r="C29" i="14633" a="1"/>
  <c r="B44" i="14707" a="1"/>
  <c r="D17" i="14643" a="1"/>
  <c r="K26" i="14657" a="1"/>
  <c r="D18" i="14643" a="1"/>
  <c r="C30" i="14633" a="1"/>
  <c r="B27" i="14631" a="1"/>
  <c r="B29" i="14631" a="1"/>
  <c r="C31" i="14633" a="1"/>
  <c r="B50" i="14649" a="1"/>
  <c r="C35" i="14633" a="1"/>
  <c r="C95" i="14648" a="1"/>
  <c r="C43" i="14648" a="1"/>
  <c r="B37" i="14648" a="1"/>
  <c r="B18" i="14636" a="1"/>
  <c r="C42" i="14648" a="1"/>
  <c r="C10" i="14641" a="1"/>
  <c r="B38" i="14648" a="1"/>
  <c r="C42" i="14709" a="1"/>
  <c r="B16" i="14640" a="1"/>
  <c r="E28" i="14643" a="1"/>
  <c r="B25" i="14640" a="1"/>
  <c r="C41" i="14709" a="1"/>
  <c r="E24" i="14643" a="1"/>
  <c r="C16" i="14641" a="1"/>
  <c r="B58" i="14636" a="1"/>
  <c r="B15" i="14640" a="1"/>
  <c r="C29" i="14641" a="1"/>
  <c r="B26" i="14640" a="1"/>
  <c r="C30" i="14641" a="1"/>
  <c r="B27" i="14640" a="1"/>
  <c r="C31" i="14641" a="1"/>
  <c r="B20" i="14640" a="1"/>
  <c r="B23" i="14640" a="1"/>
  <c r="C35" i="14641" a="1"/>
  <c r="B29" i="14640" a="1"/>
  <c r="C58" i="14648" a="1"/>
  <c r="C100" i="14648" a="1"/>
  <c r="B52" i="14648" a="1"/>
  <c r="B18" i="14672" a="1"/>
  <c r="C57" i="14648" a="1"/>
  <c r="B53" i="14648" a="1"/>
  <c r="C10" i="14676" a="1"/>
  <c r="B16" i="14670" a="1"/>
  <c r="C29" i="14676" a="1"/>
  <c r="B25" i="14670" a="1"/>
  <c r="C16" i="14676" a="1"/>
  <c r="B58" i="14672" a="1"/>
  <c r="B15" i="14670" a="1"/>
  <c r="B26" i="14670" a="1"/>
  <c r="C30" i="14676" a="1"/>
  <c r="B27" i="14670" a="1"/>
  <c r="C31" i="14676" a="1"/>
  <c r="B20" i="14670" a="1"/>
  <c r="C35" i="14676" a="1"/>
  <c r="J25" i="14617" a="1"/>
  <c r="C73" i="14648" a="1"/>
  <c r="C105" i="14648" a="1"/>
  <c r="B67" i="14648" a="1"/>
  <c r="B18" i="14673" a="1"/>
  <c r="C72" i="14648" a="1"/>
  <c r="C10" i="14677" a="1"/>
  <c r="B68" i="14648" a="1"/>
  <c r="B16" i="14671" a="1"/>
  <c r="C29" i="14677" a="1"/>
  <c r="C16" i="14677" a="1"/>
  <c r="B25" i="14671" a="1"/>
  <c r="B58" i="14673" a="1"/>
  <c r="B15" i="14671" a="1"/>
  <c r="B26" i="14671" a="1"/>
  <c r="C30" i="14677" a="1"/>
  <c r="B27" i="14671" a="1"/>
  <c r="C31" i="14677" a="1"/>
  <c r="B20" i="14671" a="1"/>
  <c r="B23" i="14671" a="1"/>
  <c r="C35" i="14677" a="1"/>
  <c r="B29" i="14671" a="1"/>
  <c r="B64" i="14684" a="1"/>
  <c r="O18" i="14624" a="1"/>
  <c r="B65" i="14684" a="1"/>
  <c r="O18" i="14629" a="1"/>
  <c r="B23" i="14670" a="1"/>
  <c r="B66" i="14684" a="1"/>
  <c r="B29" i="14670" a="1"/>
  <c r="O18" i="14673" a="1"/>
  <c r="O18" i="14672" a="1"/>
  <c r="C11" i="14625" l="1"/>
  <c r="C29" i="14625" l="1"/>
  <c r="B63" i="14684" l="1" a="1"/>
  <c r="O7" i="14624" a="1"/>
  <c r="O23" i="14624" a="1"/>
  <c r="O18" i="14636" a="1"/>
  <c r="B10" i="14681" l="1"/>
  <c r="B13" i="14710" l="1"/>
  <c r="B14" i="14710" l="1"/>
  <c r="C10" i="14681" l="1"/>
  <c r="C13" i="14710" l="1"/>
  <c r="C14" i="14710" l="1"/>
  <c r="D10" i="14681" l="1"/>
  <c r="D13" i="14710" l="1"/>
  <c r="E11" i="14681"/>
  <c r="E13" i="14681" s="1"/>
  <c r="F23" i="14625" l="1"/>
  <c r="D14" i="14710"/>
  <c r="D15" i="14710" l="1"/>
  <c r="E17" i="14710" l="1"/>
  <c r="F17" i="14710"/>
  <c r="G17" i="14710"/>
  <c r="E10" i="14681" l="1"/>
  <c r="E13" i="14710" l="1"/>
  <c r="E14" i="14710" l="1"/>
  <c r="F10" i="14681" l="1"/>
  <c r="F13" i="14710" l="1"/>
  <c r="F14" i="14710" l="1"/>
  <c r="G10" i="14681" l="1"/>
  <c r="G13" i="14710" l="1"/>
  <c r="G14" i="14710" s="1"/>
  <c r="G15" i="14710" s="1"/>
  <c r="H11" i="14681"/>
  <c r="H13" i="14681" s="1"/>
  <c r="I23" i="14625" l="1"/>
  <c r="H17" i="14710"/>
  <c r="I17" i="14710"/>
  <c r="J17" i="14710"/>
  <c r="H10" i="14681" l="1"/>
  <c r="H13" i="14710" s="1"/>
  <c r="H14" i="14710" s="1"/>
  <c r="I10" i="14681" l="1"/>
  <c r="I13" i="14710" s="1"/>
  <c r="I14" i="14710" s="1"/>
  <c r="J10" i="14681" l="1"/>
  <c r="J13" i="14710" l="1"/>
  <c r="J14" i="14710" s="1"/>
  <c r="J15" i="14710" s="1"/>
  <c r="K11" i="14681"/>
  <c r="K13" i="14681" s="1"/>
  <c r="L23" i="14625" l="1"/>
  <c r="O23" i="14625" s="1"/>
  <c r="C20" i="14684" s="1"/>
  <c r="M17" i="14710"/>
  <c r="K17" i="14710"/>
  <c r="B18" i="14624" s="1" a="1"/>
  <c r="L17" i="14710"/>
  <c r="L18" i="14624" l="1"/>
  <c r="L20" i="14624" s="1"/>
  <c r="L27" i="14624" s="1"/>
  <c r="C18" i="14624"/>
  <c r="C20" i="14624" s="1"/>
  <c r="B18" i="14624"/>
  <c r="B20" i="14624" s="1"/>
  <c r="D18" i="14624"/>
  <c r="D20" i="14624" s="1"/>
  <c r="F18" i="14624"/>
  <c r="F20" i="14624" s="1"/>
  <c r="G18" i="14624"/>
  <c r="G20" i="14624" s="1"/>
  <c r="E18" i="14624"/>
  <c r="E20" i="14624" s="1"/>
  <c r="J18" i="14624"/>
  <c r="J20" i="14624" s="1"/>
  <c r="I18" i="14624"/>
  <c r="I20" i="14624" s="1"/>
  <c r="H18" i="14624"/>
  <c r="H20" i="14624" s="1"/>
  <c r="M18" i="14624"/>
  <c r="M20" i="14624" s="1"/>
  <c r="M16" i="8" s="1"/>
  <c r="K18" i="14624"/>
  <c r="N17" i="14710"/>
  <c r="L16" i="8" l="1"/>
  <c r="I16" i="8"/>
  <c r="I27" i="14624"/>
  <c r="F27" i="14624"/>
  <c r="F16" i="8"/>
  <c r="J27" i="14624"/>
  <c r="J16" i="8"/>
  <c r="G16" i="8"/>
  <c r="G27" i="14624"/>
  <c r="D27" i="14624"/>
  <c r="D16" i="8"/>
  <c r="M27" i="14624"/>
  <c r="M58" i="14624" s="1"/>
  <c r="E27" i="14624"/>
  <c r="E16" i="8"/>
  <c r="B16" i="8"/>
  <c r="B27" i="14624"/>
  <c r="H27" i="14624"/>
  <c r="H16" i="8"/>
  <c r="C16" i="8"/>
  <c r="C27" i="14624"/>
  <c r="K20" i="14624"/>
  <c r="N18" i="14624"/>
  <c r="L58" i="14624"/>
  <c r="L15" i="8"/>
  <c r="L18" i="8" l="1"/>
  <c r="L20" i="8" s="1"/>
  <c r="L23" i="8" s="1"/>
  <c r="D58" i="14624"/>
  <c r="E14" i="14625" s="1"/>
  <c r="D15" i="8"/>
  <c r="D18" i="8" s="1"/>
  <c r="D20" i="8" s="1"/>
  <c r="D23" i="8" s="1"/>
  <c r="G15" i="8"/>
  <c r="G18" i="8" s="1"/>
  <c r="G20" i="8" s="1"/>
  <c r="G23" i="8" s="1"/>
  <c r="G58" i="14624"/>
  <c r="H14" i="14625" s="1"/>
  <c r="J58" i="14624"/>
  <c r="K14" i="14625" s="1"/>
  <c r="J15" i="8"/>
  <c r="J18" i="8" s="1"/>
  <c r="J20" i="8" s="1"/>
  <c r="J23" i="8" s="1"/>
  <c r="H15" i="8"/>
  <c r="H18" i="8" s="1"/>
  <c r="H20" i="8" s="1"/>
  <c r="H23" i="8" s="1"/>
  <c r="H58" i="14624"/>
  <c r="I14" i="14625" s="1"/>
  <c r="B58" i="14624"/>
  <c r="C14" i="14625" s="1"/>
  <c r="B15" i="8"/>
  <c r="B18" i="8" s="1"/>
  <c r="B20" i="8" s="1"/>
  <c r="B23" i="8" s="1"/>
  <c r="F15" i="8"/>
  <c r="F18" i="8" s="1"/>
  <c r="F20" i="8" s="1"/>
  <c r="F23" i="8" s="1"/>
  <c r="F58" i="14624"/>
  <c r="G14" i="14625" s="1"/>
  <c r="E15" i="8"/>
  <c r="E18" i="8" s="1"/>
  <c r="E20" i="8" s="1"/>
  <c r="E23" i="8" s="1"/>
  <c r="E58" i="14624"/>
  <c r="F14" i="14625" s="1"/>
  <c r="C15" i="8"/>
  <c r="C18" i="8" s="1"/>
  <c r="C20" i="8" s="1"/>
  <c r="C23" i="8" s="1"/>
  <c r="C58" i="14624"/>
  <c r="D14" i="14625" s="1"/>
  <c r="M15" i="8"/>
  <c r="M18" i="8" s="1"/>
  <c r="M20" i="8" s="1"/>
  <c r="M23" i="8" s="1"/>
  <c r="I58" i="14624"/>
  <c r="J14" i="14625" s="1"/>
  <c r="I15" i="8"/>
  <c r="I18" i="8" s="1"/>
  <c r="I20" i="8" s="1"/>
  <c r="I23" i="8" s="1"/>
  <c r="M14" i="14625"/>
  <c r="N14" i="14625"/>
  <c r="K16" i="8"/>
  <c r="N16" i="8" s="1"/>
  <c r="K27" i="14624"/>
  <c r="N20" i="14624"/>
  <c r="B16" i="14682"/>
  <c r="B99" i="14707" l="1"/>
  <c r="B101" i="14707" s="1"/>
  <c r="B18" i="14682"/>
  <c r="B25" i="14682" s="1"/>
  <c r="K15" i="8"/>
  <c r="K58" i="14624"/>
  <c r="B16" i="14617"/>
  <c r="N27" i="14624"/>
  <c r="C16" i="14617" l="1"/>
  <c r="D44" i="14711"/>
  <c r="J44" i="14711" s="1"/>
  <c r="B18" i="14617"/>
  <c r="O20" i="14624"/>
  <c r="C14" i="14657"/>
  <c r="O25" i="14624"/>
  <c r="O9" i="14624"/>
  <c r="O23" i="14624"/>
  <c r="O10" i="14624"/>
  <c r="D7" i="14643"/>
  <c r="D10" i="14643" s="1"/>
  <c r="O7" i="14624"/>
  <c r="N58" i="14624"/>
  <c r="O13" i="14624"/>
  <c r="O14" i="14624"/>
  <c r="O15" i="14624"/>
  <c r="O19" i="14624"/>
  <c r="O12" i="14624"/>
  <c r="O24" i="14624"/>
  <c r="O8" i="14624"/>
  <c r="O11" i="14624"/>
  <c r="O18" i="14624"/>
  <c r="K18" i="8"/>
  <c r="N15" i="8"/>
  <c r="L14" i="14625"/>
  <c r="K10" i="14681"/>
  <c r="K13" i="14710" s="1"/>
  <c r="K14" i="14710" s="1"/>
  <c r="B105" i="14707"/>
  <c r="B130" i="14707" s="1"/>
  <c r="B53" i="14682"/>
  <c r="D23" i="14643" l="1"/>
  <c r="O14" i="14625"/>
  <c r="C14" i="14684" s="1"/>
  <c r="O55" i="14624"/>
  <c r="O33" i="14624" a="1"/>
  <c r="K20" i="8"/>
  <c r="N18" i="8"/>
  <c r="O27" i="14624"/>
  <c r="B40" i="14649"/>
  <c r="B71" i="14707" s="1"/>
  <c r="C33" i="4128"/>
  <c r="B24" i="14709"/>
  <c r="B25" i="14709" s="1"/>
  <c r="B26" i="14709" s="1"/>
  <c r="B28" i="14709" s="1"/>
  <c r="C18" i="14617"/>
  <c r="B20" i="14617"/>
  <c r="B42" i="14649" l="1"/>
  <c r="B23" i="14617"/>
  <c r="C20" i="14617"/>
  <c r="C13" i="14684"/>
  <c r="K23" i="8"/>
  <c r="N23" i="8" s="1"/>
  <c r="N20" i="8"/>
  <c r="O38" i="14624"/>
  <c r="O39" i="14624"/>
  <c r="O37" i="14624"/>
  <c r="O46" i="14624"/>
  <c r="O51" i="14624"/>
  <c r="O50" i="14624"/>
  <c r="O35" i="14624"/>
  <c r="O45" i="14624"/>
  <c r="O48" i="14624"/>
  <c r="O47" i="14624"/>
  <c r="O40" i="14624"/>
  <c r="O36" i="14624"/>
  <c r="O44" i="14624"/>
  <c r="O43" i="14624"/>
  <c r="O42" i="14624"/>
  <c r="O33" i="14624"/>
  <c r="O41" i="14624"/>
  <c r="O53" i="14624"/>
  <c r="O54" i="14624"/>
  <c r="O49" i="14624"/>
  <c r="O52" i="14624"/>
  <c r="O34" i="14624"/>
  <c r="B44" i="14707"/>
  <c r="D24" i="14643" a="1"/>
  <c r="D24" i="14643" s="1"/>
  <c r="B45" i="14707" s="1"/>
  <c r="D31" i="14643"/>
  <c r="D17" i="14643"/>
  <c r="D74" i="14649" l="1"/>
  <c r="E74" i="14649" s="1"/>
  <c r="C34" i="4128"/>
  <c r="B51" i="14649" s="1"/>
  <c r="B82" i="14707" s="1"/>
  <c r="C12" i="4128"/>
  <c r="C23" i="14617"/>
  <c r="B73" i="14707"/>
  <c r="C56" i="14649"/>
  <c r="B38" i="14707"/>
  <c r="L10" i="14681" l="1"/>
  <c r="L13" i="14710" s="1"/>
  <c r="L14" i="14710" s="1"/>
  <c r="M10" i="14681" l="1"/>
  <c r="M13" i="14710" l="1"/>
  <c r="N10" i="14681"/>
  <c r="N11" i="14681"/>
  <c r="N13" i="14681" s="1"/>
  <c r="B22" i="14681" l="1"/>
  <c r="C23" i="14633" s="1"/>
  <c r="C24" i="14657"/>
  <c r="C25" i="14657" s="1"/>
  <c r="M14" i="14710"/>
  <c r="N13" i="14710"/>
  <c r="C17" i="14657" l="1"/>
  <c r="C18" i="14657" s="1"/>
  <c r="N14" i="14710"/>
  <c r="M15" i="14710"/>
  <c r="B26" i="14710" l="1"/>
  <c r="C26" i="14710"/>
  <c r="C18" i="14629" s="1"/>
  <c r="C20" i="14629" s="1"/>
  <c r="D26" i="14710"/>
  <c r="D18" i="14629" s="1"/>
  <c r="D20" i="14629" s="1"/>
  <c r="N15" i="14710"/>
  <c r="C27" i="14629" l="1"/>
  <c r="C16" i="14631"/>
  <c r="D27" i="14629"/>
  <c r="D16" i="14631"/>
  <c r="B18" i="14629"/>
  <c r="D58" i="14629" l="1"/>
  <c r="D15" i="14631"/>
  <c r="D18" i="14631" s="1"/>
  <c r="D20" i="14631" s="1"/>
  <c r="D23" i="14631" s="1"/>
  <c r="C15" i="14631"/>
  <c r="C18" i="14631" s="1"/>
  <c r="C20" i="14631" s="1"/>
  <c r="C23" i="14631" s="1"/>
  <c r="C58" i="14629"/>
  <c r="B20" i="14629"/>
  <c r="D14" i="14633" l="1"/>
  <c r="B27" i="14629"/>
  <c r="B16" i="14631"/>
  <c r="E14" i="14633"/>
  <c r="B58" i="14629" l="1"/>
  <c r="B15" i="14631"/>
  <c r="C14" i="14633" l="1"/>
  <c r="B19" i="14681"/>
  <c r="B18" i="14631"/>
  <c r="B20" i="14631" l="1"/>
  <c r="B22" i="14710"/>
  <c r="B23" i="14710" l="1"/>
  <c r="B23" i="14631"/>
  <c r="C19" i="14681" l="1"/>
  <c r="C22" i="14710" l="1"/>
  <c r="C23" i="14710" l="1"/>
  <c r="D19" i="14681" l="1"/>
  <c r="D22" i="14710" l="1"/>
  <c r="E20" i="14681"/>
  <c r="E22" i="14681" s="1"/>
  <c r="D23" i="14710" l="1"/>
  <c r="F23" i="14633"/>
  <c r="D24" i="14710" l="1"/>
  <c r="G26" i="14710" l="1"/>
  <c r="G18" i="14629" s="1"/>
  <c r="G20" i="14629" s="1"/>
  <c r="E26" i="14710"/>
  <c r="F26" i="14710"/>
  <c r="F18" i="14629" s="1"/>
  <c r="F20" i="14629" s="1"/>
  <c r="G27" i="14629" l="1"/>
  <c r="G16" i="14631"/>
  <c r="F16" i="14631"/>
  <c r="F27" i="14629"/>
  <c r="E18" i="14629"/>
  <c r="E20" i="14629" l="1"/>
  <c r="G15" i="14631"/>
  <c r="G18" i="14631" s="1"/>
  <c r="G20" i="14631" s="1"/>
  <c r="G23" i="14631" s="1"/>
  <c r="G58" i="14629"/>
  <c r="F58" i="14629"/>
  <c r="F15" i="14631"/>
  <c r="F18" i="14631" s="1"/>
  <c r="F20" i="14631" s="1"/>
  <c r="F23" i="14631" s="1"/>
  <c r="H14" i="14633" l="1"/>
  <c r="G14" i="14633"/>
  <c r="E27" i="14629"/>
  <c r="E16" i="14631"/>
  <c r="E15" i="14631" l="1"/>
  <c r="E58" i="14629"/>
  <c r="F14" i="14633" l="1"/>
  <c r="E19" i="14681"/>
  <c r="E18" i="14631"/>
  <c r="E20" i="14631" l="1"/>
  <c r="E22" i="14710"/>
  <c r="E23" i="14710" l="1"/>
  <c r="E23" i="14631"/>
  <c r="F19" i="14681" l="1"/>
  <c r="F22" i="14710" l="1"/>
  <c r="F23" i="14710" l="1"/>
  <c r="G19" i="14681" l="1"/>
  <c r="G22" i="14710" l="1"/>
  <c r="G23" i="14710" s="1"/>
  <c r="G24" i="14710" s="1"/>
  <c r="H20" i="14681"/>
  <c r="H22" i="14681" s="1"/>
  <c r="H26" i="14710" l="1" a="1"/>
  <c r="H26" i="14710" l="1"/>
  <c r="J26" i="14710"/>
  <c r="J18" i="14629" s="1"/>
  <c r="J20" i="14629" s="1"/>
  <c r="I26" i="14710"/>
  <c r="I18" i="14629" s="1"/>
  <c r="I20" i="14629" s="1"/>
  <c r="I27" i="14629" l="1"/>
  <c r="I16" i="14631"/>
  <c r="J27" i="14629"/>
  <c r="J16" i="14631"/>
  <c r="H18" i="14629"/>
  <c r="H20" i="14629" l="1"/>
  <c r="J58" i="14629"/>
  <c r="J15" i="14631"/>
  <c r="J18" i="14631" s="1"/>
  <c r="J20" i="14631" s="1"/>
  <c r="J23" i="14631" s="1"/>
  <c r="I58" i="14629"/>
  <c r="I15" i="14631"/>
  <c r="I18" i="14631" s="1"/>
  <c r="I20" i="14631" s="1"/>
  <c r="I23" i="14631" s="1"/>
  <c r="K14" i="14633" l="1"/>
  <c r="J14" i="14633"/>
  <c r="H27" i="14629"/>
  <c r="H16" i="14631"/>
  <c r="H58" i="14629" l="1"/>
  <c r="H15" i="14631"/>
  <c r="H18" i="14631" l="1"/>
  <c r="I14" i="14633"/>
  <c r="H20" i="14631" l="1"/>
  <c r="H23" i="14631" l="1"/>
  <c r="K24" i="14657" a="1"/>
  <c r="K24" i="14657"/>
  <c r="J19" i="14681"/>
  <c r="J22" i="14710" s="1"/>
  <c r="J23" i="14710" s="1"/>
  <c r="H19" i="14681"/>
  <c r="H22" i="14710" s="1"/>
  <c r="I19" i="14681"/>
  <c r="I22" i="14710" s="1"/>
  <c r="I23" i="14710" s="1"/>
  <c r="K19" i="14681"/>
  <c r="K22" i="14710" s="1"/>
  <c r="K23" i="14710" s="1"/>
  <c r="K20" i="14681"/>
  <c r="K22" i="14681" s="1"/>
  <c r="L19" i="14681"/>
  <c r="L22" i="14710" s="1"/>
  <c r="L23" i="14710" s="1"/>
  <c r="M19" i="14681"/>
  <c r="M22" i="14710" s="1"/>
  <c r="M23" i="14710" s="1"/>
  <c r="B28" i="14681"/>
  <c r="B31" i="14710"/>
  <c r="B32" i="14710" s="1"/>
  <c r="C28" i="14681"/>
  <c r="C31" i="14710" s="1"/>
  <c r="C32" i="14710" s="1"/>
  <c r="D28" i="14681"/>
  <c r="D31" i="14710" s="1"/>
  <c r="D32" i="14710" s="1"/>
  <c r="E28" i="14681"/>
  <c r="E31" i="14710" s="1"/>
  <c r="E32" i="14710" s="1"/>
  <c r="E29" i="14681"/>
  <c r="E31" i="14681" s="1"/>
  <c r="F28" i="14681"/>
  <c r="F31" i="14710" s="1"/>
  <c r="F32" i="14710" s="1"/>
  <c r="G28" i="14681"/>
  <c r="G31" i="14710" s="1"/>
  <c r="G32" i="14710" s="1"/>
  <c r="D14" i="14657"/>
  <c r="B39" i="14709"/>
  <c r="D17" i="14657"/>
  <c r="H28" i="14681"/>
  <c r="I28" i="14681"/>
  <c r="I31" i="14710" s="1"/>
  <c r="I32" i="14710" s="1"/>
  <c r="J28" i="14681"/>
  <c r="J31" i="14710" s="1"/>
  <c r="J32" i="14710" s="1"/>
  <c r="K28" i="14681"/>
  <c r="K31" i="14710" s="1"/>
  <c r="K32" i="14710" s="1"/>
  <c r="L28" i="14681"/>
  <c r="L31" i="14710" s="1"/>
  <c r="L32" i="14710" s="1"/>
  <c r="M28" i="14681"/>
  <c r="M31" i="14710" s="1"/>
  <c r="M32" i="14710" s="1"/>
  <c r="B37" i="14681"/>
  <c r="B40" i="14710" s="1"/>
  <c r="B41" i="14710" s="1"/>
  <c r="C37" i="14681"/>
  <c r="D37" i="14681"/>
  <c r="D40" i="14710" s="1"/>
  <c r="D41" i="14710" s="1"/>
  <c r="E14" i="14657"/>
  <c r="E37" i="14681"/>
  <c r="E40" i="14710" s="1"/>
  <c r="E41" i="14710" s="1"/>
  <c r="F37" i="14681"/>
  <c r="F40" i="14710" s="1"/>
  <c r="F41" i="14710" s="1"/>
  <c r="G37" i="14681"/>
  <c r="E17" i="14657"/>
  <c r="E18" i="14657"/>
  <c r="H37" i="14681"/>
  <c r="H40" i="14710" s="1"/>
  <c r="H41" i="14710" s="1"/>
  <c r="I37" i="14681"/>
  <c r="I40" i="14710" s="1"/>
  <c r="I41" i="14710" s="1"/>
  <c r="J37" i="14681"/>
  <c r="J40" i="14710" s="1"/>
  <c r="J41" i="14710" s="1"/>
  <c r="K37" i="14681"/>
  <c r="L37" i="14681"/>
  <c r="L40" i="14710" s="1"/>
  <c r="L41" i="14710" s="1"/>
  <c r="M37" i="14681"/>
  <c r="M40" i="14710" s="1"/>
  <c r="M41" i="14710"/>
  <c r="B46" i="14681"/>
  <c r="B49" i="14710" s="1"/>
  <c r="B50" i="14710" s="1"/>
  <c r="C46" i="14681"/>
  <c r="C49" i="14710" s="1"/>
  <c r="C50" i="14710" s="1"/>
  <c r="D46" i="14681"/>
  <c r="E46" i="14681"/>
  <c r="E49" i="14710" s="1"/>
  <c r="E50" i="14710" s="1"/>
  <c r="F46" i="14681"/>
  <c r="F49" i="14710" s="1"/>
  <c r="F50" i="14710" s="1"/>
  <c r="G46" i="14681"/>
  <c r="G49" i="14710" s="1"/>
  <c r="G50" i="14710" s="1"/>
  <c r="F14" i="14657"/>
  <c r="F17" i="14657"/>
  <c r="F18" i="14657"/>
  <c r="H46" i="14681"/>
  <c r="H49" i="14710" s="1"/>
  <c r="H50" i="14710" s="1"/>
  <c r="I46" i="14681"/>
  <c r="I49" i="14710" s="1"/>
  <c r="I50" i="14710" s="1"/>
  <c r="J46" i="14681"/>
  <c r="J49" i="14710" s="1"/>
  <c r="J50" i="14710" s="1"/>
  <c r="K46" i="14681"/>
  <c r="K49" i="14710" s="1"/>
  <c r="K50" i="14710" s="1"/>
  <c r="L46" i="14681"/>
  <c r="L49" i="14710" s="1"/>
  <c r="L50" i="14710" s="1"/>
  <c r="M46" i="14681"/>
  <c r="M49" i="14710"/>
  <c r="M50" i="14710" s="1"/>
  <c r="G14" i="14657"/>
  <c r="G17" i="14657"/>
  <c r="G18" i="14657" s="1"/>
  <c r="N46" i="14681" l="1"/>
  <c r="N47" i="14681" s="1"/>
  <c r="D18" i="14657"/>
  <c r="H38" i="14681"/>
  <c r="N19" i="14681"/>
  <c r="N20" i="14681" s="1"/>
  <c r="K38" i="14681"/>
  <c r="H29" i="14681"/>
  <c r="G40" i="14710"/>
  <c r="G41" i="14710" s="1"/>
  <c r="C20" i="14657" a="1"/>
  <c r="C20" i="14657" s="1"/>
  <c r="D33" i="14710"/>
  <c r="E35" i="14710" s="1"/>
  <c r="E18" i="14636" s="1"/>
  <c r="E20" i="14636" s="1"/>
  <c r="M51" i="14710"/>
  <c r="G51" i="14710"/>
  <c r="J53" i="14710" s="1"/>
  <c r="J18" i="14673" s="1"/>
  <c r="J20" i="14673" s="1"/>
  <c r="J16" i="14671" s="1"/>
  <c r="J51" i="14710"/>
  <c r="M53" i="14710" s="1"/>
  <c r="M18" i="14673" s="1"/>
  <c r="M20" i="14673" s="1"/>
  <c r="J42" i="14710"/>
  <c r="K44" i="14710" s="1"/>
  <c r="K18" i="14672" s="1"/>
  <c r="K20" i="14672" s="1"/>
  <c r="D49" i="14710"/>
  <c r="K47" i="14681"/>
  <c r="E47" i="14681"/>
  <c r="E49" i="14681" s="1"/>
  <c r="K40" i="14710"/>
  <c r="K41" i="14710" s="1"/>
  <c r="M42" i="14710" s="1"/>
  <c r="N37" i="14681"/>
  <c r="N38" i="14681" s="1"/>
  <c r="H47" i="14681"/>
  <c r="M33" i="14710"/>
  <c r="K29" i="14681"/>
  <c r="H31" i="14710"/>
  <c r="N28" i="14681"/>
  <c r="N29" i="14681" s="1"/>
  <c r="E38" i="14681"/>
  <c r="E40" i="14681" s="1"/>
  <c r="C40" i="14710"/>
  <c r="M24" i="14710"/>
  <c r="N22" i="14710"/>
  <c r="H23" i="14710"/>
  <c r="G33" i="14710"/>
  <c r="H40" i="14681" l="1"/>
  <c r="K40" i="14681" s="1"/>
  <c r="N40" i="14681" s="1"/>
  <c r="F24" i="14657" s="1"/>
  <c r="F25" i="14657" s="1"/>
  <c r="H31" i="14681"/>
  <c r="G42" i="14710"/>
  <c r="N22" i="14681"/>
  <c r="D24" i="14657" s="1"/>
  <c r="D25" i="14657" s="1"/>
  <c r="F35" i="14710"/>
  <c r="F18" i="14636" s="1"/>
  <c r="F20" i="14636" s="1"/>
  <c r="G35" i="14710"/>
  <c r="G18" i="14636" s="1"/>
  <c r="G20" i="14636" s="1"/>
  <c r="E20" i="14657"/>
  <c r="F20" i="14657"/>
  <c r="D20" i="14657"/>
  <c r="K21" i="14657" s="1" a="1"/>
  <c r="G20" i="14657"/>
  <c r="L53" i="14710"/>
  <c r="L18" i="14673" s="1"/>
  <c r="L20" i="14673" s="1"/>
  <c r="L16" i="14671" s="1"/>
  <c r="J27" i="14673"/>
  <c r="J15" i="14671" s="1"/>
  <c r="J18" i="14671" s="1"/>
  <c r="J20" i="14671" s="1"/>
  <c r="J23" i="14671" s="1"/>
  <c r="K53" i="14710"/>
  <c r="K18" i="14673" s="1"/>
  <c r="K20" i="14673" s="1"/>
  <c r="K16" i="14671" s="1"/>
  <c r="L44" i="14710"/>
  <c r="L18" i="14672" s="1"/>
  <c r="L20" i="14672" s="1"/>
  <c r="L27" i="14672" s="1"/>
  <c r="M44" i="14710"/>
  <c r="M18" i="14672" s="1"/>
  <c r="M20" i="14672" s="1"/>
  <c r="M16" i="14670" s="1"/>
  <c r="I53" i="14710"/>
  <c r="I18" i="14673" s="1"/>
  <c r="I20" i="14673" s="1"/>
  <c r="I16" i="14671" s="1"/>
  <c r="H49" i="14681"/>
  <c r="K49" i="14681" s="1"/>
  <c r="N49" i="14681" s="1"/>
  <c r="H53" i="14710"/>
  <c r="H18" i="14673" s="1"/>
  <c r="H20" i="14673" s="1"/>
  <c r="H16" i="14671" s="1"/>
  <c r="E27" i="14636"/>
  <c r="E16" i="14640"/>
  <c r="C53" i="14710"/>
  <c r="C18" i="14673" s="1"/>
  <c r="C20" i="14673" s="1"/>
  <c r="D53" i="14710"/>
  <c r="D18" i="14673" s="1"/>
  <c r="D20" i="14673" s="1"/>
  <c r="B53" i="14710"/>
  <c r="C41" i="14710"/>
  <c r="N40" i="14710"/>
  <c r="H32" i="14710"/>
  <c r="N31" i="14710"/>
  <c r="I35" i="14710"/>
  <c r="I18" i="14636" s="1"/>
  <c r="I20" i="14636" s="1"/>
  <c r="J35" i="14710"/>
  <c r="J18" i="14636" s="1"/>
  <c r="J20" i="14636" s="1"/>
  <c r="H35" i="14710"/>
  <c r="H18" i="14636" s="1"/>
  <c r="H20" i="14636" s="1"/>
  <c r="J24" i="14710"/>
  <c r="N23" i="14710"/>
  <c r="K27" i="14672"/>
  <c r="K16" i="14670"/>
  <c r="D50" i="14710"/>
  <c r="N49" i="14710"/>
  <c r="D35" i="14710"/>
  <c r="D18" i="14636" s="1"/>
  <c r="D20" i="14636" s="1"/>
  <c r="B35" i="14710"/>
  <c r="C35" i="14710"/>
  <c r="C18" i="14636" s="1"/>
  <c r="C20" i="14636" s="1"/>
  <c r="C44" i="14710"/>
  <c r="C18" i="14672" s="1"/>
  <c r="C20" i="14672" s="1"/>
  <c r="D44" i="14710"/>
  <c r="D18" i="14672" s="1"/>
  <c r="D20" i="14672" s="1"/>
  <c r="B44" i="14710"/>
  <c r="M16" i="14671"/>
  <c r="M27" i="14673"/>
  <c r="J58" i="14673"/>
  <c r="K14" i="14677" s="1"/>
  <c r="K31" i="14681" l="1"/>
  <c r="N31" i="14681" s="1"/>
  <c r="F16" i="14640"/>
  <c r="G27" i="14636"/>
  <c r="G16" i="14640"/>
  <c r="L24" i="14657"/>
  <c r="F27" i="14636"/>
  <c r="C23" i="14641"/>
  <c r="B31" i="14681"/>
  <c r="H44" i="14710"/>
  <c r="H18" i="14672" s="1"/>
  <c r="H20" i="14672" s="1"/>
  <c r="I44" i="14710"/>
  <c r="I18" i="14672" s="1"/>
  <c r="I20" i="14672" s="1"/>
  <c r="J44" i="14710"/>
  <c r="J18" i="14672" s="1"/>
  <c r="J20" i="14672" s="1"/>
  <c r="L27" i="14673"/>
  <c r="L21" i="14657"/>
  <c r="K21" i="14657"/>
  <c r="O21" i="14657"/>
  <c r="N21" i="14657"/>
  <c r="M21" i="14657"/>
  <c r="K27" i="14673"/>
  <c r="K15" i="14671" s="1"/>
  <c r="K18" i="14671" s="1"/>
  <c r="K20" i="14671" s="1"/>
  <c r="K23" i="14671" s="1"/>
  <c r="L16" i="14670"/>
  <c r="M27" i="14672"/>
  <c r="M58" i="14672" s="1"/>
  <c r="N14" i="14676" s="1"/>
  <c r="I27" i="14673"/>
  <c r="I15" i="14671" s="1"/>
  <c r="I18" i="14671" s="1"/>
  <c r="I20" i="14671" s="1"/>
  <c r="I23" i="14671" s="1"/>
  <c r="H27" i="14673"/>
  <c r="H58" i="14673" s="1"/>
  <c r="I14" i="14677" s="1"/>
  <c r="D16" i="14640"/>
  <c r="D27" i="14636"/>
  <c r="H16" i="14640"/>
  <c r="H27" i="14636"/>
  <c r="D42" i="14710"/>
  <c r="N41" i="14710"/>
  <c r="J27" i="14636"/>
  <c r="J16" i="14640"/>
  <c r="C23" i="14677"/>
  <c r="B49" i="14681"/>
  <c r="M15" i="14671"/>
  <c r="M18" i="14671" s="1"/>
  <c r="M20" i="14671" s="1"/>
  <c r="M23" i="14671" s="1"/>
  <c r="M58" i="14673"/>
  <c r="N14" i="14677" s="1"/>
  <c r="I16" i="14640"/>
  <c r="I27" i="14636"/>
  <c r="N50" i="14710"/>
  <c r="D51" i="14710"/>
  <c r="L26" i="14710"/>
  <c r="L18" i="14629" s="1"/>
  <c r="L20" i="14629" s="1"/>
  <c r="M26" i="14710"/>
  <c r="M18" i="14629" s="1"/>
  <c r="M20" i="14629" s="1"/>
  <c r="N24" i="14710"/>
  <c r="K26" i="14710"/>
  <c r="B18" i="14672"/>
  <c r="G24" i="14657"/>
  <c r="G25" i="14657" s="1"/>
  <c r="E58" i="14636"/>
  <c r="F14" i="14641" s="1"/>
  <c r="E15" i="14640"/>
  <c r="E18" i="14640" s="1"/>
  <c r="E20" i="14640" s="1"/>
  <c r="E23" i="14640" s="1"/>
  <c r="N24" i="14657"/>
  <c r="B18" i="14673"/>
  <c r="D27" i="14673"/>
  <c r="D16" i="14671"/>
  <c r="D27" i="14672"/>
  <c r="D16" i="14670"/>
  <c r="C27" i="14673"/>
  <c r="C16" i="14671"/>
  <c r="L58" i="14672"/>
  <c r="M14" i="14676" s="1"/>
  <c r="L15" i="14670"/>
  <c r="K58" i="14672"/>
  <c r="L14" i="14676" s="1"/>
  <c r="K15" i="14670"/>
  <c r="K18" i="14670" s="1"/>
  <c r="K20" i="14670" s="1"/>
  <c r="K23" i="14670" s="1"/>
  <c r="B18" i="14636"/>
  <c r="J33" i="14710"/>
  <c r="N32" i="14710"/>
  <c r="C16" i="14670"/>
  <c r="C27" i="14672"/>
  <c r="C27" i="14636"/>
  <c r="C16" i="14640"/>
  <c r="I16" i="14670" l="1"/>
  <c r="I27" i="14672"/>
  <c r="B40" i="14681"/>
  <c r="E24" i="14657"/>
  <c r="E25" i="14657" s="1"/>
  <c r="M24" i="14657" s="1"/>
  <c r="C23" i="14676"/>
  <c r="J27" i="14672"/>
  <c r="G15" i="14640"/>
  <c r="G18" i="14640" s="1"/>
  <c r="G20" i="14640" s="1"/>
  <c r="G23" i="14640" s="1"/>
  <c r="G58" i="14636"/>
  <c r="H14" i="14641" s="1"/>
  <c r="F58" i="14636"/>
  <c r="G14" i="14641" s="1"/>
  <c r="F15" i="14640"/>
  <c r="F18" i="14640" s="1"/>
  <c r="F20" i="14640" s="1"/>
  <c r="F23" i="14640" s="1"/>
  <c r="J16" i="14670"/>
  <c r="L15" i="14671"/>
  <c r="L18" i="14671" s="1"/>
  <c r="L20" i="14671" s="1"/>
  <c r="L23" i="14671" s="1"/>
  <c r="L58" i="14673"/>
  <c r="M14" i="14677" s="1"/>
  <c r="H27" i="14672"/>
  <c r="H16" i="14670"/>
  <c r="L18" i="14670"/>
  <c r="L20" i="14670" s="1"/>
  <c r="L23" i="14670" s="1"/>
  <c r="M30" i="14657"/>
  <c r="T11" i="14657"/>
  <c r="T12" i="14657"/>
  <c r="T14" i="14657"/>
  <c r="T16" i="14657"/>
  <c r="T15" i="14657"/>
  <c r="T13" i="14657"/>
  <c r="T10" i="14657"/>
  <c r="T8" i="14657"/>
  <c r="T9" i="14657"/>
  <c r="N30" i="14657"/>
  <c r="U9" i="14657"/>
  <c r="U12" i="14657"/>
  <c r="U15" i="14657"/>
  <c r="U14" i="14657"/>
  <c r="U16" i="14657"/>
  <c r="U10" i="14657"/>
  <c r="U8" i="14657"/>
  <c r="U11" i="14657"/>
  <c r="U13" i="14657"/>
  <c r="K58" i="14673"/>
  <c r="L14" i="14677" s="1"/>
  <c r="V15" i="14657"/>
  <c r="V14" i="14657"/>
  <c r="V9" i="14657"/>
  <c r="O30" i="14657"/>
  <c r="V10" i="14657"/>
  <c r="V13" i="14657"/>
  <c r="V11" i="14657"/>
  <c r="V16" i="14657"/>
  <c r="V8" i="14657"/>
  <c r="V12" i="14657"/>
  <c r="R10" i="14657"/>
  <c r="K30" i="14657"/>
  <c r="R11" i="14657"/>
  <c r="R12" i="14657"/>
  <c r="R13" i="14657"/>
  <c r="R14" i="14657"/>
  <c r="R15" i="14657"/>
  <c r="R16" i="14657"/>
  <c r="R8" i="14657"/>
  <c r="R9" i="14657"/>
  <c r="S12" i="14657"/>
  <c r="S10" i="14657"/>
  <c r="S11" i="14657"/>
  <c r="S14" i="14657"/>
  <c r="L30" i="14657"/>
  <c r="S9" i="14657"/>
  <c r="S15" i="14657"/>
  <c r="S16" i="14657"/>
  <c r="S8" i="14657"/>
  <c r="S13" i="14657"/>
  <c r="M15" i="14670"/>
  <c r="M18" i="14670" s="1"/>
  <c r="M20" i="14670" s="1"/>
  <c r="M23" i="14670" s="1"/>
  <c r="I58" i="14673"/>
  <c r="J14" i="14677" s="1"/>
  <c r="H15" i="14671"/>
  <c r="H18" i="14671" s="1"/>
  <c r="H20" i="14671" s="1"/>
  <c r="H23" i="14671" s="1"/>
  <c r="M16" i="14631"/>
  <c r="M27" i="14629"/>
  <c r="K35" i="14710"/>
  <c r="M35" i="14710"/>
  <c r="M18" i="14636" s="1"/>
  <c r="M20" i="14636" s="1"/>
  <c r="L35" i="14710"/>
  <c r="L18" i="14636" s="1"/>
  <c r="L20" i="14636" s="1"/>
  <c r="N33" i="14710"/>
  <c r="B20" i="14636"/>
  <c r="L16" i="14631"/>
  <c r="L27" i="14629"/>
  <c r="E53" i="14710"/>
  <c r="N51" i="14710"/>
  <c r="F53" i="14710"/>
  <c r="F18" i="14673" s="1"/>
  <c r="F20" i="14673" s="1"/>
  <c r="G53" i="14710"/>
  <c r="G18" i="14673" s="1"/>
  <c r="G20" i="14673" s="1"/>
  <c r="J15" i="14640"/>
  <c r="J18" i="14640" s="1"/>
  <c r="J20" i="14640" s="1"/>
  <c r="J23" i="14640" s="1"/>
  <c r="J58" i="14636"/>
  <c r="K14" i="14641" s="1"/>
  <c r="D15" i="14671"/>
  <c r="D18" i="14671" s="1"/>
  <c r="D20" i="14671" s="1"/>
  <c r="D23" i="14671" s="1"/>
  <c r="D58" i="14673"/>
  <c r="E14" i="14677" s="1"/>
  <c r="O24" i="14657"/>
  <c r="C58" i="14636"/>
  <c r="D14" i="14641" s="1"/>
  <c r="C15" i="14640"/>
  <c r="C18" i="14640" s="1"/>
  <c r="C20" i="14640" s="1"/>
  <c r="C23" i="14640" s="1"/>
  <c r="F44" i="14710"/>
  <c r="F18" i="14672" s="1"/>
  <c r="F20" i="14672" s="1"/>
  <c r="G44" i="14710"/>
  <c r="G18" i="14672" s="1"/>
  <c r="G20" i="14672" s="1"/>
  <c r="E44" i="14710"/>
  <c r="N42" i="14710"/>
  <c r="C58" i="14673"/>
  <c r="D14" i="14677" s="1"/>
  <c r="C15" i="14671"/>
  <c r="C18" i="14671" s="1"/>
  <c r="C20" i="14671" s="1"/>
  <c r="C23" i="14671" s="1"/>
  <c r="I15" i="14640"/>
  <c r="I18" i="14640" s="1"/>
  <c r="I20" i="14640" s="1"/>
  <c r="I23" i="14640" s="1"/>
  <c r="I58" i="14636"/>
  <c r="J14" i="14641" s="1"/>
  <c r="H58" i="14636"/>
  <c r="I14" i="14641" s="1"/>
  <c r="H15" i="14640"/>
  <c r="H18" i="14640" s="1"/>
  <c r="H20" i="14640" s="1"/>
  <c r="H23" i="14640" s="1"/>
  <c r="D15" i="14670"/>
  <c r="D18" i="14670" s="1"/>
  <c r="D20" i="14670" s="1"/>
  <c r="D23" i="14670" s="1"/>
  <c r="D58" i="14672"/>
  <c r="E14" i="14676" s="1"/>
  <c r="B20" i="14673"/>
  <c r="C58" i="14672"/>
  <c r="D14" i="14676" s="1"/>
  <c r="C15" i="14670"/>
  <c r="C18" i="14670" s="1"/>
  <c r="C20" i="14670" s="1"/>
  <c r="C23" i="14670" s="1"/>
  <c r="B20" i="14672"/>
  <c r="K18" i="14629"/>
  <c r="N26" i="14710"/>
  <c r="D15" i="14640"/>
  <c r="D18" i="14640" s="1"/>
  <c r="D20" i="14640" s="1"/>
  <c r="D23" i="14640" s="1"/>
  <c r="D58" i="14636"/>
  <c r="E14" i="14641" s="1"/>
  <c r="I15" i="14670" l="1"/>
  <c r="I18" i="14670" s="1"/>
  <c r="I20" i="14670" s="1"/>
  <c r="I23" i="14670" s="1"/>
  <c r="I58" i="14672"/>
  <c r="J14" i="14676" s="1"/>
  <c r="J58" i="14672"/>
  <c r="K14" i="14676" s="1"/>
  <c r="J15" i="14670"/>
  <c r="J18" i="14670"/>
  <c r="J20" i="14670" s="1"/>
  <c r="J23" i="14670" s="1"/>
  <c r="H15" i="14670"/>
  <c r="H18" i="14670" s="1"/>
  <c r="H20" i="14670" s="1"/>
  <c r="H23" i="14670" s="1"/>
  <c r="H58" i="14672"/>
  <c r="I14" i="14676" s="1"/>
  <c r="T17" i="14657"/>
  <c r="M23" i="14657" s="1"/>
  <c r="M26" i="14657" s="1"/>
  <c r="J9" i="14706" s="1"/>
  <c r="V17" i="14657"/>
  <c r="O23" i="14657" s="1"/>
  <c r="R17" i="14657"/>
  <c r="K23" i="14657" s="1"/>
  <c r="U17" i="14657"/>
  <c r="N23" i="14657" s="1"/>
  <c r="N26" i="14657" s="1"/>
  <c r="S17" i="14657"/>
  <c r="L23" i="14657" s="1"/>
  <c r="L26" i="14657" s="1"/>
  <c r="O26" i="14657"/>
  <c r="O27" i="14657" s="1"/>
  <c r="K18" i="14636"/>
  <c r="N35" i="14710"/>
  <c r="G16" i="14671"/>
  <c r="G27" i="14673"/>
  <c r="F27" i="14673"/>
  <c r="F16" i="14671"/>
  <c r="M15" i="14631"/>
  <c r="M18" i="14631" s="1"/>
  <c r="M20" i="14631" s="1"/>
  <c r="M23" i="14631" s="1"/>
  <c r="M58" i="14629"/>
  <c r="N14" i="14633" s="1"/>
  <c r="G27" i="14672"/>
  <c r="G16" i="14670"/>
  <c r="E18" i="14673"/>
  <c r="N53" i="14710"/>
  <c r="F27" i="14672"/>
  <c r="F16" i="14670"/>
  <c r="B27" i="14636"/>
  <c r="B16" i="14640"/>
  <c r="B27" i="14673"/>
  <c r="B16" i="14671"/>
  <c r="E18" i="14672"/>
  <c r="N44" i="14710"/>
  <c r="B27" i="14672"/>
  <c r="B16" i="14670"/>
  <c r="L58" i="14629"/>
  <c r="M14" i="14633" s="1"/>
  <c r="L15" i="14631"/>
  <c r="L18" i="14631" s="1"/>
  <c r="L20" i="14631" s="1"/>
  <c r="L23" i="14631" s="1"/>
  <c r="K20" i="14629"/>
  <c r="N18" i="14629"/>
  <c r="L16" i="14640"/>
  <c r="L27" i="14636"/>
  <c r="M27" i="14636"/>
  <c r="M16" i="14640"/>
  <c r="J19" i="14667" l="1"/>
  <c r="H23" i="14676"/>
  <c r="J8" i="14676"/>
  <c r="N19" i="14667"/>
  <c r="M27" i="14657"/>
  <c r="N9" i="14706"/>
  <c r="J8" i="14641"/>
  <c r="L27" i="14657"/>
  <c r="H9" i="14706"/>
  <c r="H23" i="14641"/>
  <c r="H19" i="14667"/>
  <c r="L19" i="14667"/>
  <c r="L9" i="14706"/>
  <c r="J8" i="14677"/>
  <c r="H23" i="14677"/>
  <c r="N27" i="14657"/>
  <c r="K26" i="14657"/>
  <c r="K28" i="14657" a="1"/>
  <c r="K28" i="14657" s="1"/>
  <c r="E20" i="14673"/>
  <c r="N18" i="14673"/>
  <c r="G58" i="14673"/>
  <c r="H14" i="14677" s="1"/>
  <c r="G15" i="14671"/>
  <c r="G18" i="14671" s="1"/>
  <c r="G20" i="14671" s="1"/>
  <c r="G23" i="14671" s="1"/>
  <c r="M58" i="14636"/>
  <c r="N14" i="14641" s="1"/>
  <c r="M15" i="14640"/>
  <c r="M18" i="14640" s="1"/>
  <c r="M20" i="14640" s="1"/>
  <c r="M23" i="14640" s="1"/>
  <c r="E20" i="14672"/>
  <c r="N18" i="14672"/>
  <c r="G15" i="14670"/>
  <c r="G18" i="14670" s="1"/>
  <c r="G20" i="14670" s="1"/>
  <c r="G23" i="14670" s="1"/>
  <c r="G58" i="14672"/>
  <c r="H14" i="14676" s="1"/>
  <c r="B58" i="14672"/>
  <c r="C14" i="14676" s="1"/>
  <c r="B15" i="14670"/>
  <c r="C16" i="14682"/>
  <c r="K27" i="14629"/>
  <c r="K16" i="14631"/>
  <c r="N16" i="14631" s="1"/>
  <c r="N20" i="14629"/>
  <c r="K20" i="14636"/>
  <c r="N18" i="14636"/>
  <c r="L58" i="14636"/>
  <c r="M14" i="14641" s="1"/>
  <c r="L15" i="14640"/>
  <c r="L18" i="14640" s="1"/>
  <c r="L20" i="14640" s="1"/>
  <c r="L23" i="14640" s="1"/>
  <c r="B15" i="14671"/>
  <c r="B58" i="14673"/>
  <c r="C14" i="14677" s="1"/>
  <c r="B58" i="14636"/>
  <c r="C14" i="14641" s="1"/>
  <c r="B15" i="14640"/>
  <c r="F58" i="14673"/>
  <c r="G14" i="14677" s="1"/>
  <c r="F15" i="14671"/>
  <c r="F18" i="14671" s="1"/>
  <c r="F20" i="14671" s="1"/>
  <c r="F23" i="14671" s="1"/>
  <c r="F15" i="14670"/>
  <c r="F18" i="14670" s="1"/>
  <c r="F20" i="14670" s="1"/>
  <c r="F23" i="14670" s="1"/>
  <c r="F58" i="14672"/>
  <c r="G14" i="14676" s="1"/>
  <c r="H23" i="14633" l="1"/>
  <c r="F9" i="14706"/>
  <c r="J8" i="14633"/>
  <c r="F19" i="14667"/>
  <c r="K27" i="14657"/>
  <c r="N28" i="14657"/>
  <c r="O28" i="14657"/>
  <c r="M28" i="14657"/>
  <c r="L28" i="14657"/>
  <c r="C18" i="14682"/>
  <c r="C25" i="14682" s="1"/>
  <c r="C99" i="14707"/>
  <c r="C101" i="14707" s="1"/>
  <c r="E16" i="14682"/>
  <c r="B18" i="14671"/>
  <c r="D16" i="14617"/>
  <c r="N27" i="14629"/>
  <c r="O20" i="14629" s="1"/>
  <c r="E16" i="14670"/>
  <c r="N16" i="14670" s="1"/>
  <c r="E27" i="14672"/>
  <c r="N20" i="14672"/>
  <c r="K58" i="14629"/>
  <c r="L14" i="14633" s="1"/>
  <c r="K15" i="14631"/>
  <c r="B18" i="14670"/>
  <c r="F16" i="14682"/>
  <c r="E16" i="14671"/>
  <c r="N16" i="14671" s="1"/>
  <c r="E27" i="14673"/>
  <c r="N20" i="14673"/>
  <c r="D16" i="14682"/>
  <c r="B18" i="14640"/>
  <c r="K27" i="14636"/>
  <c r="K16" i="14640"/>
  <c r="N16" i="14640" s="1"/>
  <c r="N20" i="14636"/>
  <c r="N27" i="14673" l="1"/>
  <c r="O20" i="14673" s="1"/>
  <c r="M16" i="14617"/>
  <c r="N27" i="14636"/>
  <c r="O20" i="14636" s="1"/>
  <c r="G16" i="14617"/>
  <c r="E15" i="14671"/>
  <c r="E58" i="14673"/>
  <c r="F14" i="14677" s="1"/>
  <c r="O23" i="14629" a="1"/>
  <c r="O7" i="14629" a="1"/>
  <c r="E7" i="14643"/>
  <c r="E10" i="14643" s="1"/>
  <c r="N58" i="14629"/>
  <c r="O27" i="14629" s="1"/>
  <c r="O19" i="14629"/>
  <c r="O18" i="14629"/>
  <c r="E15" i="14670"/>
  <c r="E58" i="14672"/>
  <c r="F14" i="14676" s="1"/>
  <c r="E44" i="14711"/>
  <c r="E16" i="14617"/>
  <c r="D18" i="14617"/>
  <c r="C105" i="14707"/>
  <c r="C130" i="14707" s="1"/>
  <c r="C53" i="14682"/>
  <c r="N15" i="14631"/>
  <c r="K18" i="14631"/>
  <c r="B20" i="14671"/>
  <c r="K15" i="14640"/>
  <c r="K58" i="14636"/>
  <c r="L14" i="14641" s="1"/>
  <c r="O14" i="14633"/>
  <c r="D14" i="14684" s="1"/>
  <c r="B20" i="14640"/>
  <c r="D99" i="14707"/>
  <c r="D101" i="14707" s="1"/>
  <c r="D18" i="14682"/>
  <c r="D25" i="14682" s="1"/>
  <c r="F18" i="14682"/>
  <c r="F25" i="14682" s="1"/>
  <c r="F99" i="14707"/>
  <c r="F101" i="14707" s="1"/>
  <c r="E99" i="14707"/>
  <c r="E101" i="14707" s="1"/>
  <c r="E18" i="14682"/>
  <c r="E25" i="14682" s="1"/>
  <c r="B20" i="14670"/>
  <c r="N27" i="14672"/>
  <c r="O20" i="14672" s="1"/>
  <c r="J16" i="14617"/>
  <c r="O14" i="14677" l="1"/>
  <c r="G14" i="14684" s="1"/>
  <c r="D105" i="14707"/>
  <c r="D130" i="14707" s="1"/>
  <c r="D53" i="14682"/>
  <c r="E18" i="14671"/>
  <c r="N15" i="14671"/>
  <c r="O14" i="14676"/>
  <c r="F14" i="14684" s="1"/>
  <c r="G18" i="14617"/>
  <c r="I18" i="14617" s="1"/>
  <c r="H16" i="14617"/>
  <c r="F44" i="14711"/>
  <c r="O14" i="14641"/>
  <c r="E14" i="14684" s="1"/>
  <c r="E18" i="14670"/>
  <c r="N15" i="14670"/>
  <c r="N58" i="14636"/>
  <c r="O27" i="14636" s="1"/>
  <c r="O19" i="14636"/>
  <c r="O7" i="14636" a="1"/>
  <c r="F7" i="14643"/>
  <c r="F10" i="14643" s="1"/>
  <c r="O23" i="14636" a="1"/>
  <c r="O18" i="14636"/>
  <c r="J18" i="14617"/>
  <c r="K16" i="14617"/>
  <c r="G44" i="14711"/>
  <c r="G7" i="14643"/>
  <c r="G10" i="14643" s="1"/>
  <c r="O7" i="14672" a="1"/>
  <c r="O19" i="14672"/>
  <c r="O23" i="14672" a="1"/>
  <c r="N58" i="14672"/>
  <c r="O27" i="14672" s="1"/>
  <c r="O18" i="14672"/>
  <c r="K18" i="14640"/>
  <c r="N15" i="14640"/>
  <c r="B23" i="14640"/>
  <c r="B23" i="14670"/>
  <c r="B23" i="14671"/>
  <c r="M18" i="14617"/>
  <c r="N16" i="14617"/>
  <c r="H44" i="14711"/>
  <c r="E18" i="14617"/>
  <c r="C24" i="14709"/>
  <c r="C25" i="14709" s="1"/>
  <c r="C26" i="14709" s="1"/>
  <c r="C28" i="14709" s="1"/>
  <c r="F18" i="14617"/>
  <c r="D20" i="14617"/>
  <c r="C40" i="14649"/>
  <c r="C71" i="14707" s="1"/>
  <c r="D33" i="4128"/>
  <c r="D13" i="14684"/>
  <c r="E53" i="14682"/>
  <c r="E105" i="14707"/>
  <c r="E130" i="14707" s="1"/>
  <c r="N58" i="14673"/>
  <c r="O27" i="14673" s="1"/>
  <c r="H7" i="14643"/>
  <c r="H10" i="14643" s="1"/>
  <c r="O7" i="14673" a="1"/>
  <c r="O19" i="14673"/>
  <c r="O23" i="14673" a="1"/>
  <c r="O18" i="14673"/>
  <c r="O25" i="14629"/>
  <c r="O23" i="14629"/>
  <c r="O24" i="14629"/>
  <c r="K20" i="14631"/>
  <c r="N18" i="14631"/>
  <c r="O55" i="14629"/>
  <c r="O33" i="14629" a="1"/>
  <c r="F105" i="14707"/>
  <c r="F130" i="14707" s="1"/>
  <c r="F53" i="14682"/>
  <c r="E23" i="14643"/>
  <c r="O8" i="14629"/>
  <c r="O10" i="14629"/>
  <c r="O13" i="14629"/>
  <c r="O9" i="14629"/>
  <c r="O11" i="14629"/>
  <c r="O7" i="14629"/>
  <c r="O14" i="14629"/>
  <c r="O15" i="14629"/>
  <c r="O12" i="14629"/>
  <c r="O9" i="14673" l="1"/>
  <c r="O10" i="14673"/>
  <c r="O11" i="14673"/>
  <c r="O7" i="14673"/>
  <c r="O12" i="14673"/>
  <c r="O13" i="14673"/>
  <c r="O15" i="14673"/>
  <c r="O14" i="14673"/>
  <c r="O8" i="14673"/>
  <c r="K20" i="14640"/>
  <c r="N18" i="14640"/>
  <c r="O25" i="14636"/>
  <c r="O23" i="14636"/>
  <c r="O24" i="14636"/>
  <c r="H18" i="14617"/>
  <c r="G20" i="14617"/>
  <c r="D24" i="14709"/>
  <c r="D25" i="14709" s="1"/>
  <c r="D26" i="14709" s="1"/>
  <c r="D28" i="14709" s="1"/>
  <c r="D40" i="14649"/>
  <c r="D71" i="14707" s="1"/>
  <c r="E33" i="4128"/>
  <c r="L18" i="14617"/>
  <c r="F13" i="14684"/>
  <c r="O33" i="14629"/>
  <c r="O43" i="14629"/>
  <c r="O41" i="14629"/>
  <c r="O37" i="14629"/>
  <c r="O51" i="14629"/>
  <c r="O35" i="14629"/>
  <c r="O50" i="14629"/>
  <c r="O42" i="14629"/>
  <c r="O40" i="14629"/>
  <c r="O47" i="14629"/>
  <c r="O38" i="14629"/>
  <c r="O36" i="14629"/>
  <c r="O44" i="14629"/>
  <c r="O54" i="14629"/>
  <c r="O48" i="14629"/>
  <c r="O49" i="14629"/>
  <c r="O45" i="14629"/>
  <c r="O39" i="14629"/>
  <c r="O53" i="14629"/>
  <c r="O34" i="14629"/>
  <c r="O46" i="14629"/>
  <c r="O52" i="14629"/>
  <c r="H23" i="14643"/>
  <c r="H24" i="14643" s="1"/>
  <c r="F45" i="14707" s="1"/>
  <c r="F23" i="14643"/>
  <c r="O55" i="14673"/>
  <c r="O33" i="14673" a="1"/>
  <c r="O8" i="14636"/>
  <c r="O10" i="14636"/>
  <c r="O15" i="14636"/>
  <c r="O12" i="14636"/>
  <c r="O14" i="14636"/>
  <c r="O9" i="14636"/>
  <c r="O13" i="14636"/>
  <c r="O11" i="14636"/>
  <c r="O7" i="14636"/>
  <c r="O55" i="14672"/>
  <c r="O33" i="14672" a="1"/>
  <c r="K23" i="14631"/>
  <c r="N20" i="14631"/>
  <c r="O24" i="14672"/>
  <c r="O23" i="14672"/>
  <c r="O25" i="14672"/>
  <c r="O33" i="14636" a="1"/>
  <c r="O55" i="14636"/>
  <c r="M20" i="14617"/>
  <c r="F24" i="14709"/>
  <c r="F25" i="14709" s="1"/>
  <c r="F26" i="14709" s="1"/>
  <c r="F28" i="14709" s="1"/>
  <c r="G33" i="4128"/>
  <c r="F40" i="14649"/>
  <c r="F71" i="14707" s="1"/>
  <c r="N18" i="14617"/>
  <c r="O7" i="14672"/>
  <c r="O9" i="14672"/>
  <c r="O12" i="14672"/>
  <c r="O15" i="14672"/>
  <c r="O10" i="14672"/>
  <c r="O13" i="14672"/>
  <c r="O11" i="14672"/>
  <c r="O8" i="14672"/>
  <c r="O14" i="14672"/>
  <c r="E20" i="14671"/>
  <c r="N18" i="14671"/>
  <c r="E20" i="14670"/>
  <c r="N18" i="14670"/>
  <c r="G23" i="14643"/>
  <c r="E13" i="14684"/>
  <c r="O25" i="14673"/>
  <c r="O23" i="14673"/>
  <c r="O24" i="14673"/>
  <c r="G13" i="14684"/>
  <c r="E17" i="14643"/>
  <c r="C44" i="14707"/>
  <c r="E24" i="14643"/>
  <c r="C45" i="14707" s="1"/>
  <c r="E31" i="14643"/>
  <c r="E20" i="14617"/>
  <c r="C42" i="14649"/>
  <c r="D23" i="14617"/>
  <c r="J20" i="14617"/>
  <c r="O18" i="14617"/>
  <c r="K18" i="14617"/>
  <c r="E40" i="14649"/>
  <c r="E71" i="14707" s="1"/>
  <c r="E24" i="14709"/>
  <c r="E25" i="14709" s="1"/>
  <c r="E26" i="14709" s="1"/>
  <c r="E28" i="14709" s="1"/>
  <c r="F33" i="4128"/>
  <c r="O53" i="14672" l="1"/>
  <c r="O41" i="14672"/>
  <c r="O36" i="14672"/>
  <c r="O33" i="14672"/>
  <c r="O46" i="14672"/>
  <c r="O44" i="14672"/>
  <c r="O42" i="14672"/>
  <c r="O45" i="14672"/>
  <c r="O54" i="14672"/>
  <c r="O38" i="14672"/>
  <c r="O50" i="14672"/>
  <c r="O37" i="14672"/>
  <c r="O39" i="14672"/>
  <c r="O49" i="14672"/>
  <c r="O51" i="14672"/>
  <c r="O43" i="14672"/>
  <c r="O52" i="14672"/>
  <c r="O40" i="14672"/>
  <c r="O35" i="14672"/>
  <c r="O47" i="14672"/>
  <c r="O48" i="14672"/>
  <c r="O34" i="14672"/>
  <c r="F17" i="14643"/>
  <c r="D44" i="14707"/>
  <c r="F31" i="14643"/>
  <c r="K23" i="14640"/>
  <c r="N20" i="14640"/>
  <c r="O45" i="14673"/>
  <c r="O37" i="14673"/>
  <c r="O35" i="14673"/>
  <c r="O43" i="14673"/>
  <c r="O33" i="14673"/>
  <c r="O41" i="14673"/>
  <c r="O39" i="14673"/>
  <c r="O53" i="14673"/>
  <c r="O51" i="14673"/>
  <c r="O47" i="14673"/>
  <c r="O42" i="14673"/>
  <c r="O40" i="14673"/>
  <c r="O46" i="14673"/>
  <c r="O36" i="14673"/>
  <c r="O44" i="14673"/>
  <c r="O38" i="14673"/>
  <c r="O54" i="14673"/>
  <c r="O34" i="14673"/>
  <c r="O49" i="14673"/>
  <c r="O50" i="14673"/>
  <c r="O52" i="14673"/>
  <c r="O48" i="14673"/>
  <c r="E23" i="14670"/>
  <c r="N20" i="14670"/>
  <c r="D12" i="4128"/>
  <c r="E23" i="14617"/>
  <c r="F23" i="14617"/>
  <c r="C39" i="14709"/>
  <c r="E23" i="14671"/>
  <c r="N20" i="14671"/>
  <c r="H31" i="14643"/>
  <c r="F44" i="14707"/>
  <c r="H17" i="14643"/>
  <c r="J23" i="14617"/>
  <c r="K20" i="14617"/>
  <c r="E42" i="14649"/>
  <c r="E44" i="14707"/>
  <c r="G31" i="14643"/>
  <c r="G17" i="14643"/>
  <c r="G24" i="14643"/>
  <c r="E45" i="14707" s="1"/>
  <c r="M23" i="14617"/>
  <c r="F42" i="14649"/>
  <c r="N20" i="14617"/>
  <c r="N23" i="14631"/>
  <c r="F24" i="14643"/>
  <c r="D45" i="14707" s="1"/>
  <c r="H20" i="14617"/>
  <c r="D42" i="14649"/>
  <c r="G23" i="14617"/>
  <c r="C57" i="14649"/>
  <c r="C38" i="14707"/>
  <c r="C73" i="14707"/>
  <c r="D75" i="14649"/>
  <c r="E75" i="14649" s="1"/>
  <c r="D34" i="4128"/>
  <c r="C51" i="14649" s="1"/>
  <c r="C82" i="14707" s="1"/>
  <c r="O52" i="14636"/>
  <c r="O34" i="14636"/>
  <c r="O39" i="14636"/>
  <c r="O47" i="14636"/>
  <c r="O53" i="14636"/>
  <c r="O49" i="14636"/>
  <c r="O42" i="14636"/>
  <c r="O50" i="14636"/>
  <c r="O37" i="14636"/>
  <c r="O38" i="14636"/>
  <c r="O54" i="14636"/>
  <c r="O51" i="14636"/>
  <c r="O44" i="14636"/>
  <c r="O41" i="14636"/>
  <c r="O45" i="14636"/>
  <c r="O33" i="14636"/>
  <c r="O46" i="14636"/>
  <c r="O35" i="14636"/>
  <c r="O43" i="14636"/>
  <c r="O40" i="14636"/>
  <c r="O36" i="14636"/>
  <c r="O48" i="14636"/>
  <c r="E12" i="4128" l="1"/>
  <c r="H23" i="14617"/>
  <c r="L23" i="14617"/>
  <c r="D39" i="14709"/>
  <c r="C60" i="14649"/>
  <c r="F73" i="14707"/>
  <c r="F38" i="14707"/>
  <c r="F12" i="4128"/>
  <c r="K23" i="14617"/>
  <c r="E39" i="14709"/>
  <c r="O23" i="14617"/>
  <c r="D38" i="14707"/>
  <c r="D73" i="14707"/>
  <c r="C58" i="14649"/>
  <c r="N23" i="14617"/>
  <c r="F39" i="14709"/>
  <c r="G12" i="4128"/>
  <c r="N23" i="14640"/>
  <c r="G34" i="4128"/>
  <c r="F51" i="14649" s="1"/>
  <c r="F82" i="14707" s="1"/>
  <c r="D78" i="14649"/>
  <c r="E78" i="14649" s="1"/>
  <c r="F34" i="4128"/>
  <c r="E51" i="14649" s="1"/>
  <c r="E82" i="14707" s="1"/>
  <c r="D77" i="14649"/>
  <c r="E77" i="14649" s="1"/>
  <c r="E73" i="14707"/>
  <c r="C59" i="14649"/>
  <c r="E38" i="14707"/>
  <c r="N23" i="14671"/>
  <c r="E34" i="4128"/>
  <c r="D51" i="14649" s="1"/>
  <c r="D82" i="14707" s="1"/>
  <c r="D76" i="14649"/>
  <c r="E76" i="14649" s="1"/>
  <c r="N23" i="14670"/>
  <c r="I23" i="14617"/>
  <c r="C12" i="14648" l="1" a="1"/>
  <c r="C12" i="14648"/>
  <c r="C13" i="14648" a="1"/>
  <c r="C13" i="14648"/>
  <c r="C14" i="14648"/>
  <c r="C19" i="14648" s="1"/>
  <c r="E91" i="14649" a="1"/>
  <c r="E91" i="14649"/>
  <c r="B26" i="8" l="1"/>
  <c r="C16" i="14625"/>
  <c r="C25" i="14625" l="1"/>
  <c r="C30" i="14625" s="1"/>
  <c r="B27" i="8"/>
  <c r="C31" i="14625" l="1"/>
  <c r="C33" i="14625" l="1"/>
  <c r="C35" i="14625" l="1"/>
  <c r="D85" i="14648" s="1"/>
  <c r="C7" i="14648"/>
  <c r="C9" i="14648" l="1"/>
  <c r="B63" i="14684"/>
  <c r="B78" i="14684" s="1"/>
  <c r="D12" i="14648"/>
  <c r="C8" i="14648"/>
  <c r="D87" i="14648"/>
  <c r="D14" i="14648" l="1"/>
  <c r="D10" i="14625"/>
  <c r="C25" i="8"/>
  <c r="D13" i="14648"/>
  <c r="D19" i="14648" l="1"/>
  <c r="D11" i="14625"/>
  <c r="D16" i="14625" l="1"/>
  <c r="C26" i="8"/>
  <c r="C27" i="8" s="1"/>
  <c r="D29" i="14625"/>
  <c r="D25" i="14625" l="1"/>
  <c r="D30" i="14625" s="1"/>
  <c r="D31" i="14625" l="1"/>
  <c r="D33" i="14625"/>
  <c r="D35" i="14625" s="1"/>
  <c r="D9" i="14648" l="1"/>
  <c r="E85" i="14648"/>
  <c r="C63" i="14684"/>
  <c r="C78" i="14684" s="1"/>
  <c r="D7" i="14648"/>
  <c r="E12" i="14648" l="1"/>
  <c r="D8" i="14648"/>
  <c r="E14" i="14648"/>
  <c r="E87" i="14648"/>
  <c r="D25" i="8" l="1"/>
  <c r="E10" i="14625"/>
  <c r="E13" i="14648"/>
  <c r="E19" i="14648" l="1"/>
  <c r="E11" i="14625"/>
  <c r="E16" i="14625" l="1"/>
  <c r="D26" i="8"/>
  <c r="E29" i="14625"/>
  <c r="D27" i="8" l="1"/>
  <c r="E25" i="14625"/>
  <c r="E30" i="14625" s="1"/>
  <c r="E31" i="14625" s="1"/>
  <c r="E33" i="14625" l="1"/>
  <c r="E35" i="14625" s="1"/>
  <c r="F85" i="14648" l="1"/>
  <c r="E9" i="14648"/>
  <c r="D63" i="14684"/>
  <c r="D78" i="14684" s="1"/>
  <c r="E7" i="14648"/>
  <c r="F14" i="14648" l="1"/>
  <c r="F12" i="14648"/>
  <c r="E8" i="14648"/>
  <c r="F87" i="14648"/>
  <c r="F10" i="14625" l="1"/>
  <c r="E25" i="8"/>
  <c r="F13" i="14648"/>
  <c r="F11" i="14625" l="1"/>
  <c r="F19" i="14648"/>
  <c r="E26" i="8" l="1"/>
  <c r="F16" i="14625"/>
  <c r="F29" i="14625"/>
  <c r="F25" i="14625" l="1"/>
  <c r="F30" i="14625" s="1"/>
  <c r="E27" i="8"/>
  <c r="F31" i="14625" l="1"/>
  <c r="F33" i="14625"/>
  <c r="F7" i="14648" l="1"/>
  <c r="F35" i="14625"/>
  <c r="F9" i="14648" l="1"/>
  <c r="G85" i="14648"/>
  <c r="E63" i="14684"/>
  <c r="E78" i="14684" s="1"/>
  <c r="G12" i="14648"/>
  <c r="F8" i="14648"/>
  <c r="G87" i="14648" l="1"/>
  <c r="G13" i="14648"/>
  <c r="G14" i="14648"/>
  <c r="G19" i="14648" l="1"/>
  <c r="F25" i="8"/>
  <c r="G10" i="14625"/>
  <c r="F26" i="8" l="1"/>
  <c r="G16" i="14625"/>
  <c r="G11" i="14625"/>
  <c r="F27" i="8" l="1"/>
  <c r="G25" i="14625"/>
  <c r="G30" i="14625" s="1"/>
  <c r="G29" i="14625"/>
  <c r="G31" i="14625" l="1"/>
  <c r="G33" i="14625" l="1"/>
  <c r="G35" i="14625" s="1"/>
  <c r="H85" i="14648" l="1"/>
  <c r="G9" i="14648"/>
  <c r="F63" i="14684"/>
  <c r="F78" i="14684" s="1"/>
  <c r="G7" i="14648"/>
  <c r="H12" i="14648" l="1"/>
  <c r="G8" i="14648"/>
  <c r="H14" i="14648"/>
  <c r="H87" i="14648"/>
  <c r="H10" i="14625" l="1"/>
  <c r="G25" i="8"/>
  <c r="H13" i="14648"/>
  <c r="H19" i="14648" s="1"/>
  <c r="H16" i="14625" l="1"/>
  <c r="H25" i="14625" s="1"/>
  <c r="H30" i="14625" s="1"/>
  <c r="G26" i="8"/>
  <c r="H11" i="14625"/>
  <c r="G27" i="8" l="1"/>
  <c r="H29" i="14625"/>
  <c r="H31" i="14625" l="1"/>
  <c r="H33" i="14625" l="1"/>
  <c r="H7" i="14648" s="1"/>
  <c r="H35" i="14625" l="1"/>
  <c r="I12" i="14648"/>
  <c r="H8" i="14648"/>
  <c r="I13" i="14648" s="1"/>
  <c r="H9" i="14648" l="1"/>
  <c r="I14" i="14648" s="1"/>
  <c r="I19" i="14648" s="1"/>
  <c r="I85" i="14648"/>
  <c r="I87" i="14648" s="1"/>
  <c r="G63" i="14684"/>
  <c r="G78" i="14684" s="1"/>
  <c r="I16" i="14625" l="1"/>
  <c r="I25" i="14625" s="1"/>
  <c r="I30" i="14625" s="1"/>
  <c r="H26" i="8"/>
  <c r="H25" i="8"/>
  <c r="I10" i="14625"/>
  <c r="I11" i="14625" s="1"/>
  <c r="I29" i="14625" s="1"/>
  <c r="I31" i="14625" l="1"/>
  <c r="H27" i="8"/>
  <c r="I33" i="14625" l="1"/>
  <c r="I7" i="14648" s="1"/>
  <c r="I35" i="14625" l="1"/>
  <c r="J12" i="14648"/>
  <c r="I8" i="14648"/>
  <c r="J13" i="14648" s="1"/>
  <c r="H63" i="14684" l="1"/>
  <c r="H78" i="14684" s="1"/>
  <c r="J85" i="14648"/>
  <c r="J87" i="14648" s="1"/>
  <c r="I9" i="14648"/>
  <c r="J14" i="14648" s="1"/>
  <c r="J19" i="14648" s="1"/>
  <c r="I25" i="8" l="1"/>
  <c r="J10" i="14625"/>
  <c r="J11" i="14625" s="1"/>
  <c r="J29" i="14625" s="1"/>
  <c r="I26" i="8"/>
  <c r="J16" i="14625"/>
  <c r="J25" i="14625" s="1"/>
  <c r="J30" i="14625" s="1"/>
  <c r="I27" i="8" l="1"/>
  <c r="J31" i="14625"/>
  <c r="J33" i="14625" l="1"/>
  <c r="J7" i="14648" s="1"/>
  <c r="J35" i="14625" l="1"/>
  <c r="J8" i="14648"/>
  <c r="K13" i="14648" s="1"/>
  <c r="K12" i="14648"/>
  <c r="J9" i="14648" l="1"/>
  <c r="K14" i="14648" s="1"/>
  <c r="K19" i="14648" s="1"/>
  <c r="K85" i="14648"/>
  <c r="K87" i="14648" s="1"/>
  <c r="I63" i="14684"/>
  <c r="I78" i="14684" s="1"/>
  <c r="J25" i="8" l="1"/>
  <c r="K10" i="14625"/>
  <c r="K11" i="14625" s="1"/>
  <c r="K29" i="14625" s="1"/>
  <c r="K16" i="14625"/>
  <c r="K25" i="14625" s="1"/>
  <c r="K30" i="14625" s="1"/>
  <c r="J26" i="8"/>
  <c r="K31" i="14625" l="1"/>
  <c r="K33" i="14625" s="1"/>
  <c r="J27" i="8"/>
  <c r="K7" i="14648" l="1"/>
  <c r="K35" i="14625"/>
  <c r="L12" i="14648" l="1"/>
  <c r="K8" i="14648"/>
  <c r="L13" i="14648" s="1"/>
  <c r="L85" i="14648"/>
  <c r="L87" i="14648" s="1"/>
  <c r="J63" i="14684"/>
  <c r="J78" i="14684" s="1"/>
  <c r="K9" i="14648"/>
  <c r="L14" i="14648" s="1"/>
  <c r="L19" i="14648" l="1"/>
  <c r="L10" i="14625"/>
  <c r="L11" i="14625" s="1"/>
  <c r="L29" i="14625" s="1"/>
  <c r="K25" i="8"/>
  <c r="K26" i="8"/>
  <c r="K27" i="8" s="1"/>
  <c r="L16" i="14625"/>
  <c r="L25" i="14625" s="1"/>
  <c r="L30" i="14625" s="1"/>
  <c r="L31" i="14625" l="1"/>
  <c r="L33" i="14625" s="1"/>
  <c r="L7" i="14648" l="1"/>
  <c r="L35" i="14625"/>
  <c r="M12" i="14648" l="1"/>
  <c r="M19" i="14648" s="1"/>
  <c r="L8" i="14648"/>
  <c r="M13" i="14648" s="1"/>
  <c r="L9" i="14648"/>
  <c r="M14" i="14648" s="1"/>
  <c r="M85" i="14648"/>
  <c r="M87" i="14648" s="1"/>
  <c r="K63" i="14684"/>
  <c r="K78" i="14684" s="1"/>
  <c r="L25" i="8" l="1"/>
  <c r="M10" i="14625"/>
  <c r="M11" i="14625" s="1"/>
  <c r="M29" i="14625" s="1"/>
  <c r="L26" i="8"/>
  <c r="M16" i="14625"/>
  <c r="M25" i="14625" s="1"/>
  <c r="M30" i="14625" s="1"/>
  <c r="M31" i="14625" s="1"/>
  <c r="M33" i="14625" s="1"/>
  <c r="M7" i="14648" s="1"/>
  <c r="L27" i="8"/>
  <c r="M35" i="14625" l="1"/>
  <c r="M9" i="14648" s="1"/>
  <c r="N14" i="14648" s="1"/>
  <c r="O14" i="14648" s="1"/>
  <c r="M8" i="14648"/>
  <c r="N13" i="14648" s="1"/>
  <c r="O13" i="14648" s="1"/>
  <c r="N12" i="14648"/>
  <c r="L63" i="14684" l="1"/>
  <c r="L78" i="14684" s="1"/>
  <c r="N85" i="14648"/>
  <c r="N19" i="14648"/>
  <c r="O12" i="14648"/>
  <c r="O19" i="14648" s="1"/>
  <c r="O85" i="14648" l="1"/>
  <c r="O87" i="14648" s="1"/>
  <c r="N87" i="14648"/>
  <c r="M26" i="8"/>
  <c r="N26" i="8" s="1"/>
  <c r="N16" i="14625"/>
  <c r="M25" i="8" l="1"/>
  <c r="N10" i="14625"/>
  <c r="N25" i="14625"/>
  <c r="N30" i="14625" s="1"/>
  <c r="O30" i="14625" s="1"/>
  <c r="O16" i="14625"/>
  <c r="O25" i="14625" l="1"/>
  <c r="C15" i="14684"/>
  <c r="C22" i="14684" s="1"/>
  <c r="M27" i="8"/>
  <c r="N25" i="8"/>
  <c r="B25" i="14617" s="1" a="1"/>
  <c r="N11" i="14625"/>
  <c r="O10" i="14625"/>
  <c r="C9" i="14684" s="1"/>
  <c r="C10" i="14684" s="1"/>
  <c r="C25" i="14684" s="1"/>
  <c r="B29" i="8" l="1" a="1"/>
  <c r="N27" i="8"/>
  <c r="B27" i="14617" s="1"/>
  <c r="B25" i="14617"/>
  <c r="B26" i="14617"/>
  <c r="D43" i="14711" s="1"/>
  <c r="J43" i="14711" s="1"/>
  <c r="N29" i="14625"/>
  <c r="O11" i="14625"/>
  <c r="M29" i="8" l="1"/>
  <c r="I29" i="8"/>
  <c r="E29" i="8"/>
  <c r="C29" i="8"/>
  <c r="B29" i="8"/>
  <c r="G29" i="8"/>
  <c r="F29" i="8"/>
  <c r="D29" i="8"/>
  <c r="L29" i="8"/>
  <c r="K29" i="8"/>
  <c r="J29" i="8"/>
  <c r="H29" i="8"/>
  <c r="C36" i="4128"/>
  <c r="D12" i="14643"/>
  <c r="C8" i="14696"/>
  <c r="B41" i="14649"/>
  <c r="B72" i="14707" s="1"/>
  <c r="F25" i="14617"/>
  <c r="C27" i="14617"/>
  <c r="C25" i="14617"/>
  <c r="C26" i="14617"/>
  <c r="O29" i="14625"/>
  <c r="O31" i="14625" s="1"/>
  <c r="N31" i="14625"/>
  <c r="N33" i="14625" s="1"/>
  <c r="B31" i="8" l="1"/>
  <c r="C31" i="8" s="1"/>
  <c r="D31" i="8" s="1"/>
  <c r="E31" i="8" s="1"/>
  <c r="F31" i="8" s="1"/>
  <c r="G31" i="8" s="1"/>
  <c r="H31" i="8" s="1"/>
  <c r="I31" i="8" s="1"/>
  <c r="J31" i="8" s="1"/>
  <c r="K31" i="8" s="1"/>
  <c r="L31" i="8" s="1"/>
  <c r="M31" i="8" s="1"/>
  <c r="N29" i="8"/>
  <c r="B29" i="14617" s="1"/>
  <c r="D18" i="14643"/>
  <c r="D27" i="14643"/>
  <c r="F39" i="14667"/>
  <c r="N7" i="14648"/>
  <c r="N8" i="14648" s="1"/>
  <c r="O8" i="14648" s="1"/>
  <c r="F28" i="14706"/>
  <c r="C33" i="14684"/>
  <c r="N35" i="14625"/>
  <c r="B33" i="14633"/>
  <c r="B22" i="14648" s="1"/>
  <c r="O7" i="14648"/>
  <c r="C39" i="14625" l="1"/>
  <c r="N9" i="14648"/>
  <c r="O9" i="14648" s="1"/>
  <c r="C27" i="4128" s="1"/>
  <c r="F6" i="14706"/>
  <c r="F5" i="14706" s="1"/>
  <c r="C40" i="14625"/>
  <c r="B35" i="14633"/>
  <c r="M63" i="14684"/>
  <c r="M78" i="14684" s="1"/>
  <c r="C41" i="14625"/>
  <c r="C29" i="14617"/>
  <c r="C74" i="14649"/>
  <c r="B7" i="14659"/>
  <c r="B9" i="14659"/>
  <c r="D28" i="14643"/>
  <c r="B48" i="14707" s="1"/>
  <c r="D32" i="14643"/>
  <c r="D35" i="14643" s="1"/>
  <c r="B29" i="14709"/>
  <c r="B47" i="14707"/>
  <c r="F22" i="14667"/>
  <c r="C27" i="14684"/>
  <c r="B23" i="14648"/>
  <c r="C28" i="14648" s="1"/>
  <c r="C83" i="14649" l="1"/>
  <c r="D39" i="14625"/>
  <c r="C35" i="14684" s="1"/>
  <c r="D28" i="14690"/>
  <c r="C34" i="14684"/>
  <c r="I20" i="14686" s="1"/>
  <c r="D83" i="14649"/>
  <c r="E83" i="14649" s="1"/>
  <c r="C37" i="4128"/>
  <c r="R62" i="4128" s="1"/>
  <c r="B44" i="14649"/>
  <c r="D41" i="14625"/>
  <c r="C30" i="14684" s="1"/>
  <c r="C29" i="14684"/>
  <c r="B24" i="14648"/>
  <c r="C29" i="14648" s="1"/>
  <c r="C9" i="14659"/>
  <c r="B11" i="14659"/>
  <c r="F13" i="14667"/>
  <c r="F24" i="14706"/>
  <c r="G5" i="14706" s="1"/>
  <c r="B75" i="14707" l="1"/>
  <c r="B30" i="14709"/>
  <c r="E56" i="14649"/>
  <c r="C15" i="4128"/>
  <c r="F24" i="14667"/>
  <c r="C11" i="14659"/>
  <c r="B12" i="14659"/>
  <c r="C13" i="14659"/>
  <c r="C12" i="14659"/>
  <c r="F11" i="14659"/>
  <c r="G16" i="14706"/>
  <c r="G24" i="14706" s="1"/>
  <c r="G9" i="14706"/>
  <c r="G7" i="14706"/>
  <c r="G8" i="14706"/>
  <c r="G14" i="14706"/>
  <c r="G13" i="14706"/>
  <c r="G21" i="14706"/>
  <c r="G19" i="14706"/>
  <c r="G22" i="14706"/>
  <c r="G12" i="14706"/>
  <c r="G10" i="14706"/>
  <c r="G20" i="14706"/>
  <c r="G11" i="14706"/>
  <c r="G17" i="14706"/>
  <c r="G6" i="14706"/>
  <c r="G20" i="14667" l="1"/>
  <c r="G17" i="14667"/>
  <c r="G18" i="14667"/>
  <c r="G5" i="14667"/>
  <c r="G6" i="14667"/>
  <c r="G7" i="14667"/>
  <c r="G9" i="14667"/>
  <c r="G15" i="14667"/>
  <c r="G8" i="14667"/>
  <c r="G19" i="14667"/>
  <c r="G11" i="14667"/>
  <c r="D23" i="14711"/>
  <c r="G14" i="14667"/>
  <c r="C14" i="4128"/>
  <c r="D25" i="14711"/>
  <c r="G21" i="14667"/>
  <c r="C6" i="4128"/>
  <c r="B50" i="14649" s="1"/>
  <c r="G22" i="14667"/>
  <c r="G16" i="14667"/>
  <c r="G13" i="14667"/>
  <c r="D21" i="14711"/>
  <c r="B13" i="14659"/>
  <c r="F12" i="14659"/>
  <c r="B81" i="14707" l="1"/>
  <c r="B38" i="14709"/>
  <c r="G24" i="14667"/>
  <c r="B15" i="14659"/>
  <c r="B25" i="14659"/>
  <c r="F13" i="14659"/>
  <c r="F30" i="14667" l="1"/>
  <c r="C15" i="14659"/>
  <c r="F42" i="14667"/>
  <c r="F37" i="14667" s="1"/>
  <c r="B24" i="14659"/>
  <c r="B31" i="14617"/>
  <c r="D19" i="14659"/>
  <c r="F43" i="14706"/>
  <c r="F39" i="14706" s="1"/>
  <c r="F15" i="14659"/>
  <c r="B23" i="14659"/>
  <c r="F31" i="14706"/>
  <c r="F26" i="14706" s="1"/>
  <c r="B31" i="14659"/>
  <c r="F25" i="14659"/>
  <c r="C25" i="14659"/>
  <c r="B32" i="14659"/>
  <c r="D41" i="14711" l="1"/>
  <c r="J41" i="14711" s="1"/>
  <c r="C31" i="4128"/>
  <c r="C19" i="4128"/>
  <c r="D45" i="14711"/>
  <c r="J45" i="14711" s="1"/>
  <c r="F45" i="14706"/>
  <c r="G51" i="14706"/>
  <c r="F45" i="14667"/>
  <c r="C18" i="4128"/>
  <c r="D6" i="14711"/>
  <c r="F26" i="14667"/>
  <c r="C7" i="14696"/>
  <c r="C24" i="14659"/>
  <c r="C8" i="4128"/>
  <c r="C31" i="14617"/>
  <c r="B33" i="14617"/>
  <c r="F31" i="14617"/>
  <c r="G18" i="14659"/>
  <c r="I19" i="14659"/>
  <c r="E19" i="14659"/>
  <c r="D20" i="14659"/>
  <c r="L23" i="14633"/>
  <c r="M20" i="14645"/>
  <c r="F23" i="14659"/>
  <c r="C23" i="14659"/>
  <c r="N8" i="14633"/>
  <c r="O8" i="14633" s="1"/>
  <c r="D8" i="14684" s="1"/>
  <c r="I23" i="14633"/>
  <c r="H41" i="14706"/>
  <c r="D22" i="14711"/>
  <c r="D28" i="14711" s="1"/>
  <c r="D30" i="14711" s="1"/>
  <c r="F31" i="14659"/>
  <c r="H28" i="14667"/>
  <c r="C31" i="14659"/>
  <c r="C41" i="4128"/>
  <c r="M73" i="14645"/>
  <c r="M76" i="14645" s="1"/>
  <c r="C32" i="14659"/>
  <c r="H73" i="14645"/>
  <c r="F32" i="14659"/>
  <c r="F47" i="14706"/>
  <c r="G39" i="14706" s="1"/>
  <c r="F46" i="14706"/>
  <c r="C43" i="4128"/>
  <c r="C25" i="4128" l="1"/>
  <c r="G37" i="14706"/>
  <c r="G32" i="14706"/>
  <c r="G41" i="14706"/>
  <c r="G29" i="14706"/>
  <c r="F54" i="14706"/>
  <c r="G36" i="14706"/>
  <c r="G40" i="14706"/>
  <c r="G26" i="14706"/>
  <c r="G42" i="14706"/>
  <c r="G34" i="14706"/>
  <c r="G35" i="14706"/>
  <c r="G30" i="14706"/>
  <c r="G27" i="14706"/>
  <c r="G28" i="14706"/>
  <c r="G43" i="14706"/>
  <c r="G31" i="14706"/>
  <c r="G45" i="14706"/>
  <c r="C20" i="4128"/>
  <c r="C42" i="4128"/>
  <c r="F49" i="14706"/>
  <c r="G49" i="14706" s="1"/>
  <c r="F46" i="14667"/>
  <c r="G50" i="14667"/>
  <c r="D7" i="14711"/>
  <c r="F56" i="14649"/>
  <c r="C21" i="4128"/>
  <c r="C4" i="4128"/>
  <c r="B49" i="14649" s="1"/>
  <c r="F44" i="14667"/>
  <c r="C14" i="14696"/>
  <c r="B41" i="14709"/>
  <c r="C33" i="14617"/>
  <c r="D9" i="14711"/>
  <c r="D10" i="14711"/>
  <c r="B43" i="14649"/>
  <c r="I18" i="14686"/>
  <c r="D8" i="14711"/>
  <c r="C26" i="4128"/>
  <c r="L18" i="14659"/>
  <c r="F23" i="14641"/>
  <c r="N23" i="14633"/>
  <c r="O23" i="14633" s="1"/>
  <c r="D20" i="14684" s="1"/>
  <c r="E20" i="14659"/>
  <c r="I20" i="14659"/>
  <c r="M22" i="14645"/>
  <c r="N22" i="14645" s="1"/>
  <c r="N20" i="14645"/>
  <c r="N73" i="14645"/>
  <c r="H76" i="14645"/>
  <c r="N76" i="14645" s="1"/>
  <c r="H20" i="14667"/>
  <c r="D7" i="14684"/>
  <c r="G46" i="14706"/>
  <c r="H8" i="14706"/>
  <c r="D42" i="14711" l="1"/>
  <c r="G26" i="14667"/>
  <c r="G47" i="14706"/>
  <c r="G30" i="14667"/>
  <c r="G35" i="14667"/>
  <c r="G33" i="14667"/>
  <c r="G41" i="14667"/>
  <c r="G28" i="14667"/>
  <c r="G42" i="14667"/>
  <c r="G32" i="14667"/>
  <c r="G40" i="14667"/>
  <c r="G34" i="14667"/>
  <c r="F53" i="14667"/>
  <c r="G45" i="14667"/>
  <c r="G39" i="14667"/>
  <c r="G38" i="14667"/>
  <c r="G27" i="14667"/>
  <c r="G29" i="14667"/>
  <c r="G43" i="14667"/>
  <c r="G37" i="14667"/>
  <c r="B80" i="14707"/>
  <c r="B37" i="14709"/>
  <c r="C10" i="4128"/>
  <c r="C22" i="4128"/>
  <c r="F48" i="14667"/>
  <c r="G44" i="14667"/>
  <c r="L11" i="14696"/>
  <c r="M11" i="14696" s="1"/>
  <c r="B42" i="14709"/>
  <c r="B43" i="14709" s="1"/>
  <c r="C16" i="14696"/>
  <c r="D56" i="14649"/>
  <c r="B39" i="14707"/>
  <c r="B74" i="14707"/>
  <c r="D47" i="14711" l="1"/>
  <c r="D49" i="14711" s="1"/>
  <c r="J42" i="14711"/>
  <c r="C92" i="14649"/>
  <c r="D84" i="14690"/>
  <c r="G48" i="14667"/>
  <c r="D92" i="14649"/>
  <c r="E92" i="14649" s="1"/>
  <c r="G46" i="14667"/>
  <c r="C90" i="14648" l="1"/>
  <c r="C92" i="14648" s="1"/>
  <c r="C27" i="14648"/>
  <c r="C34" i="14648" s="1"/>
  <c r="E25" i="14617" a="1"/>
  <c r="E8" i="14684"/>
  <c r="F8" i="14684"/>
  <c r="G8" i="14684"/>
  <c r="C10" i="14633" l="1"/>
  <c r="C11" i="14633" s="1"/>
  <c r="C29" i="14633" s="1"/>
  <c r="C31" i="14633" s="1"/>
  <c r="B25" i="14631"/>
  <c r="C16" i="14633"/>
  <c r="C25" i="14633" s="1"/>
  <c r="C30" i="14633" s="1"/>
  <c r="B26" i="14631"/>
  <c r="B27" i="14631" l="1"/>
  <c r="B29" i="14631" s="1"/>
  <c r="B31" i="14631" s="1"/>
  <c r="C33" i="14633"/>
  <c r="C22" i="14648" l="1"/>
  <c r="C35" i="14633"/>
  <c r="C23" i="14648" l="1"/>
  <c r="D28" i="14648" s="1"/>
  <c r="D27" i="14648"/>
  <c r="D34" i="14648" s="1"/>
  <c r="B64" i="14684"/>
  <c r="N78" i="14684" s="1"/>
  <c r="C24" i="14648"/>
  <c r="D29" i="14648" s="1"/>
  <c r="D90" i="14648"/>
  <c r="D92" i="14648" s="1"/>
  <c r="D16" i="14633" l="1"/>
  <c r="D25" i="14633" s="1"/>
  <c r="D30" i="14633" s="1"/>
  <c r="C26" i="14631"/>
  <c r="D10" i="14633"/>
  <c r="D11" i="14633" s="1"/>
  <c r="D29" i="14633" s="1"/>
  <c r="C25" i="14631"/>
  <c r="C27" i="14631" s="1"/>
  <c r="C29" i="14631" s="1"/>
  <c r="C31" i="14631" s="1"/>
  <c r="D31" i="14633" l="1"/>
  <c r="D33" i="14633" s="1"/>
  <c r="D22" i="14648" l="1"/>
  <c r="D35" i="14633"/>
  <c r="E27" i="14648" l="1"/>
  <c r="E34" i="14648" s="1"/>
  <c r="D23" i="14648"/>
  <c r="E28" i="14648" s="1"/>
  <c r="E90" i="14648"/>
  <c r="E92" i="14648" s="1"/>
  <c r="D24" i="14648"/>
  <c r="E29" i="14648" s="1"/>
  <c r="C64" i="14684"/>
  <c r="O78" i="14684" s="1"/>
  <c r="D26" i="14631" l="1"/>
  <c r="E16" i="14633"/>
  <c r="E25" i="14633" s="1"/>
  <c r="E30" i="14633" s="1"/>
  <c r="D25" i="14631"/>
  <c r="E10" i="14633"/>
  <c r="E11" i="14633" s="1"/>
  <c r="E29" i="14633" s="1"/>
  <c r="D27" i="14631" l="1"/>
  <c r="D29" i="14631" s="1"/>
  <c r="D31" i="14631" s="1"/>
  <c r="E31" i="14633"/>
  <c r="E33" i="14633" l="1"/>
  <c r="E22" i="14648" l="1"/>
  <c r="E35" i="14633"/>
  <c r="F27" i="14648" l="1"/>
  <c r="F34" i="14648" s="1"/>
  <c r="E23" i="14648"/>
  <c r="F28" i="14648" s="1"/>
  <c r="F90" i="14648"/>
  <c r="F92" i="14648" s="1"/>
  <c r="E24" i="14648"/>
  <c r="F29" i="14648" s="1"/>
  <c r="D64" i="14684"/>
  <c r="P78" i="14684" s="1"/>
  <c r="E26" i="14631" l="1"/>
  <c r="F16" i="14633"/>
  <c r="F25" i="14633" s="1"/>
  <c r="F30" i="14633" s="1"/>
  <c r="F10" i="14633"/>
  <c r="F11" i="14633" s="1"/>
  <c r="F29" i="14633" s="1"/>
  <c r="E25" i="14631"/>
  <c r="E27" i="14631" s="1"/>
  <c r="E29" i="14631" s="1"/>
  <c r="E31" i="14631" s="1"/>
  <c r="F31" i="14633" l="1"/>
  <c r="F33" i="14633"/>
  <c r="F22" i="14648" l="1"/>
  <c r="F35" i="14633"/>
  <c r="G27" i="14648" l="1"/>
  <c r="F23" i="14648"/>
  <c r="G28" i="14648" s="1"/>
  <c r="G90" i="14648"/>
  <c r="G92" i="14648" s="1"/>
  <c r="E64" i="14684"/>
  <c r="Q78" i="14684" s="1"/>
  <c r="F24" i="14648"/>
  <c r="G29" i="14648" s="1"/>
  <c r="G34" i="14648" l="1"/>
  <c r="F25" i="14631"/>
  <c r="G10" i="14633"/>
  <c r="G11" i="14633" s="1"/>
  <c r="G29" i="14633" s="1"/>
  <c r="F26" i="14631" l="1"/>
  <c r="F27" i="14631" s="1"/>
  <c r="F29" i="14631" s="1"/>
  <c r="F31" i="14631" s="1"/>
  <c r="G16" i="14633"/>
  <c r="G25" i="14633" s="1"/>
  <c r="G30" i="14633" s="1"/>
  <c r="G31" i="14633" s="1"/>
  <c r="G33" i="14633" l="1"/>
  <c r="G22" i="14648" l="1"/>
  <c r="G35" i="14633"/>
  <c r="H27" i="14648" l="1"/>
  <c r="H34" i="14648" s="1"/>
  <c r="G23" i="14648"/>
  <c r="H28" i="14648" s="1"/>
  <c r="H90" i="14648"/>
  <c r="H92" i="14648" s="1"/>
  <c r="F64" i="14684"/>
  <c r="R78" i="14684" s="1"/>
  <c r="G24" i="14648"/>
  <c r="H29" i="14648" s="1"/>
  <c r="G26" i="14631" l="1"/>
  <c r="H16" i="14633"/>
  <c r="H25" i="14633" s="1"/>
  <c r="H30" i="14633" s="1"/>
  <c r="H10" i="14633"/>
  <c r="H11" i="14633" s="1"/>
  <c r="H29" i="14633" s="1"/>
  <c r="G25" i="14631"/>
  <c r="H31" i="14633" l="1"/>
  <c r="H33" i="14633" s="1"/>
  <c r="G27" i="14631"/>
  <c r="G29" i="14631" s="1"/>
  <c r="G31" i="14631" s="1"/>
  <c r="H22" i="14648" l="1"/>
  <c r="H35" i="14633"/>
  <c r="I27" i="14648" l="1"/>
  <c r="I34" i="14648" s="1"/>
  <c r="H23" i="14648"/>
  <c r="I28" i="14648" s="1"/>
  <c r="I90" i="14648"/>
  <c r="I92" i="14648" s="1"/>
  <c r="H24" i="14648"/>
  <c r="I29" i="14648" s="1"/>
  <c r="G64" i="14684"/>
  <c r="S78" i="14684" s="1"/>
  <c r="I16" i="14633" l="1"/>
  <c r="I25" i="14633" s="1"/>
  <c r="I30" i="14633" s="1"/>
  <c r="H26" i="14631"/>
  <c r="H25" i="14631"/>
  <c r="I10" i="14633"/>
  <c r="I11" i="14633" s="1"/>
  <c r="I29" i="14633" s="1"/>
  <c r="I31" i="14633" s="1"/>
  <c r="I33" i="14633" l="1"/>
  <c r="H27" i="14631"/>
  <c r="H29" i="14631" s="1"/>
  <c r="H31" i="14631" s="1"/>
  <c r="I22" i="14648" l="1"/>
  <c r="I35" i="14633"/>
  <c r="I23" i="14648" l="1"/>
  <c r="J28" i="14648" s="1"/>
  <c r="J27" i="14648"/>
  <c r="J34" i="14648" s="1"/>
  <c r="I24" i="14648"/>
  <c r="J29" i="14648" s="1"/>
  <c r="H64" i="14684"/>
  <c r="T78" i="14684" s="1"/>
  <c r="J90" i="14648"/>
  <c r="J92" i="14648" s="1"/>
  <c r="J16" i="14633" l="1"/>
  <c r="J25" i="14633" s="1"/>
  <c r="J30" i="14633" s="1"/>
  <c r="I26" i="14631"/>
  <c r="J10" i="14633"/>
  <c r="J11" i="14633" s="1"/>
  <c r="J29" i="14633" s="1"/>
  <c r="I25" i="14631"/>
  <c r="I27" i="14631" l="1"/>
  <c r="I29" i="14631" s="1"/>
  <c r="I31" i="14631" s="1"/>
  <c r="J31" i="14633"/>
  <c r="J33" i="14633" s="1"/>
  <c r="J22" i="14648" l="1"/>
  <c r="J35" i="14633"/>
  <c r="K27" i="14648" l="1"/>
  <c r="J23" i="14648"/>
  <c r="K28" i="14648" s="1"/>
  <c r="I64" i="14684"/>
  <c r="U78" i="14684" s="1"/>
  <c r="J24" i="14648"/>
  <c r="K29" i="14648" s="1"/>
  <c r="K90" i="14648"/>
  <c r="K34" i="14648" l="1"/>
  <c r="K92" i="14648"/>
  <c r="J26" i="14631" l="1"/>
  <c r="K16" i="14633"/>
  <c r="K10" i="14633"/>
  <c r="J25" i="14631"/>
  <c r="J27" i="14631" l="1"/>
  <c r="K25" i="14633"/>
  <c r="K30" i="14633" s="1"/>
  <c r="K11" i="14633"/>
  <c r="J29" i="14631" l="1"/>
  <c r="K29" i="14633"/>
  <c r="J31" i="14631" l="1"/>
  <c r="K31" i="14633"/>
  <c r="K33" i="14633" s="1"/>
  <c r="K35" i="14633" l="1"/>
  <c r="K22" i="14648"/>
  <c r="K24" i="14648" l="1"/>
  <c r="L29" i="14648" s="1"/>
  <c r="L90" i="14648"/>
  <c r="J64" i="14684"/>
  <c r="V78" i="14684" s="1"/>
  <c r="L27" i="14648"/>
  <c r="K23" i="14648"/>
  <c r="L28" i="14648" s="1"/>
  <c r="L92" i="14648" l="1"/>
  <c r="L34" i="14648"/>
  <c r="K25" i="14631" l="1"/>
  <c r="L10" i="14633"/>
  <c r="K26" i="14631"/>
  <c r="L16" i="14633"/>
  <c r="L11" i="14633" l="1"/>
  <c r="K27" i="14631"/>
  <c r="L25" i="14633"/>
  <c r="L30" i="14633" s="1"/>
  <c r="L29" i="14633" l="1"/>
  <c r="K29" i="14631"/>
  <c r="L31" i="14633" l="1"/>
  <c r="L33" i="14633" s="1"/>
  <c r="K31" i="14631"/>
  <c r="L35" i="14633" l="1"/>
  <c r="L22" i="14648"/>
  <c r="L24" i="14648" l="1"/>
  <c r="M29" i="14648" s="1"/>
  <c r="K64" i="14684"/>
  <c r="W78" i="14684" s="1"/>
  <c r="M90" i="14648"/>
  <c r="M27" i="14648"/>
  <c r="L23" i="14648"/>
  <c r="M28" i="14648" s="1"/>
  <c r="M92" i="14648" l="1"/>
  <c r="M34" i="14648"/>
  <c r="M10" i="14633" l="1"/>
  <c r="L25" i="14631"/>
  <c r="M16" i="14633"/>
  <c r="L26" i="14631"/>
  <c r="M11" i="14633" l="1"/>
  <c r="L27" i="14631"/>
  <c r="M25" i="14633"/>
  <c r="M30" i="14633" s="1"/>
  <c r="M29" i="14633" l="1"/>
  <c r="L29" i="14631"/>
  <c r="M31" i="14633" l="1"/>
  <c r="M33" i="14633" s="1"/>
  <c r="L31" i="14631"/>
  <c r="M35" i="14633" l="1"/>
  <c r="M22" i="14648"/>
  <c r="N90" i="14648" l="1"/>
  <c r="L64" i="14684"/>
  <c r="X78" i="14684" s="1"/>
  <c r="M24" i="14648"/>
  <c r="N29" i="14648" s="1"/>
  <c r="O29" i="14648" s="1"/>
  <c r="N27" i="14648"/>
  <c r="M23" i="14648"/>
  <c r="N28" i="14648" s="1"/>
  <c r="O28" i="14648" s="1"/>
  <c r="O90" i="14648" l="1"/>
  <c r="O92" i="14648" s="1"/>
  <c r="N92" i="14648"/>
  <c r="O27" i="14648"/>
  <c r="O34" i="14648" s="1"/>
  <c r="N34" i="14648"/>
  <c r="M25" i="14631" l="1"/>
  <c r="N10" i="14633"/>
  <c r="N16" i="14633"/>
  <c r="M26" i="14631"/>
  <c r="N26" i="14631" s="1"/>
  <c r="N25" i="14631" l="1"/>
  <c r="D25" i="14617" s="1" a="1"/>
  <c r="M27" i="14631"/>
  <c r="O10" i="14633"/>
  <c r="D9" i="14684" s="1"/>
  <c r="D10" i="14684" s="1"/>
  <c r="N11" i="14633"/>
  <c r="O16" i="14633"/>
  <c r="N25" i="14633"/>
  <c r="N30" i="14633" s="1"/>
  <c r="O30" i="14633" s="1"/>
  <c r="N27" i="14631" l="1"/>
  <c r="M29" i="14631"/>
  <c r="O11" i="14633"/>
  <c r="N29" i="14633"/>
  <c r="O25" i="14633"/>
  <c r="D15" i="14684"/>
  <c r="D22" i="14684" s="1"/>
  <c r="D25" i="14684" s="1"/>
  <c r="D26" i="14617"/>
  <c r="D25" i="14617"/>
  <c r="M31" i="14631" l="1"/>
  <c r="N29" i="14631"/>
  <c r="D29" i="14617" s="1"/>
  <c r="O29" i="14633"/>
  <c r="O31" i="14633" s="1"/>
  <c r="N31" i="14633"/>
  <c r="F26" i="14617"/>
  <c r="E43" i="14711"/>
  <c r="E25" i="14617"/>
  <c r="E26" i="14617"/>
  <c r="I25" i="14617"/>
  <c r="D27" i="14617"/>
  <c r="E27" i="14617" s="1"/>
  <c r="E29" i="14617" l="1"/>
  <c r="D7" i="14659"/>
  <c r="D9" i="14659"/>
  <c r="D11" i="14659"/>
  <c r="C75" i="14649"/>
  <c r="F29" i="14617"/>
  <c r="N33" i="14633"/>
  <c r="N35" i="14633" s="1"/>
  <c r="D36" i="4128"/>
  <c r="D8" i="14696"/>
  <c r="E12" i="14643"/>
  <c r="C41" i="14649"/>
  <c r="C72" i="14707" s="1"/>
  <c r="F27" i="14617"/>
  <c r="F9" i="14659" l="1"/>
  <c r="E9" i="14659"/>
  <c r="E12" i="14659"/>
  <c r="E11" i="14659"/>
  <c r="D12" i="14659"/>
  <c r="D13" i="14659" s="1"/>
  <c r="I13" i="14659" s="1"/>
  <c r="E13" i="14659"/>
  <c r="I11" i="14659"/>
  <c r="H39" i="14667"/>
  <c r="B33" i="14641"/>
  <c r="B37" i="14648" s="1"/>
  <c r="N22" i="14648"/>
  <c r="H28" i="14706"/>
  <c r="D33" i="14684"/>
  <c r="C39" i="14633"/>
  <c r="N24" i="14648"/>
  <c r="O24" i="14648" s="1"/>
  <c r="D27" i="14684"/>
  <c r="C40" i="14633"/>
  <c r="H22" i="14667"/>
  <c r="H6" i="14706"/>
  <c r="M64" i="14684"/>
  <c r="Y78" i="14684" s="1"/>
  <c r="B35" i="14641"/>
  <c r="C41" i="14633"/>
  <c r="E18" i="14643"/>
  <c r="E27" i="14643"/>
  <c r="D25" i="14659" l="1"/>
  <c r="D15" i="14659"/>
  <c r="I12" i="14659"/>
  <c r="B38" i="14648"/>
  <c r="C43" i="14648" s="1"/>
  <c r="C42" i="14648"/>
  <c r="O22" i="14648"/>
  <c r="D27" i="4128" s="1"/>
  <c r="N23" i="14648"/>
  <c r="O23" i="14648" s="1"/>
  <c r="D84" i="14649"/>
  <c r="E84" i="14649" s="1"/>
  <c r="D39" i="14633"/>
  <c r="D35" i="14684" s="1"/>
  <c r="C84" i="14649"/>
  <c r="D34" i="14684"/>
  <c r="J20" i="14686" s="1"/>
  <c r="E27" i="14690"/>
  <c r="D37" i="4128"/>
  <c r="S62" i="4128" s="1"/>
  <c r="S63" i="4128" s="1"/>
  <c r="C44" i="14649"/>
  <c r="H13" i="14667"/>
  <c r="H5" i="14706"/>
  <c r="H24" i="14706" s="1"/>
  <c r="I6" i="14706" s="1"/>
  <c r="B39" i="14648"/>
  <c r="C44" i="14648" s="1"/>
  <c r="C95" i="14648"/>
  <c r="C97" i="14648" s="1"/>
  <c r="D29" i="14684"/>
  <c r="D41" i="14633"/>
  <c r="D30" i="14684" s="1"/>
  <c r="C29" i="14709"/>
  <c r="E32" i="14643"/>
  <c r="E35" i="14643" s="1"/>
  <c r="E28" i="14643"/>
  <c r="C48" i="14707" s="1"/>
  <c r="C47" i="14707"/>
  <c r="E25" i="14659" l="1"/>
  <c r="I25" i="14659"/>
  <c r="D31" i="14659"/>
  <c r="D32" i="14659"/>
  <c r="H43" i="14706"/>
  <c r="H30" i="14667"/>
  <c r="D24" i="14659"/>
  <c r="D31" i="14617"/>
  <c r="I15" i="14659"/>
  <c r="H31" i="14706"/>
  <c r="E15" i="14659"/>
  <c r="D23" i="14659"/>
  <c r="H42" i="14667"/>
  <c r="G19" i="14659"/>
  <c r="E53" i="14690"/>
  <c r="C48" i="14622"/>
  <c r="D84" i="14689" s="1"/>
  <c r="D86" i="14689" s="1"/>
  <c r="E57" i="14649"/>
  <c r="C30" i="14709"/>
  <c r="C75" i="14707"/>
  <c r="D15" i="4128"/>
  <c r="H24" i="14667"/>
  <c r="I13" i="14706"/>
  <c r="I8" i="14706"/>
  <c r="I9" i="14706"/>
  <c r="I21" i="14706"/>
  <c r="I7" i="14706"/>
  <c r="I17" i="14706"/>
  <c r="I11" i="14706"/>
  <c r="I16" i="14706"/>
  <c r="I19" i="14706"/>
  <c r="I20" i="14706"/>
  <c r="I22" i="14706"/>
  <c r="I10" i="14706"/>
  <c r="I14" i="14706"/>
  <c r="I12" i="14706"/>
  <c r="I5" i="14706"/>
  <c r="C10" i="14641"/>
  <c r="C11" i="14641" s="1"/>
  <c r="C29" i="14641" s="1"/>
  <c r="B25" i="14640"/>
  <c r="C49" i="14648"/>
  <c r="I24" i="14706" l="1"/>
  <c r="J28" i="14667"/>
  <c r="J41" i="14706"/>
  <c r="I31" i="14659"/>
  <c r="E22" i="14711"/>
  <c r="E31" i="14659"/>
  <c r="E32" i="14659"/>
  <c r="H83" i="14645"/>
  <c r="D41" i="4128"/>
  <c r="M83" i="14645"/>
  <c r="M86" i="14645" s="1"/>
  <c r="I32" i="14659"/>
  <c r="H39" i="14706"/>
  <c r="D7" i="14696"/>
  <c r="H26" i="14667"/>
  <c r="F24" i="14659"/>
  <c r="E24" i="14659"/>
  <c r="D8" i="4128"/>
  <c r="D33" i="14617"/>
  <c r="I31" i="14617"/>
  <c r="E31" i="14617"/>
  <c r="H26" i="14706"/>
  <c r="N8" i="14641"/>
  <c r="O8" i="14641" s="1"/>
  <c r="E7" i="14684" s="1"/>
  <c r="I23" i="14659"/>
  <c r="E23" i="14659"/>
  <c r="I23" i="14641"/>
  <c r="M30" i="14645"/>
  <c r="H37" i="14667"/>
  <c r="L23" i="14641"/>
  <c r="G20" i="14659"/>
  <c r="L19" i="14659"/>
  <c r="J18" i="14659"/>
  <c r="I22" i="14667"/>
  <c r="D6" i="4128"/>
  <c r="C50" i="14649" s="1"/>
  <c r="I18" i="14667"/>
  <c r="I7" i="14667"/>
  <c r="E23" i="14711"/>
  <c r="I17" i="14667"/>
  <c r="I5" i="14667"/>
  <c r="I20" i="14667"/>
  <c r="I21" i="14667"/>
  <c r="I6" i="14667"/>
  <c r="E25" i="14711"/>
  <c r="I9" i="14667"/>
  <c r="I16" i="14667"/>
  <c r="I14" i="14667"/>
  <c r="I19" i="14667"/>
  <c r="I11" i="14667"/>
  <c r="I8" i="14667"/>
  <c r="I15" i="14667"/>
  <c r="D14" i="4128"/>
  <c r="C16" i="14641"/>
  <c r="C25" i="14641" s="1"/>
  <c r="C30" i="14641" s="1"/>
  <c r="C31" i="14641" s="1"/>
  <c r="B26" i="14640"/>
  <c r="B27" i="14640" s="1"/>
  <c r="B29" i="14640" s="1"/>
  <c r="B31" i="14640" s="1"/>
  <c r="E21" i="14711"/>
  <c r="I13" i="14667"/>
  <c r="I24" i="14667" l="1"/>
  <c r="D4" i="4128"/>
  <c r="C49" i="14649" s="1"/>
  <c r="C37" i="14709" s="1"/>
  <c r="D21" i="4128"/>
  <c r="H86" i="14645"/>
  <c r="N86" i="14645" s="1"/>
  <c r="N83" i="14645"/>
  <c r="H47" i="14706"/>
  <c r="I51" i="14706"/>
  <c r="H45" i="14706"/>
  <c r="C41" i="14709"/>
  <c r="D14" i="14696"/>
  <c r="E7" i="14711"/>
  <c r="I50" i="14667"/>
  <c r="F57" i="14649"/>
  <c r="H46" i="14667"/>
  <c r="H44" i="14667"/>
  <c r="C80" i="14707"/>
  <c r="E10" i="14711"/>
  <c r="E33" i="14617"/>
  <c r="C43" i="14649"/>
  <c r="J18" i="14686"/>
  <c r="D26" i="4128"/>
  <c r="E9" i="14711"/>
  <c r="E8" i="14711"/>
  <c r="F33" i="14617"/>
  <c r="H46" i="14706"/>
  <c r="M32" i="14645"/>
  <c r="N32" i="14645" s="1"/>
  <c r="N30" i="14645"/>
  <c r="E41" i="14711"/>
  <c r="D31" i="4128"/>
  <c r="E6" i="14711"/>
  <c r="E45" i="14711"/>
  <c r="H45" i="14667"/>
  <c r="D19" i="4128"/>
  <c r="D18" i="4128"/>
  <c r="L20" i="14659"/>
  <c r="N23" i="14641"/>
  <c r="O23" i="14641" s="1"/>
  <c r="E20" i="14684" s="1"/>
  <c r="O18" i="14659"/>
  <c r="F23" i="14676"/>
  <c r="C38" i="14709"/>
  <c r="C81" i="14707"/>
  <c r="C33" i="14641"/>
  <c r="E28" i="14711"/>
  <c r="E30" i="14711" s="1"/>
  <c r="J8" i="14706"/>
  <c r="J20" i="14667"/>
  <c r="I26" i="14706" l="1"/>
  <c r="I39" i="14706"/>
  <c r="C37" i="14648"/>
  <c r="C35" i="14641"/>
  <c r="I31" i="14706"/>
  <c r="I43" i="14706"/>
  <c r="I28" i="14706"/>
  <c r="H54" i="14706"/>
  <c r="I42" i="14706"/>
  <c r="I41" i="14706"/>
  <c r="I34" i="14706"/>
  <c r="I29" i="14706"/>
  <c r="I27" i="14706"/>
  <c r="I30" i="14706"/>
  <c r="I37" i="14706"/>
  <c r="I35" i="14706"/>
  <c r="I36" i="14706"/>
  <c r="I32" i="14706"/>
  <c r="I40" i="14706"/>
  <c r="H49" i="14706"/>
  <c r="I49" i="14706" s="1"/>
  <c r="I45" i="14706"/>
  <c r="C42" i="14709"/>
  <c r="C43" i="14709" s="1"/>
  <c r="L12" i="14696"/>
  <c r="M12" i="14696" s="1"/>
  <c r="D16" i="14696"/>
  <c r="I30" i="14667"/>
  <c r="I42" i="14667"/>
  <c r="I39" i="14667"/>
  <c r="I41" i="14667"/>
  <c r="I43" i="14667"/>
  <c r="I32" i="14667"/>
  <c r="I46" i="14667" s="1"/>
  <c r="I35" i="14667"/>
  <c r="H53" i="14667"/>
  <c r="I29" i="14667"/>
  <c r="I40" i="14667"/>
  <c r="I38" i="14667"/>
  <c r="I27" i="14667"/>
  <c r="I33" i="14667"/>
  <c r="I34" i="14667"/>
  <c r="I28" i="14667"/>
  <c r="E42" i="14711"/>
  <c r="E47" i="14711" s="1"/>
  <c r="E49" i="14711" s="1"/>
  <c r="D10" i="4128"/>
  <c r="D22" i="4128"/>
  <c r="H48" i="14667"/>
  <c r="I44" i="14667"/>
  <c r="C74" i="14707"/>
  <c r="D57" i="14649"/>
  <c r="C39" i="14707"/>
  <c r="D25" i="4128"/>
  <c r="D43" i="4128"/>
  <c r="I45" i="14667"/>
  <c r="D20" i="4128"/>
  <c r="D42" i="4128"/>
  <c r="C38" i="14648"/>
  <c r="D43" i="14648" s="1"/>
  <c r="D42" i="14648"/>
  <c r="B65" i="14684"/>
  <c r="Z78" i="14684" s="1"/>
  <c r="I46" i="14706"/>
  <c r="I37" i="14667"/>
  <c r="I26" i="14667"/>
  <c r="D95" i="14648" l="1"/>
  <c r="D97" i="14648" s="1"/>
  <c r="C39" i="14648"/>
  <c r="D44" i="14648" s="1"/>
  <c r="D49" i="14648" s="1"/>
  <c r="I47" i="14706"/>
  <c r="C93" i="14649"/>
  <c r="E84" i="14690"/>
  <c r="D93" i="14649"/>
  <c r="E93" i="14649" s="1"/>
  <c r="I48" i="14667"/>
  <c r="D10" i="14641"/>
  <c r="D11" i="14641" s="1"/>
  <c r="D29" i="14641" s="1"/>
  <c r="C25" i="14640"/>
  <c r="C26" i="14640" l="1"/>
  <c r="C27" i="14640" s="1"/>
  <c r="C29" i="14640" s="1"/>
  <c r="C31" i="14640" s="1"/>
  <c r="D16" i="14641"/>
  <c r="D25" i="14641" s="1"/>
  <c r="D30" i="14641" s="1"/>
  <c r="D31" i="14641" s="1"/>
  <c r="D33" i="14641" l="1"/>
  <c r="D37" i="14648" l="1"/>
  <c r="D35" i="14641"/>
  <c r="E42" i="14648" l="1"/>
  <c r="D38" i="14648"/>
  <c r="E43" i="14648" s="1"/>
  <c r="D39" i="14648"/>
  <c r="E44" i="14648" s="1"/>
  <c r="E95" i="14648"/>
  <c r="E97" i="14648" s="1"/>
  <c r="C65" i="14684"/>
  <c r="AA78" i="14684" s="1"/>
  <c r="D25" i="14640" l="1"/>
  <c r="E10" i="14641"/>
  <c r="E11" i="14641" s="1"/>
  <c r="E29" i="14641" s="1"/>
  <c r="E49" i="14648"/>
  <c r="D26" i="14640" l="1"/>
  <c r="D27" i="14640" s="1"/>
  <c r="D29" i="14640" s="1"/>
  <c r="D31" i="14640" s="1"/>
  <c r="E16" i="14641"/>
  <c r="E25" i="14641" s="1"/>
  <c r="E30" i="14641" s="1"/>
  <c r="E31" i="14641" s="1"/>
  <c r="E33" i="14641" s="1"/>
  <c r="E37" i="14648" l="1"/>
  <c r="E35" i="14641"/>
  <c r="F42" i="14648" l="1"/>
  <c r="E38" i="14648"/>
  <c r="F43" i="14648" s="1"/>
  <c r="F95" i="14648"/>
  <c r="F97" i="14648" s="1"/>
  <c r="E39" i="14648"/>
  <c r="F44" i="14648" s="1"/>
  <c r="D65" i="14684"/>
  <c r="AB78" i="14684" s="1"/>
  <c r="F10" i="14641" l="1"/>
  <c r="F11" i="14641" s="1"/>
  <c r="F29" i="14641" s="1"/>
  <c r="E25" i="14640"/>
  <c r="F49" i="14648"/>
  <c r="F16" i="14641" l="1"/>
  <c r="F25" i="14641" s="1"/>
  <c r="F30" i="14641" s="1"/>
  <c r="F31" i="14641" s="1"/>
  <c r="F33" i="14641" s="1"/>
  <c r="E26" i="14640"/>
  <c r="E27" i="14640" s="1"/>
  <c r="E29" i="14640" s="1"/>
  <c r="E31" i="14640" s="1"/>
  <c r="F37" i="14648" l="1"/>
  <c r="F35" i="14641"/>
  <c r="G42" i="14648" l="1"/>
  <c r="F38" i="14648"/>
  <c r="G43" i="14648" s="1"/>
  <c r="F39" i="14648"/>
  <c r="G44" i="14648" s="1"/>
  <c r="E65" i="14684"/>
  <c r="AC78" i="14684" s="1"/>
  <c r="G95" i="14648"/>
  <c r="G97" i="14648" s="1"/>
  <c r="G10" i="14641" l="1"/>
  <c r="G11" i="14641" s="1"/>
  <c r="G29" i="14641" s="1"/>
  <c r="F25" i="14640"/>
  <c r="G49" i="14648"/>
  <c r="F26" i="14640" l="1"/>
  <c r="F27" i="14640" s="1"/>
  <c r="F29" i="14640" s="1"/>
  <c r="F31" i="14640" s="1"/>
  <c r="G16" i="14641"/>
  <c r="G25" i="14641" s="1"/>
  <c r="G30" i="14641" s="1"/>
  <c r="G31" i="14641" s="1"/>
  <c r="G33" i="14641" s="1"/>
  <c r="G37" i="14648" l="1"/>
  <c r="G35" i="14641"/>
  <c r="H42" i="14648" l="1"/>
  <c r="G38" i="14648"/>
  <c r="H43" i="14648" s="1"/>
  <c r="G39" i="14648"/>
  <c r="H44" i="14648" s="1"/>
  <c r="F65" i="14684"/>
  <c r="AD78" i="14684" s="1"/>
  <c r="H95" i="14648"/>
  <c r="H97" i="14648" s="1"/>
  <c r="G25" i="14640" l="1"/>
  <c r="H10" i="14641"/>
  <c r="H11" i="14641" s="1"/>
  <c r="H29" i="14641" s="1"/>
  <c r="H49" i="14648"/>
  <c r="G26" i="14640" l="1"/>
  <c r="G27" i="14640" s="1"/>
  <c r="G29" i="14640" s="1"/>
  <c r="G31" i="14640" s="1"/>
  <c r="H16" i="14641"/>
  <c r="H25" i="14641" s="1"/>
  <c r="H30" i="14641" s="1"/>
  <c r="H31" i="14641" s="1"/>
  <c r="H33" i="14641" s="1"/>
  <c r="H37" i="14648" l="1"/>
  <c r="H35" i="14641"/>
  <c r="H38" i="14648" l="1"/>
  <c r="I43" i="14648" s="1"/>
  <c r="I42" i="14648"/>
  <c r="I95" i="14648"/>
  <c r="I97" i="14648" s="1"/>
  <c r="H39" i="14648"/>
  <c r="I44" i="14648" s="1"/>
  <c r="G65" i="14684"/>
  <c r="AE78" i="14684" s="1"/>
  <c r="I10" i="14641" l="1"/>
  <c r="I11" i="14641" s="1"/>
  <c r="I29" i="14641" s="1"/>
  <c r="H25" i="14640"/>
  <c r="I49" i="14648"/>
  <c r="I16" i="14641" l="1"/>
  <c r="I25" i="14641" s="1"/>
  <c r="I30" i="14641" s="1"/>
  <c r="I31" i="14641" s="1"/>
  <c r="I33" i="14641" s="1"/>
  <c r="H26" i="14640"/>
  <c r="H27" i="14640" s="1"/>
  <c r="H29" i="14640" s="1"/>
  <c r="H31" i="14640" s="1"/>
  <c r="I37" i="14648" l="1"/>
  <c r="I35" i="14641"/>
  <c r="J42" i="14648" l="1"/>
  <c r="J49" i="14648" s="1"/>
  <c r="I38" i="14648"/>
  <c r="J43" i="14648" s="1"/>
  <c r="I39" i="14648"/>
  <c r="J44" i="14648" s="1"/>
  <c r="J95" i="14648"/>
  <c r="J97" i="14648" s="1"/>
  <c r="H65" i="14684"/>
  <c r="AF78" i="14684" s="1"/>
  <c r="I26" i="14640" l="1"/>
  <c r="J16" i="14641"/>
  <c r="J25" i="14641" s="1"/>
  <c r="J30" i="14641" s="1"/>
  <c r="J10" i="14641"/>
  <c r="J11" i="14641" s="1"/>
  <c r="J29" i="14641" s="1"/>
  <c r="I25" i="14640"/>
  <c r="J31" i="14641" l="1"/>
  <c r="J33" i="14641" s="1"/>
  <c r="I27" i="14640"/>
  <c r="I29" i="14640" s="1"/>
  <c r="I31" i="14640" s="1"/>
  <c r="J35" i="14641" l="1"/>
  <c r="J37" i="14648"/>
  <c r="K42" i="14648" l="1"/>
  <c r="J38" i="14648"/>
  <c r="K43" i="14648" s="1"/>
  <c r="K49" i="14648" s="1"/>
  <c r="J39" i="14648"/>
  <c r="K44" i="14648" s="1"/>
  <c r="K95" i="14648"/>
  <c r="K97" i="14648" s="1"/>
  <c r="I65" i="14684"/>
  <c r="AG78" i="14684" s="1"/>
  <c r="K10" i="14641" l="1"/>
  <c r="J25" i="14640"/>
  <c r="K11" i="14641"/>
  <c r="K16" i="14641"/>
  <c r="J26" i="14640"/>
  <c r="J27" i="14640" l="1"/>
  <c r="K29" i="14641"/>
  <c r="J29" i="14640"/>
  <c r="K25" i="14641"/>
  <c r="K30" i="14641" s="1"/>
  <c r="K31" i="14641" l="1"/>
  <c r="J31" i="14640"/>
  <c r="K33" i="14641" l="1"/>
  <c r="K35" i="14641" s="1"/>
  <c r="K37" i="14648" l="1"/>
  <c r="J65" i="14684"/>
  <c r="AH78" i="14684" s="1"/>
  <c r="K39" i="14648"/>
  <c r="L95" i="14648"/>
  <c r="K38" i="14648" l="1"/>
  <c r="L42" i="14648"/>
  <c r="L44" i="14648"/>
  <c r="L97" i="14648"/>
  <c r="L43" i="14648" l="1"/>
  <c r="L49" i="14648" s="1"/>
  <c r="L10" i="14641"/>
  <c r="K25" i="14640"/>
  <c r="L16" i="14641" l="1"/>
  <c r="K26" i="14640"/>
  <c r="K27" i="14640" s="1"/>
  <c r="L11" i="14641"/>
  <c r="L25" i="14641" l="1"/>
  <c r="L30" i="14641" s="1"/>
  <c r="L29" i="14641"/>
  <c r="K29" i="14640"/>
  <c r="L31" i="14641" l="1"/>
  <c r="K31" i="14640"/>
  <c r="L33" i="14641" l="1"/>
  <c r="L35" i="14641" s="1"/>
  <c r="K65" i="14684" l="1"/>
  <c r="AI78" i="14684" s="1"/>
  <c r="L39" i="14648"/>
  <c r="M95" i="14648"/>
  <c r="L37" i="14648"/>
  <c r="M44" i="14648" l="1"/>
  <c r="M97" i="14648"/>
  <c r="L38" i="14648"/>
  <c r="M42" i="14648"/>
  <c r="M10" i="14641" l="1"/>
  <c r="L25" i="14640"/>
  <c r="M43" i="14648"/>
  <c r="M49" i="14648" s="1"/>
  <c r="M11" i="14641" l="1"/>
  <c r="L26" i="14640"/>
  <c r="L27" i="14640" s="1"/>
  <c r="M16" i="14641"/>
  <c r="M29" i="14641" l="1"/>
  <c r="L29" i="14640"/>
  <c r="M25" i="14641"/>
  <c r="M30" i="14641" s="1"/>
  <c r="M31" i="14641" l="1"/>
  <c r="L31" i="14640"/>
  <c r="M33" i="14641" l="1"/>
  <c r="M35" i="14641" s="1"/>
  <c r="N95" i="14648" l="1"/>
  <c r="M39" i="14648"/>
  <c r="L65" i="14684"/>
  <c r="AJ78" i="14684" s="1"/>
  <c r="M37" i="14648"/>
  <c r="O95" i="14648" l="1"/>
  <c r="O97" i="14648" s="1"/>
  <c r="N97" i="14648"/>
  <c r="N44" i="14648"/>
  <c r="O44" i="14648" s="1"/>
  <c r="M38" i="14648"/>
  <c r="N42" i="14648"/>
  <c r="M25" i="14640" l="1"/>
  <c r="N10" i="14641"/>
  <c r="N43" i="14648"/>
  <c r="O42" i="14648"/>
  <c r="O43" i="14648" l="1"/>
  <c r="O49" i="14648" s="1"/>
  <c r="N49" i="14648"/>
  <c r="N25" i="14640"/>
  <c r="O10" i="14641"/>
  <c r="E9" i="14684" s="1"/>
  <c r="E10" i="14684" s="1"/>
  <c r="N11" i="14641"/>
  <c r="M26" i="14640" l="1"/>
  <c r="N16" i="14641"/>
  <c r="O11" i="14641"/>
  <c r="N29" i="14641"/>
  <c r="M27" i="14640" l="1"/>
  <c r="N26" i="14640"/>
  <c r="G25" i="14617" s="1" a="1"/>
  <c r="N25" i="14641"/>
  <c r="N30" i="14641" s="1"/>
  <c r="O30" i="14641" s="1"/>
  <c r="O16" i="14641"/>
  <c r="O29" i="14641"/>
  <c r="O31" i="14641" s="1"/>
  <c r="N31" i="14641"/>
  <c r="E15" i="14684"/>
  <c r="E22" i="14684" s="1"/>
  <c r="E25" i="14684" s="1"/>
  <c r="O25" i="14641"/>
  <c r="M29" i="14640" l="1"/>
  <c r="N27" i="14640"/>
  <c r="G25" i="14617"/>
  <c r="G26" i="14617"/>
  <c r="I26" i="14617" s="1"/>
  <c r="N33" i="14641"/>
  <c r="N35" i="14641" s="1"/>
  <c r="F43" i="14711"/>
  <c r="N29" i="14640"/>
  <c r="G29" i="14617" s="1"/>
  <c r="M31" i="14640"/>
  <c r="L25" i="14617" l="1"/>
  <c r="G27" i="14617"/>
  <c r="N39" i="14648"/>
  <c r="O39" i="14648" s="1"/>
  <c r="M65" i="14684"/>
  <c r="AK78" i="14684" s="1"/>
  <c r="C40" i="14641"/>
  <c r="J6" i="14706"/>
  <c r="J22" i="14667"/>
  <c r="B35" i="14676"/>
  <c r="E27" i="14684"/>
  <c r="C41" i="14641"/>
  <c r="J28" i="14706"/>
  <c r="J39" i="14667"/>
  <c r="N37" i="14648"/>
  <c r="B33" i="14676"/>
  <c r="B52" i="14648" s="1"/>
  <c r="C39" i="14641"/>
  <c r="E33" i="14684"/>
  <c r="G11" i="14659"/>
  <c r="H29" i="14617"/>
  <c r="G9" i="14659"/>
  <c r="G7" i="14659"/>
  <c r="C76" i="14649"/>
  <c r="I29" i="14617"/>
  <c r="H25" i="14617" l="1" a="1"/>
  <c r="I27" i="14617"/>
  <c r="D41" i="14649"/>
  <c r="D72" i="14707" s="1"/>
  <c r="E36" i="4128"/>
  <c r="E8" i="14696"/>
  <c r="F12" i="14643"/>
  <c r="D44" i="14649"/>
  <c r="E37" i="4128"/>
  <c r="T62" i="4128" s="1"/>
  <c r="T63" i="4128" s="1"/>
  <c r="J5" i="14706"/>
  <c r="J13" i="14667"/>
  <c r="C100" i="14648"/>
  <c r="B54" i="14648"/>
  <c r="C59" i="14648" s="1"/>
  <c r="E29" i="14684"/>
  <c r="D41" i="14641"/>
  <c r="E30" i="14684" s="1"/>
  <c r="O37" i="14648"/>
  <c r="E27" i="4128" s="1"/>
  <c r="N38" i="14648"/>
  <c r="O38" i="14648" s="1"/>
  <c r="C57" i="14648"/>
  <c r="B53" i="14648"/>
  <c r="C58" i="14648" s="1"/>
  <c r="D85" i="14649"/>
  <c r="E85" i="14649" s="1"/>
  <c r="D39" i="14641"/>
  <c r="E35" i="14684" s="1"/>
  <c r="C85" i="14649"/>
  <c r="F27" i="14690"/>
  <c r="E34" i="14684"/>
  <c r="K20" i="14686" s="1"/>
  <c r="F27" i="14643"/>
  <c r="F18" i="14643"/>
  <c r="H13" i="14659"/>
  <c r="H12" i="14659"/>
  <c r="G12" i="14659"/>
  <c r="G13" i="14659" s="1"/>
  <c r="L13" i="14659" s="1"/>
  <c r="L11" i="14659"/>
  <c r="H11" i="14659"/>
  <c r="I9" i="14659"/>
  <c r="H9" i="14659"/>
  <c r="H26" i="14617" l="1"/>
  <c r="H27" i="14617"/>
  <c r="H25" i="14617"/>
  <c r="D75" i="14707"/>
  <c r="D30" i="14709"/>
  <c r="E58" i="14649"/>
  <c r="J24" i="14706"/>
  <c r="K5" i="14706" s="1"/>
  <c r="J24" i="14667"/>
  <c r="F21" i="14711"/>
  <c r="K13" i="14667"/>
  <c r="E15" i="4128"/>
  <c r="C102" i="14648"/>
  <c r="C64" i="14648"/>
  <c r="D48" i="14622"/>
  <c r="F53" i="14690"/>
  <c r="F28" i="14643"/>
  <c r="D48" i="14707" s="1"/>
  <c r="F32" i="14643"/>
  <c r="F35" i="14643" s="1"/>
  <c r="D47" i="14707"/>
  <c r="D29" i="14709"/>
  <c r="G15" i="14659"/>
  <c r="G25" i="14659"/>
  <c r="L12" i="14659"/>
  <c r="K6" i="14706" l="1"/>
  <c r="K8" i="14706"/>
  <c r="K22" i="14706"/>
  <c r="K10" i="14706"/>
  <c r="K7" i="14706"/>
  <c r="K12" i="14706"/>
  <c r="K21" i="14706"/>
  <c r="K11" i="14706"/>
  <c r="K14" i="14706"/>
  <c r="K9" i="14706"/>
  <c r="K19" i="14706"/>
  <c r="K16" i="14706"/>
  <c r="K24" i="14706" s="1"/>
  <c r="K17" i="14706"/>
  <c r="K20" i="14706"/>
  <c r="K13" i="14706"/>
  <c r="K22" i="14667"/>
  <c r="E6" i="4128"/>
  <c r="D50" i="14649" s="1"/>
  <c r="K20" i="14667"/>
  <c r="K9" i="14667"/>
  <c r="K18" i="14667"/>
  <c r="K19" i="14667"/>
  <c r="K7" i="14667"/>
  <c r="K17" i="14667"/>
  <c r="F25" i="14711"/>
  <c r="K16" i="14667"/>
  <c r="E14" i="4128"/>
  <c r="K15" i="14667"/>
  <c r="K6" i="14667"/>
  <c r="K5" i="14667"/>
  <c r="K24" i="14667" s="1"/>
  <c r="K11" i="14667"/>
  <c r="K8" i="14667"/>
  <c r="F23" i="14711"/>
  <c r="K14" i="14667"/>
  <c r="K21" i="14667"/>
  <c r="B25" i="14670"/>
  <c r="C10" i="14676"/>
  <c r="C16" i="14676"/>
  <c r="B26" i="14670"/>
  <c r="E84" i="14689"/>
  <c r="E86" i="14689" s="1"/>
  <c r="J30" i="14667"/>
  <c r="G24" i="14659"/>
  <c r="J43" i="14706"/>
  <c r="G31" i="14617"/>
  <c r="H15" i="14659"/>
  <c r="J42" i="14667"/>
  <c r="G23" i="14659"/>
  <c r="J19" i="14659"/>
  <c r="L15" i="14659"/>
  <c r="J31" i="14706"/>
  <c r="H25" i="14659"/>
  <c r="L25" i="14659"/>
  <c r="G31" i="14659"/>
  <c r="G32" i="14659"/>
  <c r="D81" i="14707" l="1"/>
  <c r="D38" i="14709"/>
  <c r="B27" i="14670"/>
  <c r="C11" i="14676"/>
  <c r="C25" i="14676"/>
  <c r="C30" i="14676" s="1"/>
  <c r="E7" i="14696"/>
  <c r="J26" i="14667"/>
  <c r="E4" i="4128" s="1"/>
  <c r="D49" i="14649" s="1"/>
  <c r="H24" i="14659"/>
  <c r="E8" i="4128"/>
  <c r="I24" i="14659"/>
  <c r="J39" i="14706"/>
  <c r="G33" i="14617"/>
  <c r="L31" i="14617"/>
  <c r="H31" i="14617"/>
  <c r="J37" i="14667"/>
  <c r="L23" i="14659"/>
  <c r="I23" i="14676"/>
  <c r="N8" i="14676"/>
  <c r="M41" i="14645"/>
  <c r="H23" i="14659"/>
  <c r="L20" i="14667"/>
  <c r="L8" i="14706"/>
  <c r="O19" i="14659"/>
  <c r="L23" i="14676"/>
  <c r="M18" i="14659"/>
  <c r="J20" i="14659"/>
  <c r="J26" i="14706"/>
  <c r="L28" i="14667"/>
  <c r="L41" i="14706"/>
  <c r="F22" i="14711"/>
  <c r="F28" i="14711" s="1"/>
  <c r="F30" i="14711" s="1"/>
  <c r="H31" i="14659"/>
  <c r="L31" i="14659"/>
  <c r="H93" i="14645"/>
  <c r="M93" i="14645"/>
  <c r="M96" i="14645" s="1"/>
  <c r="L32" i="14659"/>
  <c r="E41" i="4128"/>
  <c r="H32" i="14659"/>
  <c r="B29" i="14670" l="1"/>
  <c r="C29" i="14676"/>
  <c r="D41" i="14709"/>
  <c r="E14" i="14696"/>
  <c r="E21" i="4128"/>
  <c r="J44" i="14667"/>
  <c r="F58" i="14649"/>
  <c r="F7" i="14711"/>
  <c r="K50" i="14667"/>
  <c r="J46" i="14667"/>
  <c r="D37" i="14709"/>
  <c r="D80" i="14707"/>
  <c r="J45" i="14706"/>
  <c r="J47" i="14706"/>
  <c r="K51" i="14706"/>
  <c r="F8" i="14711"/>
  <c r="F10" i="14711"/>
  <c r="K18" i="14686"/>
  <c r="D43" i="14649"/>
  <c r="E26" i="4128"/>
  <c r="F9" i="14711"/>
  <c r="H33" i="14617"/>
  <c r="I33" i="14617"/>
  <c r="E31" i="4128"/>
  <c r="F41" i="14711"/>
  <c r="F6" i="14711"/>
  <c r="E18" i="4128"/>
  <c r="E19" i="4128"/>
  <c r="J45" i="14667"/>
  <c r="F45" i="14711"/>
  <c r="O8" i="14676"/>
  <c r="F7" i="14684" s="1"/>
  <c r="N41" i="14645"/>
  <c r="M43" i="14645"/>
  <c r="N43" i="14645" s="1"/>
  <c r="F23" i="14677"/>
  <c r="N23" i="14676"/>
  <c r="O23" i="14676" s="1"/>
  <c r="F20" i="14684" s="1"/>
  <c r="O20" i="14659"/>
  <c r="J46" i="14706"/>
  <c r="K46" i="14706" s="1"/>
  <c r="N93" i="14645"/>
  <c r="H96" i="14645"/>
  <c r="N96" i="14645" s="1"/>
  <c r="K39" i="14706" l="1"/>
  <c r="K26" i="14706"/>
  <c r="B31" i="14670"/>
  <c r="C31" i="14676"/>
  <c r="E16" i="14696"/>
  <c r="L13" i="14696"/>
  <c r="D42" i="14709"/>
  <c r="D43" i="14709" s="1"/>
  <c r="E22" i="4128"/>
  <c r="K44" i="14667"/>
  <c r="J48" i="14667"/>
  <c r="E10" i="4128"/>
  <c r="K42" i="14667"/>
  <c r="K30" i="14667"/>
  <c r="K39" i="14667"/>
  <c r="K28" i="14667"/>
  <c r="K35" i="14667"/>
  <c r="K40" i="14667"/>
  <c r="K43" i="14667"/>
  <c r="K32" i="14667"/>
  <c r="K29" i="14667"/>
  <c r="K33" i="14667"/>
  <c r="K34" i="14667"/>
  <c r="K27" i="14667"/>
  <c r="K41" i="14667"/>
  <c r="J53" i="14667"/>
  <c r="K38" i="14667"/>
  <c r="J49" i="14706"/>
  <c r="K49" i="14706" s="1"/>
  <c r="K45" i="14706"/>
  <c r="K31" i="14706"/>
  <c r="K43" i="14706"/>
  <c r="K28" i="14706"/>
  <c r="K41" i="14706"/>
  <c r="K40" i="14706"/>
  <c r="J54" i="14706"/>
  <c r="K35" i="14706"/>
  <c r="K29" i="14706"/>
  <c r="K37" i="14706"/>
  <c r="K32" i="14706"/>
  <c r="K36" i="14706"/>
  <c r="K42" i="14706"/>
  <c r="K30" i="14706"/>
  <c r="K27" i="14706"/>
  <c r="K34" i="14706"/>
  <c r="D74" i="14707"/>
  <c r="D39" i="14707"/>
  <c r="D58" i="14649"/>
  <c r="E43" i="4128"/>
  <c r="E25" i="4128"/>
  <c r="E42" i="4128"/>
  <c r="E20" i="4128"/>
  <c r="K45" i="14667"/>
  <c r="F42" i="14711"/>
  <c r="F47" i="14711" s="1"/>
  <c r="F49" i="14711" s="1"/>
  <c r="K26" i="14667"/>
  <c r="K37" i="14667"/>
  <c r="K47" i="14706" l="1"/>
  <c r="K46" i="14667"/>
  <c r="C33" i="14676"/>
  <c r="C35" i="14676" s="1"/>
  <c r="M13" i="14696"/>
  <c r="D94" i="14649"/>
  <c r="E94" i="14649" s="1"/>
  <c r="K48" i="14667"/>
  <c r="F84" i="14690"/>
  <c r="C94" i="14649"/>
  <c r="C52" i="14648" l="1"/>
  <c r="D100" i="14648"/>
  <c r="C54" i="14648"/>
  <c r="B66" i="14684"/>
  <c r="AL78" i="14684" s="1"/>
  <c r="D57" i="14648" l="1"/>
  <c r="C53" i="14648"/>
  <c r="D102" i="14648"/>
  <c r="D59" i="14648"/>
  <c r="D58" i="14648" l="1"/>
  <c r="D64" i="14648" s="1"/>
  <c r="C25" i="14670"/>
  <c r="D10" i="14676"/>
  <c r="C26" i="14670" l="1"/>
  <c r="C27" i="14670" s="1"/>
  <c r="D16" i="14676"/>
  <c r="D11" i="14676"/>
  <c r="D25" i="14676" l="1"/>
  <c r="D30" i="14676" s="1"/>
  <c r="C29" i="14670"/>
  <c r="D29" i="14676"/>
  <c r="C31" i="14670" l="1"/>
  <c r="D31" i="14676"/>
  <c r="D33" i="14676" l="1"/>
  <c r="D35" i="14676" s="1"/>
  <c r="D52" i="14648" l="1"/>
  <c r="E100" i="14648"/>
  <c r="C66" i="14684"/>
  <c r="AM78" i="14684" s="1"/>
  <c r="D54" i="14648"/>
  <c r="E57" i="14648" l="1"/>
  <c r="D53" i="14648"/>
  <c r="E102" i="14648"/>
  <c r="E59" i="14648"/>
  <c r="E58" i="14648" l="1"/>
  <c r="E64" i="14648" s="1"/>
  <c r="E10" i="14676"/>
  <c r="D25" i="14670"/>
  <c r="E16" i="14676" l="1"/>
  <c r="D26" i="14670"/>
  <c r="D27" i="14670" s="1"/>
  <c r="E11" i="14676"/>
  <c r="E25" i="14676" l="1"/>
  <c r="E30" i="14676" s="1"/>
  <c r="E29" i="14676"/>
  <c r="D29" i="14670"/>
  <c r="E31" i="14676" l="1"/>
  <c r="D31" i="14670"/>
  <c r="E33" i="14676" l="1"/>
  <c r="E35" i="14676" s="1"/>
  <c r="E52" i="14648" l="1"/>
  <c r="D66" i="14684"/>
  <c r="AN78" i="14684" s="1"/>
  <c r="E54" i="14648"/>
  <c r="F100" i="14648"/>
  <c r="E53" i="14648" l="1"/>
  <c r="F57" i="14648"/>
  <c r="F59" i="14648"/>
  <c r="F102" i="14648"/>
  <c r="F58" i="14648" l="1"/>
  <c r="F64" i="14648" s="1"/>
  <c r="F10" i="14676"/>
  <c r="E25" i="14670"/>
  <c r="F16" i="14676" l="1"/>
  <c r="E26" i="14670"/>
  <c r="E27" i="14670" s="1"/>
  <c r="F11" i="14676"/>
  <c r="F25" i="14676" l="1"/>
  <c r="F30" i="14676" s="1"/>
  <c r="F29" i="14676"/>
  <c r="E29" i="14670"/>
  <c r="F31" i="14676" l="1"/>
  <c r="E31" i="14670"/>
  <c r="F33" i="14676" l="1"/>
  <c r="F35" i="14676" s="1"/>
  <c r="F54" i="14648" l="1"/>
  <c r="E66" i="14684"/>
  <c r="AO78" i="14684" s="1"/>
  <c r="G100" i="14648"/>
  <c r="F52" i="14648"/>
  <c r="G59" i="14648" l="1"/>
  <c r="G102" i="14648"/>
  <c r="F53" i="14648"/>
  <c r="G57" i="14648"/>
  <c r="F25" i="14670" l="1"/>
  <c r="G10" i="14676"/>
  <c r="G58" i="14648"/>
  <c r="G64" i="14648" s="1"/>
  <c r="F27" i="14670" l="1"/>
  <c r="G11" i="14676"/>
  <c r="F26" i="14670"/>
  <c r="G16" i="14676"/>
  <c r="F29" i="14670" l="1"/>
  <c r="G29" i="14676"/>
  <c r="G25" i="14676"/>
  <c r="G30" i="14676" s="1"/>
  <c r="F31" i="14670" l="1"/>
  <c r="G31" i="14676"/>
  <c r="G33" i="14676" l="1"/>
  <c r="G35" i="14676" s="1"/>
  <c r="F66" i="14684" l="1"/>
  <c r="AP78" i="14684" s="1"/>
  <c r="G54" i="14648"/>
  <c r="H100" i="14648"/>
  <c r="G52" i="14648"/>
  <c r="H59" i="14648" l="1"/>
  <c r="H102" i="14648"/>
  <c r="G53" i="14648"/>
  <c r="H57" i="14648"/>
  <c r="H10" i="14676" l="1"/>
  <c r="G25" i="14670"/>
  <c r="H58" i="14648"/>
  <c r="H64" i="14648" s="1"/>
  <c r="H11" i="14676" l="1"/>
  <c r="G26" i="14670"/>
  <c r="G27" i="14670" s="1"/>
  <c r="H16" i="14676"/>
  <c r="H29" i="14676" l="1"/>
  <c r="G29" i="14670"/>
  <c r="H25" i="14676"/>
  <c r="H30" i="14676" s="1"/>
  <c r="H31" i="14676" l="1"/>
  <c r="G31" i="14670"/>
  <c r="H33" i="14676" l="1"/>
  <c r="H35" i="14676" s="1"/>
  <c r="H54" i="14648" l="1"/>
  <c r="G66" i="14684"/>
  <c r="AQ78" i="14684" s="1"/>
  <c r="I100" i="14648"/>
  <c r="H52" i="14648"/>
  <c r="I59" i="14648" l="1"/>
  <c r="I102" i="14648"/>
  <c r="H53" i="14648"/>
  <c r="I57" i="14648"/>
  <c r="H25" i="14670" l="1"/>
  <c r="I10" i="14676"/>
  <c r="I58" i="14648"/>
  <c r="I64" i="14648" s="1"/>
  <c r="I11" i="14676" l="1"/>
  <c r="I16" i="14676"/>
  <c r="H26" i="14670"/>
  <c r="H27" i="14670" s="1"/>
  <c r="H29" i="14670" l="1"/>
  <c r="I29" i="14676"/>
  <c r="I25" i="14676"/>
  <c r="I30" i="14676" s="1"/>
  <c r="H31" i="14670" l="1"/>
  <c r="I31" i="14676"/>
  <c r="I33" i="14676" l="1"/>
  <c r="I35" i="14676" s="1"/>
  <c r="I52" i="14648" l="1"/>
  <c r="I54" i="14648"/>
  <c r="H66" i="14684"/>
  <c r="AR78" i="14684" s="1"/>
  <c r="J100" i="14648"/>
  <c r="I53" i="14648" l="1"/>
  <c r="J57" i="14648"/>
  <c r="J59" i="14648"/>
  <c r="J102" i="14648"/>
  <c r="J58" i="14648" l="1"/>
  <c r="J64" i="14648" s="1"/>
  <c r="J10" i="14676"/>
  <c r="I25" i="14670"/>
  <c r="J16" i="14676" l="1"/>
  <c r="I26" i="14670"/>
  <c r="I27" i="14670" s="1"/>
  <c r="J11" i="14676"/>
  <c r="J25" i="14676" l="1"/>
  <c r="J30" i="14676" s="1"/>
  <c r="J29" i="14676"/>
  <c r="I29" i="14670"/>
  <c r="J31" i="14676" l="1"/>
  <c r="I31" i="14670"/>
  <c r="J33" i="14676" l="1"/>
  <c r="J35" i="14676" s="1"/>
  <c r="I66" i="14684" l="1"/>
  <c r="AS78" i="14684" s="1"/>
  <c r="J54" i="14648"/>
  <c r="K100" i="14648"/>
  <c r="J52" i="14648"/>
  <c r="K59" i="14648" l="1"/>
  <c r="K102" i="14648"/>
  <c r="J53" i="14648"/>
  <c r="K57" i="14648"/>
  <c r="K10" i="14676" l="1"/>
  <c r="J25" i="14670"/>
  <c r="K58" i="14648"/>
  <c r="K64" i="14648" s="1"/>
  <c r="K11" i="14676" l="1"/>
  <c r="J26" i="14670"/>
  <c r="J27" i="14670" s="1"/>
  <c r="K16" i="14676"/>
  <c r="K29" i="14676" l="1"/>
  <c r="J29" i="14670"/>
  <c r="K25" i="14676"/>
  <c r="K30" i="14676" s="1"/>
  <c r="K31" i="14676" l="1"/>
  <c r="J31" i="14670"/>
  <c r="K33" i="14676" l="1"/>
  <c r="K35" i="14676" s="1"/>
  <c r="J66" i="14684" l="1"/>
  <c r="AT78" i="14684" s="1"/>
  <c r="K54" i="14648"/>
  <c r="L100" i="14648"/>
  <c r="K52" i="14648"/>
  <c r="L59" i="14648" l="1"/>
  <c r="L102" i="14648"/>
  <c r="K53" i="14648"/>
  <c r="L57" i="14648"/>
  <c r="L10" i="14676" l="1"/>
  <c r="K25" i="14670"/>
  <c r="L58" i="14648"/>
  <c r="L64" i="14648" s="1"/>
  <c r="L11" i="14676" l="1"/>
  <c r="K26" i="14670"/>
  <c r="K27" i="14670" s="1"/>
  <c r="L16" i="14676"/>
  <c r="L29" i="14676" l="1"/>
  <c r="K29" i="14670"/>
  <c r="L25" i="14676"/>
  <c r="L30" i="14676" s="1"/>
  <c r="L31" i="14676" l="1"/>
  <c r="K31" i="14670"/>
  <c r="L33" i="14676" l="1"/>
  <c r="L35" i="14676" s="1"/>
  <c r="K66" i="14684" l="1"/>
  <c r="AU78" i="14684" s="1"/>
  <c r="L54" i="14648"/>
  <c r="M100" i="14648"/>
  <c r="L52" i="14648"/>
  <c r="M59" i="14648" l="1"/>
  <c r="M102" i="14648"/>
  <c r="L53" i="14648"/>
  <c r="M57" i="14648"/>
  <c r="M10" i="14676" l="1"/>
  <c r="L25" i="14670"/>
  <c r="M58" i="14648"/>
  <c r="M64" i="14648" s="1"/>
  <c r="M11" i="14676" l="1"/>
  <c r="M16" i="14676"/>
  <c r="L26" i="14670"/>
  <c r="L27" i="14670" s="1"/>
  <c r="M29" i="14676" l="1"/>
  <c r="L29" i="14670"/>
  <c r="M25" i="14676"/>
  <c r="M30" i="14676" s="1"/>
  <c r="M31" i="14676" l="1"/>
  <c r="L31" i="14670"/>
  <c r="M33" i="14676" l="1"/>
  <c r="M35" i="14676" s="1"/>
  <c r="M52" i="14648" l="1"/>
  <c r="M54" i="14648"/>
  <c r="L66" i="14684"/>
  <c r="AV78" i="14684" s="1"/>
  <c r="N100" i="14648"/>
  <c r="N57" i="14648" l="1"/>
  <c r="M53" i="14648"/>
  <c r="N59" i="14648"/>
  <c r="O59" i="14648" s="1"/>
  <c r="O100" i="14648"/>
  <c r="O102" i="14648" s="1"/>
  <c r="N102" i="14648"/>
  <c r="O57" i="14648" l="1"/>
  <c r="N58" i="14648"/>
  <c r="N10" i="14676"/>
  <c r="M25" i="14670"/>
  <c r="O10" i="14676" l="1"/>
  <c r="F9" i="14684" s="1"/>
  <c r="F10" i="14684" s="1"/>
  <c r="N11" i="14676"/>
  <c r="N25" i="14670"/>
  <c r="J25" i="14617" s="1"/>
  <c r="O58" i="14648"/>
  <c r="O64" i="14648" s="1"/>
  <c r="N64" i="14648"/>
  <c r="O11" i="14676" l="1"/>
  <c r="N29" i="14676"/>
  <c r="O25" i="14617"/>
  <c r="M26" i="14670"/>
  <c r="N16" i="14676"/>
  <c r="O29" i="14676" l="1"/>
  <c r="M27" i="14670"/>
  <c r="N26" i="14670"/>
  <c r="J26" i="14617" s="1"/>
  <c r="O16" i="14676"/>
  <c r="N25" i="14676"/>
  <c r="N30" i="14676" s="1"/>
  <c r="M29" i="14670" l="1"/>
  <c r="N27" i="14670"/>
  <c r="K25" i="14617" a="1"/>
  <c r="J27" i="14617"/>
  <c r="G43" i="14711"/>
  <c r="L26" i="14617"/>
  <c r="O25" i="14676"/>
  <c r="F15" i="14684"/>
  <c r="F22" i="14684" s="1"/>
  <c r="F25" i="14684" s="1"/>
  <c r="O30" i="14676"/>
  <c r="O31" i="14676" s="1"/>
  <c r="N31" i="14676"/>
  <c r="M31" i="14670" l="1"/>
  <c r="N29" i="14670"/>
  <c r="J29" i="14617" s="1"/>
  <c r="K26" i="14617"/>
  <c r="K27" i="14617"/>
  <c r="K25" i="14617"/>
  <c r="F36" i="4128"/>
  <c r="E41" i="14649"/>
  <c r="E72" i="14707" s="1"/>
  <c r="F8" i="14696"/>
  <c r="G12" i="14643"/>
  <c r="L27" i="14617"/>
  <c r="N33" i="14676"/>
  <c r="N35" i="14676" s="1"/>
  <c r="J11" i="14659" l="1"/>
  <c r="K29" i="14617"/>
  <c r="J7" i="14659"/>
  <c r="J9" i="14659"/>
  <c r="C77" i="14649"/>
  <c r="L29" i="14617"/>
  <c r="G27" i="14643"/>
  <c r="G18" i="14643"/>
  <c r="L39" i="14667"/>
  <c r="B33" i="14677"/>
  <c r="B67" i="14648" s="1"/>
  <c r="N52" i="14648"/>
  <c r="L28" i="14706"/>
  <c r="C39" i="14676"/>
  <c r="F33" i="14684"/>
  <c r="L6" i="14706"/>
  <c r="L22" i="14667"/>
  <c r="N54" i="14648"/>
  <c r="O54" i="14648" s="1"/>
  <c r="C40" i="14676"/>
  <c r="B35" i="14677"/>
  <c r="F27" i="14684"/>
  <c r="M66" i="14684"/>
  <c r="AW78" i="14684" s="1"/>
  <c r="C41" i="14676"/>
  <c r="K13" i="14659" l="1"/>
  <c r="J12" i="14659"/>
  <c r="J13" i="14659" s="1"/>
  <c r="O13" i="14659" s="1"/>
  <c r="K11" i="14659"/>
  <c r="O11" i="14659"/>
  <c r="K12" i="14659"/>
  <c r="L9" i="14659"/>
  <c r="K9" i="14659"/>
  <c r="G28" i="14643"/>
  <c r="E48" i="14707" s="1"/>
  <c r="E29" i="14709"/>
  <c r="E47" i="14707"/>
  <c r="G32" i="14643"/>
  <c r="G35" i="14643" s="1"/>
  <c r="C72" i="14648"/>
  <c r="B68" i="14648"/>
  <c r="C73" i="14648" s="1"/>
  <c r="O52" i="14648"/>
  <c r="F27" i="4128" s="1"/>
  <c r="N53" i="14648"/>
  <c r="O53" i="14648" s="1"/>
  <c r="G27" i="14690"/>
  <c r="D39" i="14676"/>
  <c r="F35" i="14684" s="1"/>
  <c r="C86" i="14649"/>
  <c r="D86" i="14649"/>
  <c r="E86" i="14649" s="1"/>
  <c r="F34" i="14684"/>
  <c r="L20" i="14686" s="1"/>
  <c r="L5" i="14706"/>
  <c r="L13" i="14667"/>
  <c r="E44" i="14649"/>
  <c r="F37" i="4128"/>
  <c r="U62" i="4128" s="1"/>
  <c r="U63" i="4128" s="1"/>
  <c r="C105" i="14648"/>
  <c r="B69" i="14648"/>
  <c r="C74" i="14648" s="1"/>
  <c r="F29" i="14684"/>
  <c r="D41" i="14676"/>
  <c r="F30" i="14684" s="1"/>
  <c r="J15" i="14659" l="1"/>
  <c r="J25" i="14659"/>
  <c r="O12" i="14659"/>
  <c r="C79" i="14648"/>
  <c r="G53" i="14690"/>
  <c r="E48" i="14622"/>
  <c r="L24" i="14706"/>
  <c r="M5" i="14706" s="1"/>
  <c r="L24" i="14667"/>
  <c r="F15" i="4128"/>
  <c r="E59" i="14649"/>
  <c r="E30" i="14709"/>
  <c r="E75" i="14707"/>
  <c r="C107" i="14648"/>
  <c r="L30" i="14667" l="1"/>
  <c r="L43" i="14706"/>
  <c r="J24" i="14659"/>
  <c r="L42" i="14667"/>
  <c r="K15" i="14659"/>
  <c r="J31" i="14617"/>
  <c r="J23" i="14659"/>
  <c r="L31" i="14706"/>
  <c r="M19" i="14659"/>
  <c r="O15" i="14659"/>
  <c r="K25" i="14659"/>
  <c r="J32" i="14659"/>
  <c r="J31" i="14659"/>
  <c r="O25" i="14659"/>
  <c r="C16" i="14677"/>
  <c r="B26" i="14671"/>
  <c r="F84" i="14689"/>
  <c r="F86" i="14689" s="1"/>
  <c r="M6" i="14706"/>
  <c r="M8" i="14706"/>
  <c r="M16" i="14706"/>
  <c r="M24" i="14706" s="1"/>
  <c r="M9" i="14706"/>
  <c r="M17" i="14706"/>
  <c r="M11" i="14706"/>
  <c r="M12" i="14706"/>
  <c r="M13" i="14706"/>
  <c r="M22" i="14706"/>
  <c r="M19" i="14706"/>
  <c r="M14" i="14706"/>
  <c r="M7" i="14706"/>
  <c r="M21" i="14706"/>
  <c r="M10" i="14706"/>
  <c r="M20" i="14706"/>
  <c r="M22" i="14667"/>
  <c r="F6" i="4128"/>
  <c r="E50" i="14649" s="1"/>
  <c r="M20" i="14667"/>
  <c r="M14" i="14667"/>
  <c r="M19" i="14667"/>
  <c r="M5" i="14667"/>
  <c r="M8" i="14667"/>
  <c r="M17" i="14667"/>
  <c r="M7" i="14667"/>
  <c r="M6" i="14667"/>
  <c r="G25" i="14711"/>
  <c r="G23" i="14711"/>
  <c r="M15" i="14667"/>
  <c r="M9" i="14667"/>
  <c r="M11" i="14667"/>
  <c r="M18" i="14667"/>
  <c r="M21" i="14667"/>
  <c r="F14" i="4128"/>
  <c r="M16" i="14667"/>
  <c r="C10" i="14677"/>
  <c r="B25" i="14671"/>
  <c r="M13" i="14667"/>
  <c r="G21" i="14711"/>
  <c r="F7" i="14696" l="1"/>
  <c r="L26" i="14667"/>
  <c r="F4" i="4128" s="1"/>
  <c r="E49" i="14649" s="1"/>
  <c r="L39" i="14706"/>
  <c r="K24" i="14659"/>
  <c r="F8" i="4128"/>
  <c r="L24" i="14659"/>
  <c r="L37" i="14667"/>
  <c r="J33" i="14617"/>
  <c r="K31" i="14617"/>
  <c r="O31" i="14617"/>
  <c r="N8" i="14677"/>
  <c r="K23" i="14659"/>
  <c r="M52" i="14645"/>
  <c r="O23" i="14659"/>
  <c r="I23" i="14677"/>
  <c r="L26" i="14706"/>
  <c r="L23" i="14677"/>
  <c r="M20" i="14659"/>
  <c r="N8" i="14706" s="1"/>
  <c r="F41" i="4128"/>
  <c r="H103" i="14645"/>
  <c r="O32" i="14659"/>
  <c r="K32" i="14659"/>
  <c r="M103" i="14645"/>
  <c r="M106" i="14645" s="1"/>
  <c r="N28" i="14667"/>
  <c r="N41" i="14706"/>
  <c r="K31" i="14659"/>
  <c r="O31" i="14659"/>
  <c r="G22" i="14711"/>
  <c r="G28" i="14711" s="1"/>
  <c r="G30" i="14711" s="1"/>
  <c r="C25" i="14677"/>
  <c r="C30" i="14677" s="1"/>
  <c r="E81" i="14707"/>
  <c r="E38" i="14709"/>
  <c r="C11" i="14677"/>
  <c r="B27" i="14671"/>
  <c r="M24" i="14667"/>
  <c r="E41" i="14709" l="1"/>
  <c r="F14" i="14696"/>
  <c r="F21" i="4128"/>
  <c r="G7" i="14711"/>
  <c r="F59" i="14649"/>
  <c r="L46" i="14667"/>
  <c r="M26" i="14667" s="1"/>
  <c r="M50" i="14667"/>
  <c r="L44" i="14667"/>
  <c r="M51" i="14706"/>
  <c r="L47" i="14706"/>
  <c r="L45" i="14706"/>
  <c r="E37" i="14709"/>
  <c r="E80" i="14707"/>
  <c r="F31" i="4128"/>
  <c r="G6" i="14711"/>
  <c r="G41" i="14711"/>
  <c r="L45" i="14667"/>
  <c r="F19" i="4128"/>
  <c r="F18" i="4128"/>
  <c r="G45" i="14711"/>
  <c r="L18" i="14686"/>
  <c r="G10" i="14711"/>
  <c r="G9" i="14711"/>
  <c r="F26" i="4128"/>
  <c r="E43" i="14649"/>
  <c r="G8" i="14711"/>
  <c r="K33" i="14617"/>
  <c r="L33" i="14617"/>
  <c r="O8" i="14677"/>
  <c r="G7" i="14684" s="1"/>
  <c r="M54" i="14645"/>
  <c r="N54" i="14645" s="1"/>
  <c r="N52" i="14645"/>
  <c r="L46" i="14706"/>
  <c r="H106" i="14645"/>
  <c r="N106" i="14645" s="1"/>
  <c r="N103" i="14645"/>
  <c r="C29" i="14677"/>
  <c r="B29" i="14671"/>
  <c r="N23" i="14677"/>
  <c r="O23" i="14677" s="1"/>
  <c r="G20" i="14684" s="1"/>
  <c r="N20" i="14667"/>
  <c r="E42" i="14709" l="1"/>
  <c r="E43" i="14709" s="1"/>
  <c r="L14" i="14696"/>
  <c r="F16" i="14696"/>
  <c r="M30" i="14667"/>
  <c r="M42" i="14667"/>
  <c r="M39" i="14667"/>
  <c r="M28" i="14667"/>
  <c r="M27" i="14667"/>
  <c r="M35" i="14667"/>
  <c r="M29" i="14667"/>
  <c r="M33" i="14667"/>
  <c r="M34" i="14667"/>
  <c r="M32" i="14667"/>
  <c r="L53" i="14667"/>
  <c r="M43" i="14667"/>
  <c r="M40" i="14667"/>
  <c r="M38" i="14667"/>
  <c r="M41" i="14667"/>
  <c r="M44" i="14667"/>
  <c r="F10" i="4128"/>
  <c r="F22" i="4128"/>
  <c r="L48" i="14667"/>
  <c r="M43" i="14706"/>
  <c r="M31" i="14706"/>
  <c r="M28" i="14706"/>
  <c r="M41" i="14706"/>
  <c r="M27" i="14706"/>
  <c r="M42" i="14706"/>
  <c r="M34" i="14706"/>
  <c r="M35" i="14706"/>
  <c r="M32" i="14706"/>
  <c r="M29" i="14706"/>
  <c r="M37" i="14706"/>
  <c r="M40" i="14706"/>
  <c r="M36" i="14706"/>
  <c r="M30" i="14706"/>
  <c r="L54" i="14706"/>
  <c r="L49" i="14706"/>
  <c r="M49" i="14706" s="1"/>
  <c r="M45" i="14706"/>
  <c r="F25" i="4128"/>
  <c r="F43" i="4128"/>
  <c r="F42" i="4128"/>
  <c r="F20" i="4128"/>
  <c r="M45" i="14667"/>
  <c r="E74" i="14707"/>
  <c r="E39" i="14707"/>
  <c r="D59" i="14649"/>
  <c r="C31" i="14677"/>
  <c r="B31" i="14671"/>
  <c r="M46" i="14706"/>
  <c r="M37" i="14667"/>
  <c r="G42" i="14711"/>
  <c r="G47" i="14711" s="1"/>
  <c r="G49" i="14711" s="1"/>
  <c r="M26" i="14706"/>
  <c r="M39" i="14706"/>
  <c r="M47" i="14706" l="1"/>
  <c r="M14" i="14696"/>
  <c r="G84" i="14690"/>
  <c r="C95" i="14649"/>
  <c r="D95" i="14649"/>
  <c r="E95" i="14649" s="1"/>
  <c r="M48" i="14667"/>
  <c r="C33" i="14677"/>
  <c r="C35" i="14677" s="1"/>
  <c r="M46" i="14667"/>
  <c r="C69" i="14648" l="1"/>
  <c r="D105" i="14648"/>
  <c r="C67" i="14648"/>
  <c r="D74" i="14648" l="1"/>
  <c r="D107" i="14648"/>
  <c r="C68" i="14648"/>
  <c r="D72" i="14648"/>
  <c r="C25" i="14671" l="1"/>
  <c r="D10" i="14677"/>
  <c r="D73" i="14648"/>
  <c r="D79" i="14648" s="1"/>
  <c r="D11" i="14677" l="1"/>
  <c r="C26" i="14671"/>
  <c r="C27" i="14671" s="1"/>
  <c r="D16" i="14677"/>
  <c r="C29" i="14671" l="1"/>
  <c r="D29" i="14677"/>
  <c r="D25" i="14677"/>
  <c r="D30" i="14677" s="1"/>
  <c r="C31" i="14671" l="1"/>
  <c r="D31" i="14677"/>
  <c r="D33" i="14677" l="1"/>
  <c r="D35" i="14677" s="1"/>
  <c r="D67" i="14648" l="1"/>
  <c r="D69" i="14648"/>
  <c r="E105" i="14648"/>
  <c r="E72" i="14648" l="1"/>
  <c r="D68" i="14648"/>
  <c r="E74" i="14648"/>
  <c r="E107" i="14648"/>
  <c r="E73" i="14648" l="1"/>
  <c r="E79" i="14648" s="1"/>
  <c r="E10" i="14677"/>
  <c r="D25" i="14671"/>
  <c r="E16" i="14677" l="1"/>
  <c r="D26" i="14671"/>
  <c r="E11" i="14677"/>
  <c r="D27" i="14671"/>
  <c r="E25" i="14677" l="1"/>
  <c r="E30" i="14677" s="1"/>
  <c r="E29" i="14677"/>
  <c r="D29" i="14671"/>
  <c r="E31" i="14677" l="1"/>
  <c r="D31" i="14671"/>
  <c r="E33" i="14677" l="1"/>
  <c r="E35" i="14677" s="1"/>
  <c r="E67" i="14648" l="1"/>
  <c r="E69" i="14648"/>
  <c r="F105" i="14648"/>
  <c r="E68" i="14648" l="1"/>
  <c r="F72" i="14648"/>
  <c r="F74" i="14648"/>
  <c r="F107" i="14648"/>
  <c r="F73" i="14648" l="1"/>
  <c r="F79" i="14648" s="1"/>
  <c r="E25" i="14671"/>
  <c r="F10" i="14677"/>
  <c r="E26" i="14671" l="1"/>
  <c r="E27" i="14671" s="1"/>
  <c r="F16" i="14677"/>
  <c r="F11" i="14677"/>
  <c r="F25" i="14677" l="1"/>
  <c r="F30" i="14677" s="1"/>
  <c r="E29" i="14671"/>
  <c r="F29" i="14677"/>
  <c r="E31" i="14671" l="1"/>
  <c r="F31" i="14677"/>
  <c r="F33" i="14677" l="1"/>
  <c r="F35" i="14677" s="1"/>
  <c r="F67" i="14648" l="1"/>
  <c r="G105" i="14648"/>
  <c r="F69" i="14648"/>
  <c r="G72" i="14648" l="1"/>
  <c r="F68" i="14648"/>
  <c r="G107" i="14648"/>
  <c r="G74" i="14648"/>
  <c r="G73" i="14648" l="1"/>
  <c r="G79" i="14648" s="1"/>
  <c r="F25" i="14671"/>
  <c r="G10" i="14677"/>
  <c r="G16" i="14677" l="1"/>
  <c r="F26" i="14671"/>
  <c r="F27" i="14671" s="1"/>
  <c r="G11" i="14677"/>
  <c r="G25" i="14677" l="1"/>
  <c r="G30" i="14677" s="1"/>
  <c r="F29" i="14671"/>
  <c r="G29" i="14677"/>
  <c r="F31" i="14671" l="1"/>
  <c r="G31" i="14677"/>
  <c r="G33" i="14677" l="1"/>
  <c r="G35" i="14677" s="1"/>
  <c r="G69" i="14648" l="1"/>
  <c r="H105" i="14648"/>
  <c r="G67" i="14648"/>
  <c r="H74" i="14648" l="1"/>
  <c r="H107" i="14648"/>
  <c r="G68" i="14648"/>
  <c r="H72" i="14648"/>
  <c r="G25" i="14671" l="1"/>
  <c r="H10" i="14677"/>
  <c r="H73" i="14648"/>
  <c r="H79" i="14648" s="1"/>
  <c r="H11" i="14677" l="1"/>
  <c r="H16" i="14677"/>
  <c r="G26" i="14671"/>
  <c r="G27" i="14671" s="1"/>
  <c r="G29" i="14671" l="1"/>
  <c r="H29" i="14677"/>
  <c r="H25" i="14677"/>
  <c r="H30" i="14677" s="1"/>
  <c r="G31" i="14671" l="1"/>
  <c r="H31" i="14677"/>
  <c r="H33" i="14677" l="1"/>
  <c r="H35" i="14677" s="1"/>
  <c r="H69" i="14648" l="1"/>
  <c r="I105" i="14648"/>
  <c r="H67" i="14648"/>
  <c r="I74" i="14648" l="1"/>
  <c r="I107" i="14648"/>
  <c r="H68" i="14648"/>
  <c r="I72" i="14648"/>
  <c r="H25" i="14671" l="1"/>
  <c r="I10" i="14677"/>
  <c r="I73" i="14648"/>
  <c r="I79" i="14648" s="1"/>
  <c r="I11" i="14677" l="1"/>
  <c r="H26" i="14671"/>
  <c r="H27" i="14671" s="1"/>
  <c r="I16" i="14677"/>
  <c r="H29" i="14671" l="1"/>
  <c r="I29" i="14677"/>
  <c r="I25" i="14677"/>
  <c r="I30" i="14677" s="1"/>
  <c r="H31" i="14671" l="1"/>
  <c r="I31" i="14677"/>
  <c r="I33" i="14677" l="1"/>
  <c r="I35" i="14677" s="1"/>
  <c r="I69" i="14648" l="1"/>
  <c r="J105" i="14648"/>
  <c r="I67" i="14648"/>
  <c r="J74" i="14648" l="1"/>
  <c r="J107" i="14648"/>
  <c r="I68" i="14648"/>
  <c r="J72" i="14648"/>
  <c r="J10" i="14677" l="1"/>
  <c r="I25" i="14671"/>
  <c r="J73" i="14648"/>
  <c r="J79" i="14648" s="1"/>
  <c r="J11" i="14677" l="1"/>
  <c r="J16" i="14677"/>
  <c r="I26" i="14671"/>
  <c r="I27" i="14671" s="1"/>
  <c r="J29" i="14677" l="1"/>
  <c r="I29" i="14671"/>
  <c r="J25" i="14677"/>
  <c r="J30" i="14677" s="1"/>
  <c r="J31" i="14677" l="1"/>
  <c r="I31" i="14671"/>
  <c r="J33" i="14677" l="1"/>
  <c r="J35" i="14677" s="1"/>
  <c r="J69" i="14648" l="1"/>
  <c r="K105" i="14648"/>
  <c r="J67" i="14648"/>
  <c r="K74" i="14648" l="1"/>
  <c r="K107" i="14648"/>
  <c r="J68" i="14648"/>
  <c r="K72" i="14648"/>
  <c r="J25" i="14671" l="1"/>
  <c r="K10" i="14677"/>
  <c r="K73" i="14648"/>
  <c r="K79" i="14648" s="1"/>
  <c r="K11" i="14677" l="1"/>
  <c r="J26" i="14671"/>
  <c r="J27" i="14671" s="1"/>
  <c r="K16" i="14677"/>
  <c r="J29" i="14671" l="1"/>
  <c r="K29" i="14677"/>
  <c r="K25" i="14677"/>
  <c r="K30" i="14677" s="1"/>
  <c r="J31" i="14671" l="1"/>
  <c r="K31" i="14677"/>
  <c r="K33" i="14677" l="1"/>
  <c r="K35" i="14677" s="1"/>
  <c r="K69" i="14648" l="1"/>
  <c r="L105" i="14648"/>
  <c r="K67" i="14648"/>
  <c r="L74" i="14648" l="1"/>
  <c r="L107" i="14648"/>
  <c r="K68" i="14648"/>
  <c r="L72" i="14648"/>
  <c r="K25" i="14671" l="1"/>
  <c r="L10" i="14677"/>
  <c r="L73" i="14648"/>
  <c r="L79" i="14648" s="1"/>
  <c r="L11" i="14677" l="1"/>
  <c r="L16" i="14677"/>
  <c r="K26" i="14671"/>
  <c r="K27" i="14671" s="1"/>
  <c r="K29" i="14671" l="1"/>
  <c r="L29" i="14677"/>
  <c r="L25" i="14677"/>
  <c r="L30" i="14677" s="1"/>
  <c r="K31" i="14671" l="1"/>
  <c r="L31" i="14677"/>
  <c r="L33" i="14677" l="1"/>
  <c r="L35" i="14677" s="1"/>
  <c r="L69" i="14648" l="1"/>
  <c r="M105" i="14648"/>
  <c r="L67" i="14648"/>
  <c r="M74" i="14648" l="1"/>
  <c r="M107" i="14648"/>
  <c r="L68" i="14648"/>
  <c r="M72" i="14648"/>
  <c r="M10" i="14677" l="1"/>
  <c r="L25" i="14671"/>
  <c r="M73" i="14648"/>
  <c r="M79" i="14648" s="1"/>
  <c r="M11" i="14677" l="1"/>
  <c r="M16" i="14677"/>
  <c r="L26" i="14671"/>
  <c r="L27" i="14671" s="1"/>
  <c r="M29" i="14677" l="1"/>
  <c r="L29" i="14671"/>
  <c r="M25" i="14677"/>
  <c r="M30" i="14677" s="1"/>
  <c r="M31" i="14677" l="1"/>
  <c r="L31" i="14671"/>
  <c r="M33" i="14677" l="1"/>
  <c r="M35" i="14677" s="1"/>
  <c r="M67" i="14648" l="1"/>
  <c r="M69" i="14648"/>
  <c r="N105" i="14648"/>
  <c r="M68" i="14648" l="1"/>
  <c r="N72" i="14648"/>
  <c r="N74" i="14648"/>
  <c r="O74" i="14648" s="1"/>
  <c r="O105" i="14648"/>
  <c r="O107" i="14648" s="1"/>
  <c r="N107" i="14648"/>
  <c r="N73" i="14648" l="1"/>
  <c r="O72" i="14648"/>
  <c r="N10" i="14677"/>
  <c r="M25" i="14671"/>
  <c r="O10" i="14677" l="1"/>
  <c r="G9" i="14684" s="1"/>
  <c r="G10" i="14684" s="1"/>
  <c r="N11" i="14677"/>
  <c r="N25" i="14671"/>
  <c r="O73" i="14648"/>
  <c r="O79" i="14648" s="1"/>
  <c r="N79" i="14648"/>
  <c r="O11" i="14677" l="1"/>
  <c r="N29" i="14677"/>
  <c r="M26" i="14671"/>
  <c r="N16" i="14677"/>
  <c r="O29" i="14677" l="1"/>
  <c r="M27" i="14671"/>
  <c r="N26" i="14671"/>
  <c r="M25" i="14617" s="1" a="1"/>
  <c r="O16" i="14677"/>
  <c r="N25" i="14677"/>
  <c r="N30" i="14677" s="1"/>
  <c r="M29" i="14671" l="1"/>
  <c r="N27" i="14671"/>
  <c r="M26" i="14617"/>
  <c r="M25" i="14617"/>
  <c r="G15" i="14684"/>
  <c r="G22" i="14684" s="1"/>
  <c r="G25" i="14684" s="1"/>
  <c r="O25" i="14677"/>
  <c r="O30" i="14677"/>
  <c r="O31" i="14677" s="1"/>
  <c r="N31" i="14677"/>
  <c r="M31" i="14671" l="1"/>
  <c r="N29" i="14671"/>
  <c r="M29" i="14617" s="1"/>
  <c r="O26" i="14617"/>
  <c r="H43" i="14711"/>
  <c r="M27" i="14617"/>
  <c r="N25" i="14617" s="1" a="1"/>
  <c r="N33" i="14677"/>
  <c r="N35" i="14677" s="1"/>
  <c r="M7" i="14659" l="1"/>
  <c r="C78" i="14649"/>
  <c r="N29" i="14617"/>
  <c r="M9" i="14659"/>
  <c r="M11" i="14659"/>
  <c r="O29" i="14617"/>
  <c r="N27" i="14617"/>
  <c r="N25" i="14617"/>
  <c r="N26" i="14617"/>
  <c r="O27" i="14617"/>
  <c r="G8" i="14696"/>
  <c r="H12" i="14643"/>
  <c r="F41" i="14649"/>
  <c r="F72" i="14707" s="1"/>
  <c r="G36" i="4128"/>
  <c r="N39" i="14667"/>
  <c r="N28" i="14706"/>
  <c r="N67" i="14648"/>
  <c r="C39" i="14677"/>
  <c r="G33" i="14684"/>
  <c r="G27" i="14684"/>
  <c r="C40" i="14677"/>
  <c r="N22" i="14667"/>
  <c r="N69" i="14648"/>
  <c r="O69" i="14648" s="1"/>
  <c r="N6" i="14706"/>
  <c r="C41" i="14677"/>
  <c r="B67" i="14684" a="1"/>
  <c r="O9" i="14659" l="1"/>
  <c r="N9" i="14659"/>
  <c r="M12" i="14659"/>
  <c r="M13" i="14659" s="1"/>
  <c r="N13" i="14659"/>
  <c r="N12" i="14659"/>
  <c r="N11" i="14659"/>
  <c r="H27" i="14643"/>
  <c r="H18" i="14643"/>
  <c r="O67" i="14648"/>
  <c r="G27" i="4128" s="1"/>
  <c r="N68" i="14648"/>
  <c r="O68" i="14648" s="1"/>
  <c r="H27" i="14690"/>
  <c r="D39" i="14677"/>
  <c r="G35" i="14684" s="1"/>
  <c r="C87" i="14649"/>
  <c r="D87" i="14649"/>
  <c r="E87" i="14649" s="1"/>
  <c r="G34" i="14684"/>
  <c r="M20" i="14686" s="1"/>
  <c r="G37" i="4128"/>
  <c r="V62" i="4128" s="1"/>
  <c r="F44" i="14649"/>
  <c r="N13" i="14667"/>
  <c r="N5" i="14706"/>
  <c r="G29" i="14684"/>
  <c r="D41" i="14677"/>
  <c r="G30" i="14684" s="1"/>
  <c r="F67" i="14684"/>
  <c r="BB78" i="14684" s="1"/>
  <c r="B67" i="14684"/>
  <c r="AX78" i="14684" s="1"/>
  <c r="E67" i="14684"/>
  <c r="BA78" i="14684" s="1"/>
  <c r="K67" i="14684"/>
  <c r="BG78" i="14684" s="1"/>
  <c r="D67" i="14684"/>
  <c r="AZ78" i="14684" s="1"/>
  <c r="C67" i="14684"/>
  <c r="AY78" i="14684" s="1"/>
  <c r="J67" i="14684"/>
  <c r="BF78" i="14684" s="1"/>
  <c r="I67" i="14684"/>
  <c r="BE78" i="14684" s="1"/>
  <c r="H67" i="14684"/>
  <c r="BD78" i="14684" s="1"/>
  <c r="M67" i="14684"/>
  <c r="BI78" i="14684" s="1"/>
  <c r="L67" i="14684"/>
  <c r="BH78" i="14684" s="1"/>
  <c r="G67" i="14684"/>
  <c r="BC78" i="14684" s="1"/>
  <c r="M15" i="14659" l="1"/>
  <c r="M25" i="14659"/>
  <c r="H28" i="14643"/>
  <c r="F48" i="14707" s="1"/>
  <c r="F29" i="14709"/>
  <c r="F47" i="14707"/>
  <c r="H32" i="14643"/>
  <c r="H35" i="14643" s="1"/>
  <c r="I35" i="14643" s="1"/>
  <c r="I27" i="14690"/>
  <c r="I53" i="14690" s="1"/>
  <c r="H53" i="14690"/>
  <c r="F48" i="14622"/>
  <c r="V63" i="4128"/>
  <c r="W62" i="4128"/>
  <c r="F75" i="14707"/>
  <c r="F30" i="14709"/>
  <c r="E60" i="14649"/>
  <c r="G15" i="4128"/>
  <c r="N24" i="14667"/>
  <c r="N24" i="14706"/>
  <c r="O5" i="14706" s="1"/>
  <c r="M24" i="14659" l="1"/>
  <c r="N30" i="14667"/>
  <c r="N43" i="14706"/>
  <c r="N42" i="14667"/>
  <c r="N15" i="14659"/>
  <c r="N31" i="14706"/>
  <c r="M23" i="14659"/>
  <c r="N23" i="14659" s="1"/>
  <c r="M31" i="14617"/>
  <c r="M32" i="14659"/>
  <c r="N25" i="14659"/>
  <c r="M31" i="14659"/>
  <c r="G48" i="14622"/>
  <c r="G84" i="14689"/>
  <c r="G86" i="14689" s="1"/>
  <c r="X62" i="4128"/>
  <c r="W63" i="4128"/>
  <c r="O22" i="14667"/>
  <c r="G6" i="4128"/>
  <c r="F50" i="14649" s="1"/>
  <c r="O20" i="14667"/>
  <c r="O5" i="14667"/>
  <c r="O24" i="14667" s="1"/>
  <c r="G14" i="4128"/>
  <c r="O8" i="14667"/>
  <c r="O16" i="14667"/>
  <c r="H25" i="14711"/>
  <c r="O7" i="14667"/>
  <c r="O9" i="14667"/>
  <c r="O21" i="14667"/>
  <c r="O17" i="14667"/>
  <c r="O11" i="14667"/>
  <c r="O6" i="14667"/>
  <c r="O14" i="14667"/>
  <c r="O19" i="14667"/>
  <c r="O15" i="14667"/>
  <c r="H23" i="14711"/>
  <c r="O18" i="14667"/>
  <c r="O6" i="14706"/>
  <c r="O8" i="14706"/>
  <c r="O12" i="14706"/>
  <c r="O21" i="14706"/>
  <c r="O10" i="14706"/>
  <c r="O16" i="14706"/>
  <c r="O24" i="14706" s="1"/>
  <c r="O9" i="14706"/>
  <c r="O22" i="14706"/>
  <c r="O13" i="14706"/>
  <c r="O19" i="14706"/>
  <c r="O11" i="14706"/>
  <c r="O17" i="14706"/>
  <c r="O20" i="14706"/>
  <c r="O14" i="14706"/>
  <c r="O7" i="14706"/>
  <c r="O13" i="14667"/>
  <c r="H21" i="14711"/>
  <c r="N24" i="14659" l="1"/>
  <c r="G8" i="4128"/>
  <c r="C60" i="4128"/>
  <c r="B28" i="14649" s="1"/>
  <c r="D60" i="4128"/>
  <c r="O24" i="14659"/>
  <c r="G7" i="14696"/>
  <c r="N26" i="14667"/>
  <c r="G4" i="4128" s="1"/>
  <c r="F49" i="14649" s="1"/>
  <c r="N39" i="14706"/>
  <c r="N37" i="14667"/>
  <c r="N26" i="14706"/>
  <c r="M33" i="14617"/>
  <c r="N31" i="14617"/>
  <c r="N32" i="14659"/>
  <c r="G41" i="4128"/>
  <c r="H22" i="14711"/>
  <c r="H28" i="14711" s="1"/>
  <c r="H30" i="14711" s="1"/>
  <c r="N31" i="14659"/>
  <c r="X63" i="4128"/>
  <c r="Y62" i="4128"/>
  <c r="F38" i="14709"/>
  <c r="F81" i="14707"/>
  <c r="F80" i="14707" l="1"/>
  <c r="F37" i="14709"/>
  <c r="B58" i="14709"/>
  <c r="G14" i="14696"/>
  <c r="F41" i="14709"/>
  <c r="G21" i="4128"/>
  <c r="F60" i="14649"/>
  <c r="B53" i="14709"/>
  <c r="N46" i="14667"/>
  <c r="H42" i="14711" s="1"/>
  <c r="O50" i="14667"/>
  <c r="H7" i="14711"/>
  <c r="N44" i="14667"/>
  <c r="N47" i="14706"/>
  <c r="O51" i="14706"/>
  <c r="N45" i="14706"/>
  <c r="G31" i="4128"/>
  <c r="H6" i="14711"/>
  <c r="H41" i="14711"/>
  <c r="G19" i="4128"/>
  <c r="N45" i="14667"/>
  <c r="B52" i="14709"/>
  <c r="B51" i="14709" s="1"/>
  <c r="H45" i="14711"/>
  <c r="G18" i="4128"/>
  <c r="N46" i="14706"/>
  <c r="H8" i="14711"/>
  <c r="F43" i="14649"/>
  <c r="G26" i="4128"/>
  <c r="H10" i="14711"/>
  <c r="M18" i="14686"/>
  <c r="H9" i="14711"/>
  <c r="N33" i="14617"/>
  <c r="O33" i="14617"/>
  <c r="Z62" i="4128"/>
  <c r="Y63" i="4128"/>
  <c r="G29" i="14696" l="1"/>
  <c r="L15" i="14696"/>
  <c r="F42" i="14709"/>
  <c r="F43" i="14709" s="1"/>
  <c r="G30" i="14696"/>
  <c r="B55" i="14709" s="1"/>
  <c r="G16" i="14696"/>
  <c r="G19" i="14696" s="1"/>
  <c r="O42" i="14667"/>
  <c r="O30" i="14667"/>
  <c r="O39" i="14667"/>
  <c r="O28" i="14667"/>
  <c r="O34" i="14667"/>
  <c r="O29" i="14667"/>
  <c r="O35" i="14667"/>
  <c r="O27" i="14667"/>
  <c r="O33" i="14667"/>
  <c r="N53" i="14667"/>
  <c r="O38" i="14667"/>
  <c r="O41" i="14667"/>
  <c r="O32" i="14667"/>
  <c r="O43" i="14667"/>
  <c r="O40" i="14667"/>
  <c r="N48" i="14667"/>
  <c r="G10" i="4128"/>
  <c r="O44" i="14667"/>
  <c r="G22" i="4128"/>
  <c r="O31" i="14706"/>
  <c r="O43" i="14706"/>
  <c r="O28" i="14706"/>
  <c r="O41" i="14706"/>
  <c r="O42" i="14706"/>
  <c r="O40" i="14706"/>
  <c r="O32" i="14706"/>
  <c r="O36" i="14706"/>
  <c r="O29" i="14706"/>
  <c r="O27" i="14706"/>
  <c r="O35" i="14706"/>
  <c r="O34" i="14706"/>
  <c r="O30" i="14706"/>
  <c r="N54" i="14706"/>
  <c r="O37" i="14706"/>
  <c r="O45" i="14706"/>
  <c r="N49" i="14706"/>
  <c r="O49" i="14706" s="1"/>
  <c r="G43" i="4128"/>
  <c r="G25" i="4128"/>
  <c r="G42" i="4128"/>
  <c r="G20" i="4128"/>
  <c r="O45" i="14667"/>
  <c r="F74" i="14707"/>
  <c r="D60" i="14649"/>
  <c r="F39" i="14707"/>
  <c r="Z63" i="4128"/>
  <c r="AA62" i="4128"/>
  <c r="H47" i="14711"/>
  <c r="H49" i="14711" s="1"/>
  <c r="O46" i="14706"/>
  <c r="O26" i="14667"/>
  <c r="O37" i="14667"/>
  <c r="O39" i="14706"/>
  <c r="O26" i="14706"/>
  <c r="G25" i="14696" l="1"/>
  <c r="O47" i="14706"/>
  <c r="B50" i="14709"/>
  <c r="B54" i="14709"/>
  <c r="G31" i="14696"/>
  <c r="L16" i="14696"/>
  <c r="M15" i="14696"/>
  <c r="O11" i="14696" s="1"/>
  <c r="B57" i="14709"/>
  <c r="B30" i="14649"/>
  <c r="C96" i="14649"/>
  <c r="H84" i="14690"/>
  <c r="I84" i="14690" s="1"/>
  <c r="D96" i="14649"/>
  <c r="E96" i="14649" s="1"/>
  <c r="O48" i="14667"/>
  <c r="AA63" i="4128"/>
  <c r="AB62" i="4128"/>
  <c r="O46" i="14667"/>
  <c r="G32" i="14696" l="1"/>
  <c r="B31" i="14649"/>
  <c r="L17" i="14696"/>
  <c r="M16" i="14696"/>
  <c r="AC62" i="4128"/>
  <c r="AB63" i="4128"/>
  <c r="L18" i="14696" l="1"/>
  <c r="M17" i="14696"/>
  <c r="AD62" i="4128"/>
  <c r="AC63" i="4128"/>
  <c r="L19" i="14696" l="1"/>
  <c r="M18" i="14696"/>
  <c r="AE62" i="4128"/>
  <c r="AD63" i="4128"/>
  <c r="M19" i="14696" l="1"/>
  <c r="L20" i="14696"/>
  <c r="AF62" i="4128"/>
  <c r="AE63" i="4128"/>
  <c r="M20" i="14696" l="1"/>
  <c r="L21" i="14696"/>
  <c r="AF63" i="4128"/>
  <c r="AG62" i="4128"/>
  <c r="M21" i="14696" l="1"/>
  <c r="L22" i="14696"/>
  <c r="AG63" i="4128"/>
  <c r="AH62" i="4128"/>
  <c r="L23" i="14696" l="1"/>
  <c r="M22" i="14696"/>
  <c r="AH63" i="4128"/>
  <c r="AI62" i="4128"/>
  <c r="L24" i="14696" l="1"/>
  <c r="M23" i="14696"/>
  <c r="AJ62" i="4128"/>
  <c r="AI63" i="4128"/>
  <c r="L25" i="14696" l="1"/>
  <c r="M24" i="14696"/>
  <c r="AJ63" i="4128"/>
  <c r="AK62" i="4128"/>
  <c r="M25" i="14696" l="1"/>
  <c r="L26" i="14696"/>
  <c r="AL62" i="4128"/>
  <c r="AK63" i="4128"/>
  <c r="M26" i="14696" l="1"/>
  <c r="L27" i="14696"/>
  <c r="AM62" i="4128"/>
  <c r="AL63" i="4128"/>
  <c r="M27" i="14696" l="1"/>
  <c r="L28" i="14696"/>
  <c r="AN62" i="4128"/>
  <c r="AM63" i="4128"/>
  <c r="L29" i="14696" l="1"/>
  <c r="M28" i="14696"/>
  <c r="AN63" i="4128"/>
  <c r="AO62" i="4128"/>
  <c r="L30" i="14696" l="1"/>
  <c r="M29" i="14696"/>
  <c r="AP62" i="4128"/>
  <c r="AO63" i="4128"/>
  <c r="L31" i="14696" l="1"/>
  <c r="M30" i="14696"/>
  <c r="AQ62" i="4128"/>
  <c r="AP63" i="4128"/>
  <c r="L32" i="14696" l="1"/>
  <c r="M31" i="14696"/>
  <c r="AR62" i="4128"/>
  <c r="AQ63" i="4128"/>
  <c r="L33" i="14696" l="1"/>
  <c r="M32" i="14696"/>
  <c r="AS62" i="4128"/>
  <c r="AR63" i="4128"/>
  <c r="L34" i="14696" l="1"/>
  <c r="M33" i="14696"/>
  <c r="AT62" i="4128"/>
  <c r="AT63" i="4128" s="1"/>
  <c r="R68" i="4128" s="1"/>
  <c r="AS63" i="4128"/>
  <c r="L35" i="14696" l="1"/>
  <c r="M34" i="14696"/>
  <c r="L36" i="14696" l="1"/>
  <c r="M35" i="14696"/>
  <c r="M36" i="14696" l="1"/>
  <c r="L37" i="14696"/>
  <c r="L38" i="14696" l="1"/>
  <c r="M37" i="14696"/>
  <c r="L39" i="14696" l="1"/>
  <c r="M38" i="14696"/>
  <c r="M39" i="14696" l="1"/>
  <c r="L40" i="14696"/>
  <c r="M40" i="14696" l="1"/>
  <c r="L41" i="14696"/>
  <c r="M41" i="14696" l="1"/>
  <c r="L42" i="14696"/>
  <c r="L43" i="14696" l="1"/>
  <c r="M42" i="14696"/>
  <c r="M43" i="14696" l="1"/>
  <c r="L44" i="14696"/>
  <c r="M44" i="14696" l="1"/>
  <c r="L45" i="14696"/>
  <c r="L46" i="14696" l="1"/>
  <c r="M45" i="14696"/>
  <c r="L47" i="14696" l="1"/>
  <c r="M46" i="14696"/>
  <c r="M47" i="14696" l="1"/>
  <c r="L48" i="14696"/>
  <c r="M48" i="14696" l="1"/>
  <c r="L49" i="14696"/>
  <c r="M49" i="14696" l="1"/>
  <c r="L50" i="14696"/>
  <c r="M50" i="14696" l="1"/>
  <c r="L51" i="14696"/>
  <c r="L52" i="14696" l="1"/>
  <c r="M51" i="14696"/>
  <c r="L53" i="14696" l="1"/>
  <c r="M52" i="14696"/>
  <c r="M53" i="14696" l="1"/>
  <c r="L54" i="14696"/>
  <c r="L55" i="14696" l="1"/>
  <c r="M54" i="14696"/>
  <c r="L56" i="14696" l="1"/>
  <c r="M55" i="14696"/>
  <c r="L57" i="14696" l="1"/>
  <c r="M56" i="14696"/>
  <c r="M57" i="14696" l="1"/>
  <c r="L58" i="14696"/>
  <c r="L59" i="14696" l="1"/>
  <c r="M58" i="14696"/>
  <c r="G23" i="14696" l="1"/>
  <c r="B35" i="14649" s="1"/>
  <c r="G21" i="14696"/>
  <c r="M59" i="14696"/>
  <c r="L60" i="14696"/>
  <c r="M60" i="14696" s="1"/>
  <c r="B56" i="14709" l="1"/>
  <c r="B34" i="146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M26" authorId="0" shapeId="0" xr:uid="{00000000-0006-0000-0000-000001000000}">
      <text>
        <r>
          <rPr>
            <b/>
            <sz val="10"/>
            <color indexed="81"/>
            <rFont val="Tahoma"/>
            <family val="2"/>
          </rPr>
          <t>Miguel:</t>
        </r>
        <r>
          <rPr>
            <sz val="10"/>
            <color indexed="81"/>
            <rFont val="Tahoma"/>
            <family val="2"/>
          </rPr>
          <t xml:space="preserve">
   Solo si se definen políticas diferenciadas por años o por familias de ventas (o ambos criterios), sino basta con los criterios generales definidos en lahohja de </t>
        </r>
        <r>
          <rPr>
            <b/>
            <sz val="10"/>
            <color indexed="81"/>
            <rFont val="Tahoma"/>
            <family val="2"/>
          </rPr>
          <t>Parametros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D33" authorId="0" shapeId="0" xr:uid="{00000000-0006-0000-0F00-000001000000}">
      <text>
        <r>
          <rPr>
            <b/>
            <sz val="11"/>
            <color indexed="81"/>
            <rFont val="Tahoma"/>
            <family val="2"/>
          </rPr>
          <t>Miguel:</t>
        </r>
        <r>
          <rPr>
            <sz val="11"/>
            <color indexed="81"/>
            <rFont val="Tahoma"/>
            <family val="2"/>
          </rPr>
          <t xml:space="preserve">
Meses sem cobrar para os sócios gestores ao inicio da atividade para facilitar excepcionalmente as tesourarías dos primeiros meses.</t>
        </r>
      </text>
    </comment>
    <comment ref="D34" authorId="0" shapeId="0" xr:uid="{00000000-0006-0000-0F00-000002000000}">
      <text>
        <r>
          <rPr>
            <b/>
            <sz val="11"/>
            <color indexed="81"/>
            <rFont val="Tahoma"/>
            <family val="2"/>
          </rPr>
          <t>Miguel:</t>
        </r>
        <r>
          <rPr>
            <sz val="11"/>
            <color indexed="81"/>
            <rFont val="Tahoma"/>
            <family val="2"/>
          </rPr>
          <t xml:space="preserve">
Meses sem cobrar para os sócios gestores ao inicio da atividade para facilitar excepcionalmente as tesourarías dos primeiros meses.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M Vicenta Perez Silvestre</author>
    <author>alejandro magnet</author>
  </authors>
  <commentList>
    <comment ref="E7" authorId="0" shapeId="0" xr:uid="{00000000-0006-0000-1000-000001000000}">
      <text>
        <r>
          <rPr>
            <b/>
            <sz val="9"/>
            <color indexed="81"/>
            <rFont val="Tahoma"/>
            <family val="2"/>
          </rPr>
          <t>Miguel Martinez:</t>
        </r>
        <r>
          <rPr>
            <sz val="9"/>
            <color indexed="81"/>
            <rFont val="Tahoma"/>
            <family val="2"/>
          </rPr>
          <t xml:space="preserve">
É calculado como o % sobre as vendas anuais e depois é repartido nos pagos anuais correspondentes.
</t>
        </r>
      </text>
    </comment>
    <comment ref="E8" authorId="0" shapeId="0" xr:uid="{694B94D6-8099-4B80-8277-39A774BEE0A4}">
      <text>
        <r>
          <rPr>
            <b/>
            <sz val="9"/>
            <color indexed="81"/>
            <rFont val="Tahoma"/>
            <family val="2"/>
          </rPr>
          <t>Miguel Martinez:</t>
        </r>
        <r>
          <rPr>
            <sz val="9"/>
            <color indexed="81"/>
            <rFont val="Tahoma"/>
            <family val="2"/>
          </rPr>
          <t xml:space="preserve">
É calculado como o % sobre as vendas anuais e depois é repartido nos pagos anuais correspondentes.
</t>
        </r>
      </text>
    </comment>
    <comment ref="F19" authorId="1" shapeId="0" xr:uid="{00000000-0006-0000-1000-000003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H19" authorId="1" shapeId="0" xr:uid="{00000000-0006-0000-1000-000004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J19" authorId="1" shapeId="0" xr:uid="{00000000-0006-0000-1000-000005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L19" authorId="1" shapeId="0" xr:uid="{00000000-0006-0000-1000-000006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N19" authorId="1" shapeId="0" xr:uid="{00000000-0006-0000-1000-000007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D20" authorId="2" shapeId="0" xr:uid="{00000000-0006-0000-1000-000008000000}">
      <text>
        <r>
          <rPr>
            <sz val="11"/>
            <color indexed="81"/>
            <rFont val="Tahoma"/>
            <family val="2"/>
          </rPr>
          <t>CAC (Custo de Adquisião por Cliente): ou custo meio de incorporar cada novo cliente .
CAC =   Custo Mk e Comunicação total dum período / nº Clientes novos adquiridos nesse período</t>
        </r>
      </text>
    </comment>
    <comment ref="D22" authorId="2" shapeId="0" xr:uid="{00000000-0006-0000-1000-000009000000}">
      <text>
        <r>
          <rPr>
            <sz val="11"/>
            <color indexed="81"/>
            <rFont val="Tahoma"/>
            <family val="2"/>
          </rPr>
          <t>Preço de Venda Promeio (TP) = (Receita Anual / Nº Uds Vendidas no Ano)</t>
        </r>
      </text>
    </comment>
    <comment ref="C26" authorId="2" shapeId="0" xr:uid="{00000000-0006-0000-1000-00000A000000}">
      <text>
        <r>
          <rPr>
            <sz val="10"/>
            <color indexed="81"/>
            <rFont val="Tahoma"/>
            <family val="2"/>
          </rPr>
          <t>Número de Recurrência na Compra que têm os Clientes, o que quer dizer o nº de vezes em meia que compran os clientes.
La Recurrência depende de cada negócio e pode diferir dum para outro.</t>
        </r>
      </text>
    </comment>
    <comment ref="F26" authorId="3" shapeId="0" xr:uid="{00000000-0006-0000-1000-00000B000000}">
      <text>
        <r>
          <rPr>
            <sz val="9"/>
            <color indexed="81"/>
            <rFont val="Tahoma"/>
            <family val="2"/>
          </rPr>
          <t>Reflejar el número de recurrencia de venta por cliente
Este número dependera del tipo de negocio.</t>
        </r>
      </text>
    </comment>
    <comment ref="C27" authorId="2" shapeId="0" xr:uid="{00000000-0006-0000-1000-00000C000000}">
      <text>
        <r>
          <rPr>
            <sz val="9"/>
            <color indexed="81"/>
            <rFont val="Tahoma"/>
            <family val="2"/>
          </rPr>
          <t xml:space="preserve">Anos que é esperável que qualquer cliente tenha relação comercial com a nosa empresa.
</t>
        </r>
      </text>
    </comment>
    <comment ref="F27" authorId="3" shapeId="0" xr:uid="{00000000-0006-0000-1000-00000D000000}">
      <text>
        <r>
          <rPr>
            <sz val="9"/>
            <color indexed="81"/>
            <rFont val="Tahoma"/>
            <family val="2"/>
          </rPr>
          <t>Indicar o número de anos que qualquer cliente vai ter relação com a nosa empresa.</t>
        </r>
      </text>
    </comment>
    <comment ref="D30" authorId="2" shapeId="0" xr:uid="{00000000-0006-0000-1000-00000E000000}">
      <text>
        <r>
          <rPr>
            <sz val="11"/>
            <color indexed="81"/>
            <rFont val="Tahoma"/>
            <family val="2"/>
          </rPr>
          <t>LTV (Life Time Value) (Valor dum Cliente na sua vida útil): o benefício dum cliente perante a relação com a empresa.
Fórmula: Preço Venda Promeio (TP), por as vezes que compra (RA), por o número de anos de relação com a empresa (VC), e por o % de Márgem Bruto (MB)</t>
        </r>
      </text>
    </comment>
    <comment ref="F30" authorId="2" shapeId="0" xr:uid="{00000000-0006-0000-1000-00000F000000}">
      <text>
        <r>
          <rPr>
            <b/>
            <sz val="10"/>
            <color indexed="81"/>
            <rFont val="Tahoma"/>
            <family val="2"/>
          </rPr>
          <t xml:space="preserve">¡ Atenção ¡ 
</t>
        </r>
        <r>
          <rPr>
            <sz val="10"/>
            <color indexed="81"/>
            <rFont val="Tahoma"/>
            <family val="2"/>
          </rPr>
          <t>Para que este dato seja sinificativo,</t>
        </r>
        <r>
          <rPr>
            <b/>
            <sz val="10"/>
            <color indexed="81"/>
            <rFont val="Tahoma"/>
            <family val="2"/>
          </rPr>
          <t xml:space="preserve"> as</t>
        </r>
        <r>
          <rPr>
            <sz val="10"/>
            <color indexed="81"/>
            <rFont val="Tahoma"/>
            <family val="2"/>
          </rPr>
          <t xml:space="preserve"> </t>
        </r>
        <r>
          <rPr>
            <b/>
            <sz val="10"/>
            <color indexed="81"/>
            <rFont val="Tahoma"/>
            <family val="2"/>
          </rPr>
          <t>medidas de referência  para todas as familias de produtos ou serviços, deben estar determinadas em unidades físicas e ser homogéneas</t>
        </r>
        <r>
          <rPr>
            <sz val="10"/>
            <color indexed="81"/>
            <rFont val="Tahoma"/>
            <family val="2"/>
          </rPr>
          <t>.</t>
        </r>
      </text>
    </comment>
    <comment ref="H30" authorId="2" shapeId="0" xr:uid="{00000000-0006-0000-1000-000010000000}">
      <text>
        <r>
          <rPr>
            <b/>
            <sz val="10"/>
            <color indexed="81"/>
            <rFont val="Tahoma"/>
            <family val="2"/>
          </rPr>
          <t xml:space="preserve">¡ Atenção ¡ 
</t>
        </r>
        <r>
          <rPr>
            <sz val="10"/>
            <color indexed="81"/>
            <rFont val="Tahoma"/>
            <family val="2"/>
          </rPr>
          <t>Para que este dato seja sinificativo,</t>
        </r>
        <r>
          <rPr>
            <b/>
            <sz val="10"/>
            <color indexed="81"/>
            <rFont val="Tahoma"/>
            <family val="2"/>
          </rPr>
          <t xml:space="preserve"> as</t>
        </r>
        <r>
          <rPr>
            <sz val="10"/>
            <color indexed="81"/>
            <rFont val="Tahoma"/>
            <family val="2"/>
          </rPr>
          <t xml:space="preserve"> </t>
        </r>
        <r>
          <rPr>
            <b/>
            <sz val="10"/>
            <color indexed="81"/>
            <rFont val="Tahoma"/>
            <family val="2"/>
          </rPr>
          <t>medidas de referência  para todas as familias de produtos ou serviços, deben estar determinadas em unidades físicas e ser homogéneas</t>
        </r>
        <r>
          <rPr>
            <sz val="10"/>
            <color indexed="81"/>
            <rFont val="Tahoma"/>
            <family val="2"/>
          </rPr>
          <t>.</t>
        </r>
      </text>
    </comment>
    <comment ref="J30" authorId="2" shapeId="0" xr:uid="{00000000-0006-0000-1000-000011000000}">
      <text>
        <r>
          <rPr>
            <b/>
            <sz val="10"/>
            <color indexed="81"/>
            <rFont val="Tahoma"/>
            <family val="2"/>
          </rPr>
          <t xml:space="preserve">¡ Atenção ¡ 
</t>
        </r>
        <r>
          <rPr>
            <sz val="10"/>
            <color indexed="81"/>
            <rFont val="Tahoma"/>
            <family val="2"/>
          </rPr>
          <t>Para que este dato seja sinificativo,</t>
        </r>
        <r>
          <rPr>
            <b/>
            <sz val="10"/>
            <color indexed="81"/>
            <rFont val="Tahoma"/>
            <family val="2"/>
          </rPr>
          <t xml:space="preserve"> as</t>
        </r>
        <r>
          <rPr>
            <sz val="10"/>
            <color indexed="81"/>
            <rFont val="Tahoma"/>
            <family val="2"/>
          </rPr>
          <t xml:space="preserve"> </t>
        </r>
        <r>
          <rPr>
            <b/>
            <sz val="10"/>
            <color indexed="81"/>
            <rFont val="Tahoma"/>
            <family val="2"/>
          </rPr>
          <t>medidas de referência  para todas as familias de produtos ou serviços, deben estar determinadas em unidades físicas e ser homogéneas</t>
        </r>
        <r>
          <rPr>
            <sz val="10"/>
            <color indexed="81"/>
            <rFont val="Tahoma"/>
            <family val="2"/>
          </rPr>
          <t>.</t>
        </r>
      </text>
    </comment>
    <comment ref="L30" authorId="2" shapeId="0" xr:uid="{00000000-0006-0000-1000-000012000000}">
      <text>
        <r>
          <rPr>
            <b/>
            <sz val="10"/>
            <color indexed="81"/>
            <rFont val="Tahoma"/>
            <family val="2"/>
          </rPr>
          <t xml:space="preserve">¡ Atenção ¡ 
</t>
        </r>
        <r>
          <rPr>
            <sz val="10"/>
            <color indexed="81"/>
            <rFont val="Tahoma"/>
            <family val="2"/>
          </rPr>
          <t>Para que este dato seja sinificativo,</t>
        </r>
        <r>
          <rPr>
            <b/>
            <sz val="10"/>
            <color indexed="81"/>
            <rFont val="Tahoma"/>
            <family val="2"/>
          </rPr>
          <t xml:space="preserve"> as</t>
        </r>
        <r>
          <rPr>
            <sz val="10"/>
            <color indexed="81"/>
            <rFont val="Tahoma"/>
            <family val="2"/>
          </rPr>
          <t xml:space="preserve"> </t>
        </r>
        <r>
          <rPr>
            <b/>
            <sz val="10"/>
            <color indexed="81"/>
            <rFont val="Tahoma"/>
            <family val="2"/>
          </rPr>
          <t>medidas de referência  para todas as familias de produtos ou serviços, deben estar determinadas em unidades físicas e ser homogéneas</t>
        </r>
        <r>
          <rPr>
            <sz val="10"/>
            <color indexed="81"/>
            <rFont val="Tahoma"/>
            <family val="2"/>
          </rPr>
          <t>.</t>
        </r>
      </text>
    </comment>
    <comment ref="N30" authorId="2" shapeId="0" xr:uid="{00000000-0006-0000-1000-000013000000}">
      <text>
        <r>
          <rPr>
            <b/>
            <sz val="10"/>
            <color indexed="81"/>
            <rFont val="Tahoma"/>
            <family val="2"/>
          </rPr>
          <t xml:space="preserve">¡ Atenção ¡ 
</t>
        </r>
        <r>
          <rPr>
            <sz val="10"/>
            <color indexed="81"/>
            <rFont val="Tahoma"/>
            <family val="2"/>
          </rPr>
          <t>Para que este dato seja sinificativo,</t>
        </r>
        <r>
          <rPr>
            <b/>
            <sz val="10"/>
            <color indexed="81"/>
            <rFont val="Tahoma"/>
            <family val="2"/>
          </rPr>
          <t xml:space="preserve"> as</t>
        </r>
        <r>
          <rPr>
            <sz val="10"/>
            <color indexed="81"/>
            <rFont val="Tahoma"/>
            <family val="2"/>
          </rPr>
          <t xml:space="preserve"> </t>
        </r>
        <r>
          <rPr>
            <b/>
            <sz val="10"/>
            <color indexed="81"/>
            <rFont val="Tahoma"/>
            <family val="2"/>
          </rPr>
          <t>medidas de referência  para todas as familias de produtos ou serviços, deben estar determinadas em unidades físicas e ser homogéneas</t>
        </r>
        <r>
          <rPr>
            <sz val="10"/>
            <color indexed="81"/>
            <rFont val="Tahoma"/>
            <family val="2"/>
          </rPr>
          <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Miguel Martinez</author>
    <author>Homologacion</author>
    <author>Miguel</author>
    <author>Miguel Martínez</author>
    <author>Abderraman 6.327</author>
  </authors>
  <commentList>
    <comment ref="U5" authorId="0" shapeId="0" xr:uid="{00000000-0006-0000-1100-000001000000}">
      <text>
        <r>
          <rPr>
            <b/>
            <sz val="9"/>
            <color indexed="81"/>
            <rFont val="Tahoma"/>
            <family val="2"/>
          </rPr>
          <t>Miguel Martinez:</t>
        </r>
        <r>
          <rPr>
            <sz val="9"/>
            <color indexed="81"/>
            <rFont val="Tahoma"/>
            <family val="2"/>
          </rPr>
          <t xml:space="preserve">
A peridicidade da distribução das despesas de qualquer item será a mesma que a fora estabelecida para o ano 0. </t>
        </r>
      </text>
    </comment>
    <comment ref="A7" authorId="1" shapeId="0" xr:uid="{00000000-0006-0000-1100-000002000000}">
      <text>
        <r>
          <rPr>
            <sz val="8"/>
            <color indexed="81"/>
            <rFont val="Tahoma"/>
            <family val="2"/>
          </rPr>
          <t xml:space="preserve">Por exemplo a quota de módulos ou outras.
</t>
        </r>
      </text>
    </comment>
    <comment ref="A21" authorId="2" shapeId="0" xr:uid="{00000000-0006-0000-1100-000003000000}">
      <text>
        <r>
          <rPr>
            <b/>
            <sz val="8"/>
            <color indexed="81"/>
            <rFont val="Tahoma"/>
            <family val="2"/>
          </rPr>
          <t>Miguel:</t>
        </r>
        <r>
          <rPr>
            <sz val="8"/>
            <color indexed="81"/>
            <rFont val="Tahoma"/>
            <family val="2"/>
          </rPr>
          <t xml:space="preserve">
   A mensualidade do aluguer é usada para calcular automáticamente a fiança para ser incluída no investimento e balanço iniciais.
</t>
        </r>
      </text>
    </comment>
    <comment ref="B27" authorId="3" shapeId="0" xr:uid="{00000000-0006-0000-1100-000004000000}">
      <text>
        <r>
          <rPr>
            <b/>
            <sz val="8"/>
            <color indexed="81"/>
            <rFont val="Tahoma"/>
            <family val="2"/>
          </rPr>
          <t>Miguel Martínez:</t>
        </r>
        <r>
          <rPr>
            <sz val="8"/>
            <color indexed="81"/>
            <rFont val="Tahoma"/>
            <family val="2"/>
          </rPr>
          <t xml:space="preserve">
  Esto é uma estimação que incrementa as despesas fixas anuais num porcentágem (10% é o defeito) para cubrir despesas imprevistas ou imprevisíveis.
</t>
        </r>
      </text>
    </comment>
    <comment ref="C32" authorId="2" shapeId="0" xr:uid="{00000000-0006-0000-1100-000005000000}">
      <text>
        <r>
          <rPr>
            <b/>
            <sz val="10"/>
            <color indexed="81"/>
            <rFont val="Tahoma"/>
            <family val="2"/>
          </rPr>
          <t>Miguel:</t>
        </r>
        <r>
          <rPr>
            <sz val="10"/>
            <color indexed="81"/>
            <rFont val="Tahoma"/>
            <family val="2"/>
          </rPr>
          <t xml:space="preserve">
nº de mensualidades de alquiler que se han de depositar como fianza al inicio del primer mes de actividad.</t>
        </r>
      </text>
    </comment>
    <comment ref="C33" authorId="4" shapeId="0" xr:uid="{00000000-0006-0000-1100-000006000000}">
      <text>
        <r>
          <rPr>
            <b/>
            <sz val="10"/>
            <color indexed="81"/>
            <rFont val="Tahoma"/>
            <family val="2"/>
          </rPr>
          <t>MMP:</t>
        </r>
        <r>
          <rPr>
            <sz val="10"/>
            <color indexed="81"/>
            <rFont val="Tahoma"/>
            <family val="2"/>
          </rPr>
          <t xml:space="preserve">
    Se supone que los meses iniciales sin alquiler son debidos a la inversión en la reforma del local.
    Contablemente se imputa el gasto en el mes en que se produzca (alquiler) pero en el balance inicial en el pasivo aparece el importe de los alquileres que se ahorrarán en el pasivo dentro de Otros acreedores C.P. y los alquileres devengados y no pagados se van detrayendo de esta partida.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7" authorId="0" shapeId="0" xr:uid="{00000000-0006-0000-1200-000001000000}">
      <text>
        <r>
          <rPr>
            <b/>
            <sz val="8"/>
            <color indexed="81"/>
            <rFont val="Tahoma"/>
            <family val="2"/>
          </rPr>
          <t>Miguel:</t>
        </r>
        <r>
          <rPr>
            <sz val="10"/>
            <color indexed="81"/>
            <rFont val="Tahoma"/>
            <family val="2"/>
          </rPr>
          <t xml:space="preserve">
A coluna de dados pode ser usada quando os preços não tenham sazonalidade e sejam sempre os mesmos o quase os mesmos para todos os meses ao longo do ano.</t>
        </r>
        <r>
          <rPr>
            <sz val="8"/>
            <color indexed="81"/>
            <rFont val="Tahoma"/>
            <family val="2"/>
          </rPr>
          <t xml:space="preserve">
</t>
        </r>
        <r>
          <rPr>
            <sz val="10"/>
            <color indexed="81"/>
            <rFont val="Tahoma"/>
            <family val="2"/>
          </rPr>
          <t xml:space="preserve">Se se desejar fazer as previsões de vendas diretamente em Euros (ou a moeda que for) seria precisso pôr cá diretamente 1 (ou 100 se se quiser fazer as previsões em miles de euros) em TODAS as famílias cujas vendas fossem ser especificadas na seguinte folha (Vendas) em Euros e não em Unidades.  (ou a moeda que for)
</t>
        </r>
      </text>
    </comment>
    <comment ref="A17" authorId="0" shapeId="0" xr:uid="{00000000-0006-0000-1200-000002000000}">
      <text>
        <r>
          <rPr>
            <b/>
            <sz val="11"/>
            <color indexed="81"/>
            <rFont val="Tahoma"/>
            <family val="2"/>
          </rPr>
          <t>Miguel:</t>
        </r>
        <r>
          <rPr>
            <sz val="11"/>
            <color indexed="81"/>
            <rFont val="Tahoma"/>
            <family val="2"/>
          </rPr>
          <t xml:space="preserve">
     Uma análise dos custos devia ser feito por cada uma das familias. NÃO devem ser incluidos os custos da mão de obra quando o pessoal correspondente fosse incluído na folha do quadro de pessoal da empresa.
     Os custos NÃO devem incluir o IVA (ou imposto indireito correspondente) excepto nos casos de recargo de equivalença ou daquelas empresas ou atividades que estejam exentas de IVA. Nestes casos, e só nestes casos, o IVA deve ser incluido como um custo mais.
</t>
        </r>
      </text>
    </comment>
    <comment ref="B19" authorId="0" shapeId="0" xr:uid="{00000000-0006-0000-1200-000003000000}">
      <text>
        <r>
          <rPr>
            <b/>
            <sz val="8"/>
            <color indexed="81"/>
            <rFont val="Tahoma"/>
            <family val="2"/>
          </rPr>
          <t>Miguel:</t>
        </r>
        <r>
          <rPr>
            <sz val="10"/>
            <color indexed="81"/>
            <rFont val="Tahoma"/>
            <family val="2"/>
          </rPr>
          <t xml:space="preserve">
A coluna de dados pode ser usada quando os preços não tenham sazonalidade e sejam sempre os mesmos o quase os mesmos para todos os meses ao longo do ano.</t>
        </r>
        <r>
          <rPr>
            <sz val="8"/>
            <color indexed="81"/>
            <rFont val="Tahoma"/>
            <family val="2"/>
          </rPr>
          <t xml:space="preserve">
</t>
        </r>
        <r>
          <rPr>
            <sz val="10"/>
            <color indexed="81"/>
            <rFont val="Tahoma"/>
            <family val="2"/>
          </rPr>
          <t xml:space="preserve">Se se desejar fazer as previsões de vendas diretamente em Euros (ou a moeda que for) seria precisso pôr cá diretamente 1 (ou 100 se se quiser fazer as previsões em miles de euros) em TODAS as famílias cujas vendas fossem ser especificadas na seguinte folha (Vendas) em Euros e não em Unidades.  (ou a moeda que for)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19" authorId="0" shapeId="0" xr:uid="{00000000-0006-0000-1300-000001000000}">
      <text>
        <r>
          <rPr>
            <sz val="10"/>
            <color indexed="81"/>
            <rFont val="Tahoma"/>
            <family val="2"/>
          </rPr>
          <t xml:space="preserve">Não pode haver pagamentos de contado aos fornecedores pendentes. Tém que ser 30 dias mínimo.
</t>
        </r>
      </text>
    </comment>
    <comment ref="B67" authorId="0" shapeId="0" xr:uid="{00000000-0006-0000-1300-000002000000}">
      <text>
        <r>
          <rPr>
            <sz val="10"/>
            <color indexed="81"/>
            <rFont val="Tahoma"/>
            <family val="2"/>
          </rPr>
          <t xml:space="preserve">Não pode haver pagamentos de contado a fornecedores pendentes. Como mínimo debem ser 30 dias.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s>
  <commentList>
    <comment ref="B6" authorId="0" shapeId="0" xr:uid="{00000000-0006-0000-1400-000001000000}">
      <text>
        <r>
          <rPr>
            <b/>
            <sz val="9"/>
            <color indexed="81"/>
            <rFont val="Tahoma"/>
            <family val="2"/>
          </rPr>
          <t>Miguel Martinez:</t>
        </r>
        <r>
          <rPr>
            <sz val="9"/>
            <color indexed="81"/>
            <rFont val="Tahoma"/>
            <family val="2"/>
          </rPr>
          <t xml:space="preserve">
Por defeito no ano 0 se utiliza uma fórmula para simular o transitório inicial desde as vendas do mes0 até as vendas "normais" do ano1 que é uma rampa modificada para acercar-se à sazonalidade das vedas do ano1.
Estas fórmulas podem ser apagadas e ser substituídas por outras fórmulas ou mesmo por valores.  
Os cálculos serão feitos corretamente em qualquer caso.
</t>
        </r>
      </text>
    </comment>
    <comment ref="P6" authorId="1" shapeId="0" xr:uid="{00000000-0006-0000-1400-000002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P19" authorId="1" shapeId="0" xr:uid="{00000000-0006-0000-1400-000003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P32" authorId="1" shapeId="0" xr:uid="{00000000-0006-0000-1400-000004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P45" authorId="1" shapeId="0" xr:uid="{00000000-0006-0000-1400-000005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 ref="P58" authorId="1" shapeId="0" xr:uid="{00000000-0006-0000-1400-000006000000}">
      <text>
        <r>
          <rPr>
            <b/>
            <sz val="9"/>
            <color indexed="81"/>
            <rFont val="Tahoma"/>
            <family val="2"/>
          </rPr>
          <t>Miguel:</t>
        </r>
        <r>
          <rPr>
            <sz val="9"/>
            <color indexed="81"/>
            <rFont val="Tahoma"/>
            <family val="2"/>
          </rPr>
          <t xml:space="preserve">
O número de novos clientes debera ser calculado com uma fórmula que aponte na folha Estimações das Vendas às linhas correspondentes em cada um dos anos.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6" authorId="0" shapeId="0" xr:uid="{00000000-0006-0000-2000-000001000000}">
      <text>
        <r>
          <rPr>
            <b/>
            <sz val="8"/>
            <color indexed="81"/>
            <rFont val="Tahoma"/>
            <family val="2"/>
          </rPr>
          <t>Miguel:</t>
        </r>
        <r>
          <rPr>
            <sz val="8"/>
            <color indexed="81"/>
            <rFont val="Tahoma"/>
            <family val="2"/>
          </rPr>
          <t xml:space="preserve">
Se va a suponer que las ventas del año 5, el siguiente al último de simulación son iguales al año 4</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F1" authorId="0" shapeId="0" xr:uid="{00000000-0006-0000-2900-000001000000}">
      <text>
        <r>
          <rPr>
            <b/>
            <sz val="12"/>
            <color indexed="81"/>
            <rFont val="Tahoma"/>
            <family val="2"/>
          </rPr>
          <t>Miguel Martinez:</t>
        </r>
        <r>
          <rPr>
            <sz val="12"/>
            <color indexed="81"/>
            <rFont val="Tahoma"/>
            <family val="2"/>
          </rPr>
          <t xml:space="preserve">
Balanços anuais ordeados segundo o ordem anglo-saxão: 
Os activos de major disponibilidade a menor disponibilidade (liquidez)
Nos passivos desde os passivos de exigibilidade mais iminente até os passivos permanentes (Capital Próprio)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18" authorId="0" shapeId="0" xr:uid="{00000000-0006-0000-2B00-000001000000}">
      <text>
        <r>
          <rPr>
            <sz val="10"/>
            <color indexed="81"/>
            <rFont val="Tahoma"/>
            <family val="2"/>
          </rPr>
          <t xml:space="preserve">O primeiro exercicio (Ano 0) não é fechado até junho do ano 1 e porém não há pagos por conta até o 2P do 2º ano ou Ano 1
</t>
        </r>
      </text>
    </comment>
    <comment ref="D18" authorId="0" shapeId="0" xr:uid="{00000000-0006-0000-2B00-000002000000}">
      <text>
        <r>
          <rPr>
            <sz val="10"/>
            <color indexed="81"/>
            <rFont val="Tahoma"/>
            <family val="2"/>
          </rPr>
          <t xml:space="preserve">O primeiro exercicio (Ano 0) não é fechado até junho do ano 1 e porém não há pagos por conta até o 2P do 2º ano ou Ano 1
</t>
        </r>
      </text>
    </comment>
    <comment ref="B19" authorId="0" shapeId="0" xr:uid="{00000000-0006-0000-2B00-000003000000}">
      <text>
        <r>
          <rPr>
            <sz val="10"/>
            <color indexed="81"/>
            <rFont val="Tahoma"/>
            <family val="2"/>
          </rPr>
          <t xml:space="preserve">O primeiro exercicio (Ano 0) não é fechado até junho do ano 1 e porém não há pagos por conta até o 2P do 2º ano ou Ano 1
</t>
        </r>
      </text>
    </comment>
    <comment ref="B20" authorId="0" shapeId="0" xr:uid="{00000000-0006-0000-2B00-000004000000}">
      <text>
        <r>
          <rPr>
            <sz val="10"/>
            <color indexed="81"/>
            <rFont val="Tahoma"/>
            <family val="2"/>
          </rPr>
          <t xml:space="preserve">O primeiro exercicio (Ano 0) não é fechado até junho do ano 1 e porém não há pagos por conta até o 2P do 2º ano ou Ano 1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2C00-000001000000}">
      <text>
        <r>
          <rPr>
            <b/>
            <sz val="10"/>
            <color indexed="81"/>
            <rFont val="Tahoma"/>
            <family val="2"/>
          </rPr>
          <t>Miguel:</t>
        </r>
        <r>
          <rPr>
            <sz val="10"/>
            <color indexed="81"/>
            <rFont val="Tahoma"/>
            <family val="2"/>
          </rPr>
          <t xml:space="preserve">
SOLO Para Profesionales y Empresarios Individuales, Sociedades Civiles y Comunidades de Bienes.
NO Para Cooperativas, Sociedades Limitadas o Anónimas.</t>
        </r>
      </text>
    </comment>
    <comment ref="J9" authorId="0" shapeId="0" xr:uid="{00000000-0006-0000-2C00-000002000000}">
      <text>
        <r>
          <rPr>
            <b/>
            <sz val="12"/>
            <color indexed="81"/>
            <rFont val="Tahoma"/>
            <family val="2"/>
          </rPr>
          <t>Miguel:</t>
        </r>
        <r>
          <rPr>
            <sz val="12"/>
            <color indexed="81"/>
            <rFont val="Tahoma"/>
            <family val="2"/>
          </rPr>
          <t xml:space="preserve">
O mínimo exento não pode ser inferior a 3400 euros (soltero sem filhos e sem qualquer tipo de exenções por minusvalía, etc)</t>
        </r>
      </text>
    </comment>
    <comment ref="B14" authorId="0" shapeId="0" xr:uid="{00000000-0006-0000-2C00-000003000000}">
      <text>
        <r>
          <rPr>
            <b/>
            <sz val="8"/>
            <color indexed="81"/>
            <rFont val="Tahoma"/>
            <family val="2"/>
          </rPr>
          <t>Miguel:</t>
        </r>
        <r>
          <rPr>
            <sz val="8"/>
            <color indexed="81"/>
            <rFont val="Tahoma"/>
            <family val="2"/>
          </rPr>
          <t xml:space="preserve">
Los Sueldos de los socios no son gastos deducibles.</t>
        </r>
      </text>
    </comment>
    <comment ref="J20" authorId="0" shapeId="0" xr:uid="{00000000-0006-0000-2C00-000004000000}">
      <text>
        <r>
          <rPr>
            <b/>
            <sz val="11"/>
            <color indexed="81"/>
            <rFont val="Tahoma"/>
            <family val="2"/>
          </rPr>
          <t>Miguel:</t>
        </r>
        <r>
          <rPr>
            <sz val="11"/>
            <color indexed="81"/>
            <rFont val="Tahoma"/>
            <family val="2"/>
          </rPr>
          <t xml:space="preserve">
     número de sócios entre os que  distribur a renda obtida pelo negócio com efetos tributários. 
      Está calculado na folha </t>
        </r>
        <r>
          <rPr>
            <b/>
            <sz val="11"/>
            <color indexed="81"/>
            <rFont val="Tahoma"/>
            <family val="2"/>
          </rPr>
          <t>Quadro, NÃO cá.</t>
        </r>
      </text>
    </comment>
    <comment ref="B23" authorId="0" shapeId="0" xr:uid="{00000000-0006-0000-2C00-000005000000}">
      <text>
        <r>
          <rPr>
            <b/>
            <sz val="10"/>
            <color indexed="81"/>
            <rFont val="Tahoma"/>
            <family val="2"/>
          </rPr>
          <t>Miguel:</t>
        </r>
        <r>
          <rPr>
            <sz val="10"/>
            <color indexed="81"/>
            <rFont val="Tahoma"/>
            <family val="2"/>
          </rPr>
          <t xml:space="preserve">
Solo en el caso de profesionales
</t>
        </r>
      </text>
    </comment>
    <comment ref="B27" authorId="0" shapeId="0" xr:uid="{00000000-0006-0000-2C00-000006000000}">
      <text>
        <r>
          <rPr>
            <b/>
            <sz val="11"/>
            <color indexed="81"/>
            <rFont val="Tahoma"/>
            <family val="2"/>
          </rPr>
          <t xml:space="preserve">     MINIMO VITAL
</t>
        </r>
        <r>
          <rPr>
            <sz val="11"/>
            <color indexed="81"/>
            <rFont val="Tahoma"/>
            <family val="2"/>
          </rPr>
          <t xml:space="preserve">Esta quantidade também depende das condições pessoais da pessoa e de outros factores como por exemplo se a declaração for conjunta ou não, emtre outros.
A pessar de tudo, considéra-se por defeito o menor mínimo possível para uma só pessoa.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Miguel</author>
    <author>Miguel Martinez</author>
    <author>Abderraman 6.327</author>
  </authors>
  <commentList>
    <comment ref="A2" authorId="0" shapeId="0" xr:uid="{00000000-0006-0000-0200-000001000000}">
      <text>
        <r>
          <rPr>
            <sz val="11"/>
            <color indexed="81"/>
            <rFont val="Tahoma"/>
            <family val="2"/>
          </rPr>
          <t xml:space="preserve">
Esta cela contém a versão do Plano Financeiro. Por favor, NÃO tocar, senao algumas utilidades não funcinarão.
</t>
        </r>
      </text>
    </comment>
    <comment ref="B7" authorId="0" shapeId="0" xr:uid="{00000000-0006-0000-0200-000002000000}">
      <text>
        <r>
          <rPr>
            <sz val="12"/>
            <color indexed="81"/>
            <rFont val="Tahoma"/>
            <family val="2"/>
          </rPr>
          <t xml:space="preserve">Nome do Curso, cidade ou  localidade do projeto.
</t>
        </r>
      </text>
    </comment>
    <comment ref="B9" authorId="0" shapeId="0" xr:uid="{00000000-0006-0000-0200-000003000000}">
      <text>
        <r>
          <rPr>
            <sz val="12"/>
            <color indexed="81"/>
            <rFont val="Tahoma"/>
            <family val="2"/>
          </rPr>
          <t>Nome da empresa o do projeto.</t>
        </r>
        <r>
          <rPr>
            <sz val="8"/>
            <color indexed="81"/>
            <rFont val="Tahoma"/>
            <family val="2"/>
          </rPr>
          <t xml:space="preserve">
</t>
        </r>
      </text>
    </comment>
    <comment ref="B13" authorId="0" shapeId="0" xr:uid="{00000000-0006-0000-0200-000004000000}">
      <text>
        <r>
          <rPr>
            <sz val="12"/>
            <color indexed="81"/>
            <rFont val="Tahoma"/>
            <family val="2"/>
          </rPr>
          <t>Data de realização do Plano</t>
        </r>
      </text>
    </comment>
    <comment ref="G13" authorId="1" shapeId="0" xr:uid="{00000000-0006-0000-0200-000005000000}">
      <text>
        <r>
          <rPr>
            <b/>
            <sz val="11"/>
            <color indexed="81"/>
            <rFont val="Tahoma"/>
            <family val="2"/>
          </rPr>
          <t>Miguel Martinez:</t>
        </r>
        <r>
          <rPr>
            <sz val="11"/>
            <color indexed="81"/>
            <rFont val="Tahoma"/>
            <family val="2"/>
          </rPr>
          <t xml:space="preserve">
Caso de fazer o Plano Financeiro duma </t>
        </r>
        <r>
          <rPr>
            <b/>
            <sz val="11"/>
            <color indexed="81"/>
            <rFont val="Tahoma"/>
            <family val="2"/>
          </rPr>
          <t>empresa já existente</t>
        </r>
        <r>
          <rPr>
            <sz val="11"/>
            <color indexed="81"/>
            <rFont val="Tahoma"/>
            <family val="2"/>
          </rPr>
          <t xml:space="preserve"> o mais logico e começar dum Balanço de Situação Previo (Bal. Previo) y sobre ele fazer as estimaçãoes de novos investimentos, expanção, etc.
Caso de fazer o plano financeiro dum </t>
        </r>
        <r>
          <rPr>
            <b/>
            <sz val="11"/>
            <color indexed="81"/>
            <rFont val="Tahoma"/>
            <family val="2"/>
          </rPr>
          <t>projeto de empresa o duma empresa de nova crição</t>
        </r>
        <r>
          <rPr>
            <sz val="11"/>
            <color indexed="81"/>
            <rFont val="Tahoma"/>
            <family val="2"/>
          </rPr>
          <t xml:space="preserve"> o lógico é partir de zero e pôr todos os investimentos e finançamentos iniciais sem usar o Balanço Previo dado que não haverá nenhum.
</t>
        </r>
      </text>
    </comment>
    <comment ref="B15" authorId="0" shapeId="0" xr:uid="{00000000-0006-0000-0200-000006000000}">
      <text>
        <r>
          <rPr>
            <sz val="12"/>
            <color indexed="81"/>
            <rFont val="Tahoma"/>
            <family val="2"/>
          </rPr>
          <t>Primer ano da simulação: Ano inicial do primer exercicio económico.</t>
        </r>
        <r>
          <rPr>
            <sz val="8"/>
            <color indexed="81"/>
            <rFont val="Tahoma"/>
            <family val="2"/>
          </rPr>
          <t xml:space="preserve">
</t>
        </r>
      </text>
    </comment>
    <comment ref="B18" authorId="1" shapeId="0" xr:uid="{00000000-0006-0000-0200-000007000000}">
      <text>
        <r>
          <rPr>
            <b/>
            <sz val="9"/>
            <color indexed="81"/>
            <rFont val="Tahoma"/>
            <family val="2"/>
          </rPr>
          <t>Miguel Martinez:</t>
        </r>
        <r>
          <rPr>
            <sz val="9"/>
            <color indexed="81"/>
            <rFont val="Tahoma"/>
            <family val="2"/>
          </rPr>
          <t xml:space="preserve">
</t>
        </r>
        <r>
          <rPr>
            <sz val="10"/>
            <color indexed="81"/>
            <rFont val="Tahoma"/>
            <family val="2"/>
          </rPr>
          <t>Ano Inicial 0 ou 1</t>
        </r>
      </text>
    </comment>
    <comment ref="B19" authorId="1" shapeId="0" xr:uid="{00000000-0006-0000-0200-000008000000}">
      <text>
        <r>
          <rPr>
            <b/>
            <sz val="9"/>
            <color indexed="81"/>
            <rFont val="Tahoma"/>
            <family val="2"/>
          </rPr>
          <t>Miguel Martinez:</t>
        </r>
        <r>
          <rPr>
            <sz val="9"/>
            <color indexed="81"/>
            <rFont val="Tahoma"/>
            <family val="2"/>
          </rPr>
          <t xml:space="preserve">
</t>
        </r>
        <r>
          <rPr>
            <sz val="11"/>
            <color indexed="81"/>
            <rFont val="Tahoma"/>
            <family val="2"/>
          </rPr>
          <t xml:space="preserve">Se nos ejercicios apareceram os días da semana e não os ejercicios (anos), é preciso mudar para </t>
        </r>
        <r>
          <rPr>
            <b/>
            <sz val="11"/>
            <color indexed="81"/>
            <rFont val="Tahoma"/>
            <family val="2"/>
          </rPr>
          <t>aa</t>
        </r>
        <r>
          <rPr>
            <sz val="11"/>
            <color indexed="81"/>
            <rFont val="Tahoma"/>
            <family val="2"/>
          </rPr>
          <t xml:space="preserve"> ou </t>
        </r>
        <r>
          <rPr>
            <b/>
            <sz val="11"/>
            <color indexed="81"/>
            <rFont val="Tahoma"/>
            <family val="2"/>
          </rPr>
          <t xml:space="preserve">yy </t>
        </r>
        <r>
          <rPr>
            <sz val="11"/>
            <color indexed="81"/>
            <rFont val="Tahoma"/>
            <family val="2"/>
          </rPr>
          <t>na cela</t>
        </r>
        <r>
          <rPr>
            <b/>
            <sz val="11"/>
            <color indexed="81"/>
            <rFont val="Tahoma"/>
            <family val="2"/>
          </rPr>
          <t xml:space="preserve"> O19</t>
        </r>
        <r>
          <rPr>
            <sz val="11"/>
            <color indexed="81"/>
            <rFont val="Tahoma"/>
            <family val="2"/>
          </rPr>
          <t xml:space="preserve"> de esta mesma folha para corregí-lo.
É um erro da Excel, não do PEF
</t>
        </r>
      </text>
    </comment>
    <comment ref="O19" authorId="1" shapeId="0" xr:uid="{00000000-0006-0000-0200-000009000000}">
      <text>
        <r>
          <rPr>
            <b/>
            <sz val="9"/>
            <color indexed="81"/>
            <rFont val="Tahoma"/>
            <family val="2"/>
          </rPr>
          <t>Miguel Martinez:</t>
        </r>
        <r>
          <rPr>
            <sz val="9"/>
            <color indexed="81"/>
            <rFont val="Tahoma"/>
            <family val="2"/>
          </rPr>
          <t xml:space="preserve">
</t>
        </r>
        <r>
          <rPr>
            <sz val="11"/>
            <color indexed="81"/>
            <rFont val="Tahoma"/>
            <family val="2"/>
          </rPr>
          <t xml:space="preserve">Se nos ejercicios apareceram os días da semana e não os ejercicios (anos), é preciso mudar para </t>
        </r>
        <r>
          <rPr>
            <b/>
            <sz val="11"/>
            <color indexed="81"/>
            <rFont val="Tahoma"/>
            <family val="2"/>
          </rPr>
          <t>aa</t>
        </r>
        <r>
          <rPr>
            <sz val="11"/>
            <color indexed="81"/>
            <rFont val="Tahoma"/>
            <family val="2"/>
          </rPr>
          <t xml:space="preserve"> ou </t>
        </r>
        <r>
          <rPr>
            <b/>
            <sz val="11"/>
            <color indexed="81"/>
            <rFont val="Tahoma"/>
            <family val="2"/>
          </rPr>
          <t>yy</t>
        </r>
        <r>
          <rPr>
            <sz val="11"/>
            <color indexed="81"/>
            <rFont val="Tahoma"/>
            <family val="2"/>
          </rPr>
          <t xml:space="preserve"> mesmo desta cela para corregí-lo.
É um erro da Excel, não do PEF
</t>
        </r>
      </text>
    </comment>
    <comment ref="A21" authorId="0" shapeId="0" xr:uid="{00000000-0006-0000-0200-00000A000000}">
      <text>
        <r>
          <rPr>
            <sz val="10"/>
            <color indexed="81"/>
            <rFont val="Tahoma"/>
            <family val="2"/>
          </rPr>
          <t xml:space="preserve">Só mudar em caso de inicio de atividade da empresa de nova creação .
Para empresas já em funcionamento, deixar 1 de janeiro do primer ano da simulação.
</t>
        </r>
      </text>
    </comment>
    <comment ref="I28" authorId="0" shapeId="0" xr:uid="{00000000-0006-0000-0200-00000B000000}">
      <text>
        <r>
          <rPr>
            <b/>
            <sz val="10"/>
            <color indexed="81"/>
            <rFont val="Tahoma"/>
            <family val="2"/>
          </rPr>
          <t>Miguel:
Tipo para el modelo 130 de la Ag. Tributaria</t>
        </r>
        <r>
          <rPr>
            <sz val="10"/>
            <color indexed="81"/>
            <rFont val="Tahoma"/>
            <family val="2"/>
          </rPr>
          <t xml:space="preserve">
20% tanto para profesionales como para Empresarios Individuales (incluidas Comunidades de Bienes y Sociedades Civiles)
0%  para Cooperativas, S.L. y S.A. (Tributación en sociedades NO en IRPF)</t>
        </r>
      </text>
    </comment>
    <comment ref="I29" authorId="0" shapeId="0" xr:uid="{00000000-0006-0000-0200-00000C000000}">
      <text>
        <r>
          <rPr>
            <b/>
            <sz val="11"/>
            <color indexed="81"/>
            <rFont val="Tahoma"/>
            <family val="2"/>
          </rPr>
          <t>Miguel:</t>
        </r>
        <r>
          <rPr>
            <sz val="11"/>
            <color indexed="81"/>
            <rFont val="Tahoma"/>
            <family val="2"/>
          </rPr>
          <t xml:space="preserve">
Só para Profissionais. 
Em qualquier outro caso 0.</t>
        </r>
      </text>
    </comment>
    <comment ref="I30" authorId="2" shapeId="0" xr:uid="{00000000-0006-0000-0200-00000D000000}">
      <text>
        <r>
          <rPr>
            <b/>
            <sz val="8"/>
            <color indexed="81"/>
            <rFont val="Tahoma"/>
            <family val="2"/>
          </rPr>
          <t xml:space="preserve">Miguel Martínez:
</t>
        </r>
        <r>
          <rPr>
            <sz val="10"/>
            <color indexed="81"/>
            <rFont val="Tahoma"/>
            <family val="2"/>
          </rPr>
          <t xml:space="preserve">
Só tem utilidade no caso de Profissionais ou Sociedades Profissionais.
Se deve supôr o % da receita total feita às empresas, outros profissionais ou trabalhadores independentes.
</t>
        </r>
      </text>
    </comment>
    <comment ref="B31" authorId="1" shapeId="0" xr:uid="{00000000-0006-0000-0200-00000E000000}">
      <text>
        <r>
          <rPr>
            <b/>
            <sz val="9"/>
            <color indexed="81"/>
            <rFont val="Tahoma"/>
            <family val="2"/>
          </rPr>
          <t>Miguel Martinez:</t>
        </r>
        <r>
          <rPr>
            <sz val="9"/>
            <color indexed="81"/>
            <rFont val="Tahoma"/>
            <family val="2"/>
          </rPr>
          <t xml:space="preserve">
</t>
        </r>
        <r>
          <rPr>
            <sz val="12"/>
            <color indexed="81"/>
            <rFont val="Tahoma"/>
            <family val="2"/>
          </rPr>
          <t xml:space="preserve">Se se selecionar Devolução, caso de produzirem saldos negativos do IVA (ou imposto indireito equivalente) se supor que a solicitude da devolução do excesso será feita junto com a última declaração do ano: janeiro mesmo que as declarações foram trimestrais ou mensuais.
Esta devolução se faz efetiva 5 meses depois, oseja, em junho no ano seguinte.  5 meses é a demora habitual nestes casos em Espanha.
Se se slecionar compensação, os montos negativos serão compensados com os periodos seguintes. </t>
        </r>
      </text>
    </comment>
    <comment ref="B32" authorId="0" shapeId="0" xr:uid="{00000000-0006-0000-0200-00000F000000}">
      <text>
        <r>
          <rPr>
            <sz val="11"/>
            <color indexed="81"/>
            <rFont val="Tahoma"/>
            <family val="2"/>
          </rPr>
          <t xml:space="preserve">O mais normal será não, exceto para empresas em regimen espcial do IVA (o imposto indireito equivalente) de Conta Corrente com a Autoridade Tributaria. 
Esto é o normal nas empresas de exportação ou aquelas moito pequenas que tributar com um Recargo de Equivaleça para o que debem reunir determinados requisitos.
Nestos casos as devoluçãos se fosse ser, são feitas numa conta corrente especial mesmo com a Autoridade Tributaria.
</t>
        </r>
      </text>
    </comment>
    <comment ref="C36" authorId="0" shapeId="0" xr:uid="{00000000-0006-0000-0200-000010000000}">
      <text>
        <r>
          <rPr>
            <b/>
            <sz val="11"/>
            <color indexed="81"/>
            <rFont val="Tahoma"/>
            <family val="2"/>
          </rPr>
          <t>Miguel:</t>
        </r>
        <r>
          <rPr>
            <sz val="11"/>
            <color indexed="81"/>
            <rFont val="Tahoma"/>
            <family val="2"/>
          </rPr>
          <t xml:space="preserve">
Taxa reduzida para Pessoas Coletivas (sujetas ao IRC, não ao IRS)
Os trabalhadores independentes ou freelancers, tributam no IRS e portanto a taxa depende dos trechos do IRS.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B6" authorId="0" shapeId="0" xr:uid="{C8F139B0-0BE0-4F5F-AAB6-0C20E91A40CA}">
      <text>
        <r>
          <rPr>
            <b/>
            <sz val="9"/>
            <color indexed="81"/>
            <rFont val="Tahoma"/>
            <family val="2"/>
          </rPr>
          <t>Miguel Martínez:</t>
        </r>
        <r>
          <rPr>
            <sz val="9"/>
            <color indexed="81"/>
            <rFont val="Tahoma"/>
            <family val="2"/>
          </rPr>
          <t xml:space="preserve">
Só se considera a taxa correspondente aos empresários em nome individual e aos representantes de sociedades.</t>
        </r>
      </text>
    </comment>
    <comment ref="A17" authorId="0" shapeId="0" xr:uid="{A5DB49A6-6B23-47E5-96B1-25A0E2AA424E}">
      <text>
        <r>
          <rPr>
            <b/>
            <sz val="9"/>
            <color indexed="81"/>
            <rFont val="Tahoma"/>
            <family val="2"/>
          </rPr>
          <t>Miguel Martínez:</t>
        </r>
        <r>
          <rPr>
            <sz val="9"/>
            <color indexed="81"/>
            <rFont val="Tahoma"/>
            <family val="2"/>
          </rPr>
          <t xml:space="preserve">
Contribuções por cada trabalhador independente, ENI (empresário em nome individual ou sócio por quotas)</t>
        </r>
      </text>
    </comment>
    <comment ref="A26" authorId="0" shapeId="0" xr:uid="{387BF155-036E-469C-AF03-9382FB722CA8}">
      <text>
        <r>
          <rPr>
            <b/>
            <sz val="9"/>
            <color indexed="81"/>
            <rFont val="Tahoma"/>
            <family val="2"/>
          </rPr>
          <t>Miguel Martínez:</t>
        </r>
        <r>
          <rPr>
            <sz val="9"/>
            <color indexed="81"/>
            <rFont val="Tahoma"/>
            <family val="2"/>
          </rPr>
          <t xml:space="preserve">
Contribuções por cada trabalhador independente, ENI (empresário em nome individual ou sócio por quotas)</t>
        </r>
      </text>
    </comment>
    <comment ref="A35" authorId="0" shapeId="0" xr:uid="{86C47599-15F3-4EEF-B28C-F44D50F19C6B}">
      <text>
        <r>
          <rPr>
            <b/>
            <sz val="9"/>
            <color indexed="81"/>
            <rFont val="Tahoma"/>
            <family val="2"/>
          </rPr>
          <t>Miguel Martínez:</t>
        </r>
        <r>
          <rPr>
            <sz val="9"/>
            <color indexed="81"/>
            <rFont val="Tahoma"/>
            <family val="2"/>
          </rPr>
          <t xml:space="preserve">
Contribuções por cada trabalhador independente, ENI (empresário em nome individual ou sócio por quotas)</t>
        </r>
      </text>
    </comment>
    <comment ref="A44" authorId="0" shapeId="0" xr:uid="{B3AF3D25-19DD-4FE5-A455-BBBCE84AE4D7}">
      <text>
        <r>
          <rPr>
            <b/>
            <sz val="9"/>
            <color indexed="81"/>
            <rFont val="Tahoma"/>
            <family val="2"/>
          </rPr>
          <t>Miguel Martínez:</t>
        </r>
        <r>
          <rPr>
            <sz val="9"/>
            <color indexed="81"/>
            <rFont val="Tahoma"/>
            <family val="2"/>
          </rPr>
          <t xml:space="preserve">
Contribuções por cada trabalhador independente, ENI (empresário em nome individual ou sócio por quotas)</t>
        </r>
      </text>
    </comment>
    <comment ref="A53" authorId="0" shapeId="0" xr:uid="{9A309E3F-CA22-4F69-A892-15F53A3D4048}">
      <text>
        <r>
          <rPr>
            <b/>
            <sz val="9"/>
            <color indexed="81"/>
            <rFont val="Tahoma"/>
            <family val="2"/>
          </rPr>
          <t>Miguel Martínez:</t>
        </r>
        <r>
          <rPr>
            <sz val="9"/>
            <color indexed="81"/>
            <rFont val="Tahoma"/>
            <family val="2"/>
          </rPr>
          <t xml:space="preserve">
Contribuções por cada trabalhador independente, ENI (empresário em nome individual ou sócio por quotas)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3200-000001000000}">
      <text>
        <r>
          <rPr>
            <b/>
            <sz val="10"/>
            <color indexed="81"/>
            <rFont val="Tahoma"/>
            <family val="2"/>
          </rPr>
          <t>Miguel:</t>
        </r>
        <r>
          <rPr>
            <sz val="10"/>
            <color indexed="81"/>
            <rFont val="Tahoma"/>
            <family val="2"/>
          </rPr>
          <t xml:space="preserve">
SOLO Para Profesionales y Empresarios Individuales, Sociedades Civiles y Comunidades de Bienes.
NO Para Cooperativas, Sociedades Limitadas o Anónimas.</t>
        </r>
      </text>
    </comment>
    <comment ref="A7" authorId="0" shapeId="0" xr:uid="{00000000-0006-0000-3200-000002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A10" authorId="0" shapeId="0" xr:uid="{00000000-0006-0000-3200-000003000000}">
      <text>
        <r>
          <rPr>
            <b/>
            <sz val="11"/>
            <color indexed="81"/>
            <rFont val="Tahoma"/>
            <family val="2"/>
          </rPr>
          <t>Miguel:</t>
        </r>
        <r>
          <rPr>
            <sz val="11"/>
            <color indexed="81"/>
            <rFont val="Tahoma"/>
            <family val="2"/>
          </rPr>
          <t xml:space="preserve">
Gastos Variables+Otros Gastos Fijos+Sueldos y Seguridad Social, EXCEPTO Sueldos de los socios.</t>
        </r>
      </text>
    </comment>
    <comment ref="N13" authorId="0" shapeId="0" xr:uid="{00000000-0006-0000-3200-000004000000}">
      <text>
        <r>
          <rPr>
            <b/>
            <sz val="8"/>
            <color indexed="81"/>
            <rFont val="Tahoma"/>
            <family val="2"/>
          </rPr>
          <t>Miguel:</t>
        </r>
        <r>
          <rPr>
            <sz val="8"/>
            <color indexed="81"/>
            <rFont val="Tahoma"/>
            <family val="2"/>
          </rPr>
          <t xml:space="preserve">
Pendiente para enero del año siguiente</t>
        </r>
      </text>
    </comment>
    <comment ref="A16" authorId="0" shapeId="0" xr:uid="{00000000-0006-0000-3200-000005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B22" authorId="0" shapeId="0" xr:uid="{00000000-0006-0000-3200-000006000000}">
      <text>
        <r>
          <rPr>
            <b/>
            <sz val="8"/>
            <color indexed="81"/>
            <rFont val="Tahoma"/>
            <family val="2"/>
          </rPr>
          <t>Miguel:</t>
        </r>
        <r>
          <rPr>
            <sz val="8"/>
            <color indexed="81"/>
            <rFont val="Tahoma"/>
            <family val="2"/>
          </rPr>
          <t xml:space="preserve">
4T del año anterior</t>
        </r>
      </text>
    </comment>
    <comment ref="N22" authorId="0" shapeId="0" xr:uid="{00000000-0006-0000-3200-000007000000}">
      <text>
        <r>
          <rPr>
            <b/>
            <sz val="8"/>
            <color indexed="81"/>
            <rFont val="Tahoma"/>
            <family val="2"/>
          </rPr>
          <t>Miguel:</t>
        </r>
        <r>
          <rPr>
            <sz val="8"/>
            <color indexed="81"/>
            <rFont val="Tahoma"/>
            <family val="2"/>
          </rPr>
          <t xml:space="preserve">
Pendiente para enero del año siguiente</t>
        </r>
      </text>
    </comment>
    <comment ref="B31" authorId="0" shapeId="0" xr:uid="{00000000-0006-0000-3200-000008000000}">
      <text>
        <r>
          <rPr>
            <b/>
            <sz val="8"/>
            <color indexed="81"/>
            <rFont val="Tahoma"/>
            <family val="2"/>
          </rPr>
          <t>Miguel:</t>
        </r>
        <r>
          <rPr>
            <sz val="8"/>
            <color indexed="81"/>
            <rFont val="Tahoma"/>
            <family val="2"/>
          </rPr>
          <t xml:space="preserve">
4T del año anterior</t>
        </r>
      </text>
    </comment>
    <comment ref="N31" authorId="0" shapeId="0" xr:uid="{00000000-0006-0000-3200-000009000000}">
      <text>
        <r>
          <rPr>
            <b/>
            <sz val="8"/>
            <color indexed="81"/>
            <rFont val="Tahoma"/>
            <family val="2"/>
          </rPr>
          <t>Miguel:</t>
        </r>
        <r>
          <rPr>
            <sz val="8"/>
            <color indexed="81"/>
            <rFont val="Tahoma"/>
            <family val="2"/>
          </rPr>
          <t xml:space="preserve">
Pendiente para enero del año siguiente</t>
        </r>
      </text>
    </comment>
    <comment ref="B40" authorId="0" shapeId="0" xr:uid="{00000000-0006-0000-3200-00000A000000}">
      <text>
        <r>
          <rPr>
            <b/>
            <sz val="8"/>
            <color indexed="81"/>
            <rFont val="Tahoma"/>
            <family val="2"/>
          </rPr>
          <t>Miguel:</t>
        </r>
        <r>
          <rPr>
            <sz val="8"/>
            <color indexed="81"/>
            <rFont val="Tahoma"/>
            <family val="2"/>
          </rPr>
          <t xml:space="preserve">
4T del año anterior</t>
        </r>
      </text>
    </comment>
    <comment ref="N40" authorId="0" shapeId="0" xr:uid="{00000000-0006-0000-3200-00000B000000}">
      <text>
        <r>
          <rPr>
            <b/>
            <sz val="8"/>
            <color indexed="81"/>
            <rFont val="Tahoma"/>
            <family val="2"/>
          </rPr>
          <t>Miguel:</t>
        </r>
        <r>
          <rPr>
            <sz val="8"/>
            <color indexed="81"/>
            <rFont val="Tahoma"/>
            <family val="2"/>
          </rPr>
          <t xml:space="preserve">
Pendiente para enero del año siguiente</t>
        </r>
      </text>
    </comment>
    <comment ref="B49" authorId="0" shapeId="0" xr:uid="{00000000-0006-0000-3200-00000C000000}">
      <text>
        <r>
          <rPr>
            <b/>
            <sz val="8"/>
            <color indexed="81"/>
            <rFont val="Tahoma"/>
            <family val="2"/>
          </rPr>
          <t>Miguel:</t>
        </r>
        <r>
          <rPr>
            <sz val="8"/>
            <color indexed="81"/>
            <rFont val="Tahoma"/>
            <family val="2"/>
          </rPr>
          <t xml:space="preserve">
4T del año anterior</t>
        </r>
      </text>
    </comment>
    <comment ref="N49" authorId="0" shapeId="0" xr:uid="{00000000-0006-0000-3200-00000D000000}">
      <text>
        <r>
          <rPr>
            <b/>
            <sz val="8"/>
            <color indexed="81"/>
            <rFont val="Tahoma"/>
            <family val="2"/>
          </rPr>
          <t>Miguel:</t>
        </r>
        <r>
          <rPr>
            <sz val="8"/>
            <color indexed="81"/>
            <rFont val="Tahoma"/>
            <family val="2"/>
          </rPr>
          <t xml:space="preserve">
Pendiente para enero del año siguiente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Miguel Martínez</author>
    <author>Miguel</author>
  </authors>
  <commentList>
    <comment ref="A11" authorId="0" shapeId="0" xr:uid="{00000000-0006-0000-3800-000001000000}">
      <text>
        <r>
          <rPr>
            <b/>
            <sz val="10"/>
            <color indexed="81"/>
            <rFont val="Tahoma"/>
            <family val="2"/>
          </rPr>
          <t>Miguel Martínez:</t>
        </r>
        <r>
          <rPr>
            <sz val="10"/>
            <color indexed="81"/>
            <rFont val="Tahoma"/>
            <family val="2"/>
          </rPr>
          <t xml:space="preserve">
Coeficientes de prorrata trimestrales. Se aplican "a posteriori" sobre el soportado de los tres meses de ese mismo trimestre.</t>
        </r>
      </text>
    </comment>
    <comment ref="C22" authorId="1" shapeId="0" xr:uid="{00000000-0006-0000-3800-000002000000}">
      <text>
        <r>
          <rPr>
            <sz val="10"/>
            <color indexed="81"/>
            <rFont val="Tahoma"/>
            <family val="2"/>
          </rPr>
          <t>IVA de la inversión inicial</t>
        </r>
      </text>
    </comment>
    <comment ref="O26" authorId="1" shapeId="0" xr:uid="{00000000-0006-0000-3800-000003000000}">
      <text>
        <r>
          <rPr>
            <sz val="10"/>
            <color indexed="81"/>
            <rFont val="Tahoma"/>
            <family val="2"/>
          </rPr>
          <t>Pendiente 1T del siguiente año</t>
        </r>
        <r>
          <rPr>
            <sz val="8"/>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C7" authorId="0" shapeId="0" xr:uid="{00000000-0006-0000-3E00-000001000000}">
      <text>
        <r>
          <rPr>
            <b/>
            <sz val="11"/>
            <color indexed="81"/>
            <rFont val="Tahoma"/>
            <family val="2"/>
          </rPr>
          <t>Miguel:</t>
        </r>
        <r>
          <rPr>
            <sz val="11"/>
            <color indexed="81"/>
            <rFont val="Tahoma"/>
            <family val="2"/>
          </rPr>
          <t xml:space="preserve">
Los terrenos NO se pueden amortizar legalmente.</t>
        </r>
      </text>
    </comment>
    <comment ref="C8" authorId="0" shapeId="0" xr:uid="{00000000-0006-0000-3E00-000002000000}">
      <text>
        <r>
          <rPr>
            <sz val="11"/>
            <color indexed="81"/>
            <rFont val="Tahoma"/>
            <family val="2"/>
          </rPr>
          <t xml:space="preserve">Si no hay amortación acumulada anterior PONER 0; sino el IVA no funcionará.
</t>
        </r>
      </text>
    </comment>
    <comment ref="B29" authorId="0" shapeId="0" xr:uid="{00000000-0006-0000-3E00-000003000000}">
      <text>
        <r>
          <rPr>
            <b/>
            <sz val="8"/>
            <color indexed="81"/>
            <rFont val="Tahoma"/>
            <family val="2"/>
          </rPr>
          <t>Miguel:</t>
        </r>
        <r>
          <rPr>
            <sz val="8"/>
            <color indexed="81"/>
            <rFont val="Tahoma"/>
            <family val="2"/>
          </rPr>
          <t xml:space="preserve">
Los terrenos NO se pueden amortizar legalmente.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9" authorId="0" shapeId="0" xr:uid="{00000000-0006-0000-4000-000001000000}">
      <text>
        <r>
          <rPr>
            <sz val="12"/>
            <color indexed="81"/>
            <rFont val="Tahoma"/>
            <family val="2"/>
          </rPr>
          <t>Solo para empresas en régimen especial de empresas exportadoras.</t>
        </r>
        <r>
          <rPr>
            <sz val="8"/>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4500-000001000000}">
      <text>
        <r>
          <rPr>
            <b/>
            <sz val="8"/>
            <color indexed="81"/>
            <rFont val="Tahoma"/>
            <family val="2"/>
          </rPr>
          <t>Miguel:</t>
        </r>
        <r>
          <rPr>
            <sz val="8"/>
            <color indexed="81"/>
            <rFont val="Tahoma"/>
            <family val="2"/>
          </rPr>
          <t xml:space="preserve">
Todavía no desarrollada</t>
        </r>
      </text>
    </comment>
    <comment ref="M10" authorId="0" shapeId="0" xr:uid="{00000000-0006-0000-4500-000002000000}">
      <text>
        <r>
          <rPr>
            <b/>
            <sz val="10"/>
            <color indexed="81"/>
            <rFont val="Tahoma"/>
            <family val="2"/>
          </rPr>
          <t>Miguel:</t>
        </r>
        <r>
          <rPr>
            <sz val="10"/>
            <color indexed="81"/>
            <rFont val="Tahoma"/>
            <family val="2"/>
          </rPr>
          <t xml:space="preserve">
Si la liquidación del Imp. De Sociedades del año 0 que se presentó en julio del año 1, resultara negativa (exceso de pagos a cuenta), Hacienda devolvería el exceso unos meses más tarde, por ejemplo en diciembre).</t>
        </r>
      </text>
    </comment>
    <comment ref="M20" authorId="0" shapeId="0" xr:uid="{00000000-0006-0000-4500-000003000000}">
      <text>
        <r>
          <rPr>
            <b/>
            <sz val="10"/>
            <color indexed="81"/>
            <rFont val="Tahoma"/>
            <family val="2"/>
          </rPr>
          <t>Miguel:</t>
        </r>
        <r>
          <rPr>
            <sz val="10"/>
            <color indexed="81"/>
            <rFont val="Tahoma"/>
            <family val="2"/>
          </rPr>
          <t xml:space="preserve">
Si la liquidación del Imp. De Sociedades del año 0 que se presentó en julio del año 1, resultara negativa (exceso de pagos a cuenta), Hacienda devolvería el exceso unos meses más tarde, por ejemplo en diciembre).</t>
        </r>
      </text>
    </comment>
    <comment ref="M30" authorId="0" shapeId="0" xr:uid="{00000000-0006-0000-4500-000004000000}">
      <text>
        <r>
          <rPr>
            <b/>
            <sz val="8"/>
            <color indexed="81"/>
            <rFont val="Tahoma"/>
            <family val="2"/>
          </rPr>
          <t>Miguel:</t>
        </r>
        <r>
          <rPr>
            <sz val="8"/>
            <color indexed="81"/>
            <rFont val="Tahoma"/>
            <family val="2"/>
          </rPr>
          <t xml:space="preserve">
Si la liquidación del Imp. De Sociedades del año 1 que se presentó en julio del año 2, resultara negativa (exceso de pagos a cuenta), Hacienda devolvería el exceso unos meses más tarde, por ejemplo en diciembre).</t>
        </r>
      </text>
    </comment>
    <comment ref="M41" authorId="0" shapeId="0" xr:uid="{00000000-0006-0000-4500-000005000000}">
      <text>
        <r>
          <rPr>
            <b/>
            <sz val="10"/>
            <color indexed="81"/>
            <rFont val="Tahoma"/>
            <family val="2"/>
          </rPr>
          <t>Miguel:</t>
        </r>
        <r>
          <rPr>
            <sz val="10"/>
            <color indexed="81"/>
            <rFont val="Tahoma"/>
            <family val="2"/>
          </rPr>
          <t xml:space="preserve">
Si la liquidación del Imp. De Sociedades del año 1 que se presentó en julio del año 2, resultara negativa (exceso de pagos a cuenta), Hacienda devolvería el exceso unos meses más tarde, por ejemplo en diciembre).</t>
        </r>
      </text>
    </comment>
    <comment ref="M52" authorId="0" shapeId="0" xr:uid="{00000000-0006-0000-4500-000006000000}">
      <text>
        <r>
          <rPr>
            <b/>
            <sz val="8"/>
            <color indexed="81"/>
            <rFont val="Tahoma"/>
            <family val="2"/>
          </rPr>
          <t>Miguel:</t>
        </r>
        <r>
          <rPr>
            <sz val="8"/>
            <color indexed="81"/>
            <rFont val="Tahoma"/>
            <family val="2"/>
          </rPr>
          <t xml:space="preserve">
Si la liquidación del Imp. De Sociedades del año 1 que se presentó en julio del año 2, resultara negativa (exceso de pagos a cuenta), Hacienda devolvería el exceso unos meses más tarde, por ejemplo en diciembre).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C16" authorId="0" shapeId="0" xr:uid="{00000000-0006-0000-4800-000001000000}">
      <text>
        <r>
          <rPr>
            <b/>
            <sz val="8"/>
            <color indexed="81"/>
            <rFont val="Tahoma"/>
            <family val="2"/>
          </rPr>
          <t>Pendiente de incluir las existencias (compras distintas de costes variables)</t>
        </r>
        <r>
          <rPr>
            <sz val="8"/>
            <color indexed="81"/>
            <rFont val="Tahoma"/>
            <family val="2"/>
          </rPr>
          <t xml:space="preserve">
</t>
        </r>
      </text>
    </comment>
    <comment ref="C18" authorId="0" shapeId="0" xr:uid="{00000000-0006-0000-4800-000002000000}">
      <text>
        <r>
          <rPr>
            <b/>
            <sz val="8"/>
            <color indexed="81"/>
            <rFont val="Tahoma"/>
            <family val="2"/>
          </rPr>
          <t>Pendiente de incluir las existencias (compras distintas de costes variables)</t>
        </r>
        <r>
          <rPr>
            <sz val="8"/>
            <color indexed="81"/>
            <rFont val="Tahoma"/>
            <family val="2"/>
          </rPr>
          <t xml:space="preserve">
</t>
        </r>
      </text>
    </comment>
    <comment ref="C33" authorId="0" shapeId="0" xr:uid="{00000000-0006-0000-4800-000003000000}">
      <text>
        <r>
          <rPr>
            <b/>
            <sz val="8"/>
            <color indexed="81"/>
            <rFont val="Tahoma"/>
            <family val="2"/>
          </rPr>
          <t>No se tienen en cuenta los gastos financieros. Solo Fijos y amortizaciones.</t>
        </r>
        <r>
          <rPr>
            <sz val="8"/>
            <color indexed="81"/>
            <rFont val="Tahoma"/>
            <family val="2"/>
          </rPr>
          <t xml:space="preserve">
</t>
        </r>
      </text>
    </comment>
    <comment ref="Q62" authorId="0" shapeId="0" xr:uid="{00000000-0006-0000-4800-000004000000}">
      <text>
        <r>
          <rPr>
            <b/>
            <sz val="10"/>
            <color indexed="81"/>
            <rFont val="Tahoma"/>
            <family val="2"/>
          </rPr>
          <t>Miguel:</t>
        </r>
        <r>
          <rPr>
            <sz val="10"/>
            <color indexed="81"/>
            <rFont val="Tahoma"/>
            <family val="2"/>
          </rPr>
          <t xml:space="preserve">
Inversiones actualizadas al año 0</t>
        </r>
      </text>
    </comment>
    <comment ref="R62" authorId="0" shapeId="0" xr:uid="{00000000-0006-0000-4800-000005000000}">
      <text>
        <r>
          <rPr>
            <sz val="12"/>
            <color indexed="81"/>
            <rFont val="Tahoma"/>
            <family val="2"/>
          </rPr>
          <t xml:space="preserve">
Los flujos de caja de los 5 primeros años se toman de los cálculos detallados del modelo, el resto de años se calculan con incrementos aleatorios en lugar de suponerlos iguales al último año simulado del modelo (el 5º).
       Aunque se calculen para 30 años, solo se toman los correspondientes a la vida útil estimada de la inversión redondeada al alza.</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20" authorId="0" shapeId="0" xr:uid="{00000000-0006-0000-4900-000001000000}">
      <text>
        <r>
          <rPr>
            <b/>
            <sz val="10"/>
            <color indexed="81"/>
            <rFont val="Tahoma"/>
            <family val="2"/>
          </rPr>
          <t>MMP:</t>
        </r>
        <r>
          <rPr>
            <sz val="10"/>
            <color indexed="81"/>
            <rFont val="Tahoma"/>
            <family val="2"/>
          </rPr>
          <t xml:space="preserve"> 
Esta seria a taxa para um investimento sem risco nenhum.
 Típicamente a rentabilidade da dívida pública é usada como referência.</t>
        </r>
        <r>
          <rPr>
            <sz val="8"/>
            <color indexed="81"/>
            <rFont val="Tahoma"/>
            <family val="2"/>
          </rPr>
          <t xml:space="preserve">
</t>
        </r>
      </text>
    </comment>
    <comment ref="B23" authorId="0" shapeId="0" xr:uid="{00000000-0006-0000-4900-000002000000}">
      <text>
        <r>
          <rPr>
            <b/>
            <sz val="10"/>
            <color indexed="81"/>
            <rFont val="Tahoma"/>
            <family val="2"/>
          </rPr>
          <t xml:space="preserve">MMP: </t>
        </r>
        <r>
          <rPr>
            <sz val="10"/>
            <color indexed="81"/>
            <rFont val="Tahoma"/>
            <family val="2"/>
          </rPr>
          <t xml:space="preserve"> 
Por defeito 50% da taxa de Rieco Geral da Empresa.
Mide o riesgo relativo da empresa no seu de su setor de atividade.</t>
        </r>
        <r>
          <rPr>
            <sz val="8"/>
            <color indexed="81"/>
            <rFont val="Tahoma"/>
            <family val="2"/>
          </rPr>
          <t xml:space="preserve">
</t>
        </r>
      </text>
    </comment>
    <comment ref="B24" authorId="0" shapeId="0" xr:uid="{00000000-0006-0000-4900-000003000000}">
      <text>
        <r>
          <rPr>
            <b/>
            <sz val="10"/>
            <color indexed="81"/>
            <rFont val="Tahoma"/>
            <family val="2"/>
          </rPr>
          <t xml:space="preserve">Miguel: 
</t>
        </r>
        <r>
          <rPr>
            <sz val="10"/>
            <color indexed="81"/>
            <rFont val="Tahoma"/>
            <family val="2"/>
          </rPr>
          <t>Um critério é agregar um 1% da taxa de rieco por cada fator de ameaça dp projeto, até um 15% máximo.</t>
        </r>
        <r>
          <rPr>
            <sz val="8"/>
            <color indexed="81"/>
            <rFont val="Tahoma"/>
            <family val="2"/>
          </rPr>
          <t xml:space="preserve">
</t>
        </r>
      </text>
    </comment>
    <comment ref="G25" authorId="0" shapeId="0" xr:uid="{00000000-0006-0000-4900-000004000000}">
      <text>
        <r>
          <rPr>
            <b/>
            <sz val="10"/>
            <color indexed="81"/>
            <rFont val="Tahoma"/>
            <family val="2"/>
          </rPr>
          <t xml:space="preserve">MMP: </t>
        </r>
        <r>
          <rPr>
            <sz val="10"/>
            <color indexed="81"/>
            <rFont val="Tahoma"/>
            <family val="2"/>
          </rPr>
          <t>Custo financeiro dos fluxos de caixa negativos.
Por defeito o máximo custo financeiro meio da empresa.</t>
        </r>
        <r>
          <rPr>
            <sz val="8"/>
            <color indexed="81"/>
            <rFont val="Tahoma"/>
            <family val="2"/>
          </rPr>
          <t xml:space="preserve">
</t>
        </r>
      </text>
    </comment>
    <comment ref="G26" authorId="0" shapeId="0" xr:uid="{00000000-0006-0000-4900-000005000000}">
      <text>
        <r>
          <rPr>
            <b/>
            <sz val="10"/>
            <color indexed="81"/>
            <rFont val="Tahoma"/>
            <family val="2"/>
          </rPr>
          <t xml:space="preserve">MMP: </t>
        </r>
        <r>
          <rPr>
            <sz val="10"/>
            <color indexed="81"/>
            <rFont val="Tahoma"/>
            <family val="2"/>
          </rPr>
          <t>taxa de juros ou rentabilidade dos fluxos de efetivo obtidos.
Por defeito é a taxa de juros na conta corrente.</t>
        </r>
        <r>
          <rPr>
            <sz val="8"/>
            <color indexed="81"/>
            <rFont val="Tahoma"/>
            <family val="2"/>
          </rPr>
          <t xml:space="preserve">
</t>
        </r>
      </text>
    </comment>
    <comment ref="B27" authorId="0" shapeId="0" xr:uid="{00000000-0006-0000-4900-000006000000}">
      <text>
        <r>
          <rPr>
            <b/>
            <sz val="10"/>
            <color indexed="81"/>
            <rFont val="Tahoma"/>
            <family val="2"/>
          </rPr>
          <t xml:space="preserve">MMP: </t>
        </r>
        <r>
          <rPr>
            <sz val="10"/>
            <color indexed="81"/>
            <rFont val="Tahoma"/>
            <family val="2"/>
          </rPr>
          <t>Suma da taxa de risco livre mais as componêntes da taxa de risco da própria da empresa.</t>
        </r>
        <r>
          <rPr>
            <sz val="8"/>
            <color indexed="81"/>
            <rFont val="Tahoma"/>
            <family val="2"/>
          </rPr>
          <t xml:space="preserve">
 </t>
        </r>
      </text>
    </comment>
    <comment ref="G32" authorId="0" shapeId="0" xr:uid="{00000000-0006-0000-4900-000007000000}">
      <text>
        <r>
          <rPr>
            <b/>
            <sz val="10"/>
            <color indexed="81"/>
            <rFont val="Tahoma"/>
            <family val="2"/>
          </rPr>
          <t xml:space="preserve">Miguel: </t>
        </r>
        <r>
          <rPr>
            <sz val="10"/>
            <color indexed="81"/>
            <rFont val="Tahoma"/>
            <family val="2"/>
          </rPr>
          <t xml:space="preserve"> Valoração em relação ao EBITDA do ano 4.</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28" authorId="0" shapeId="0" xr:uid="{00000000-0006-0000-4A00-000001000000}">
      <text>
        <r>
          <rPr>
            <b/>
            <sz val="8"/>
            <color indexed="81"/>
            <rFont val="Tahoma"/>
            <family val="2"/>
          </rPr>
          <t>Miguel:</t>
        </r>
        <r>
          <rPr>
            <sz val="8"/>
            <color indexed="81"/>
            <rFont val="Tahoma"/>
            <family val="2"/>
          </rPr>
          <t xml:space="preserve">
  Recuperación de las inversiones propias en capital.</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55" authorId="0" shapeId="0" xr:uid="{00000000-0006-0000-4B00-000001000000}">
      <text>
        <r>
          <rPr>
            <b/>
            <sz val="8"/>
            <color indexed="81"/>
            <rFont val="Tahoma"/>
            <family val="2"/>
          </rPr>
          <t>Miguel:</t>
        </r>
        <r>
          <rPr>
            <sz val="8"/>
            <color indexed="81"/>
            <rFont val="Tahoma"/>
            <family val="2"/>
          </rPr>
          <t xml:space="preserve">
</t>
        </r>
        <r>
          <rPr>
            <sz val="10"/>
            <color indexed="81"/>
            <rFont val="Tahoma"/>
            <family val="2"/>
          </rPr>
          <t>La columna de datos se puede usar cuando los precios no tienen estacionalidad y son los mismos para todos los meses del año.
Si se desea hacer las previsiones de ventas directamente en Euros, habría que poner aquí directamente 1 ( o 1000 si se quisieran hacer en miles de euros) en TODAS las familias cuyas ventas se vaya a especificar en la siguiente hoja (Ventas) en Euros y no en Unidades.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Abderraman 6.327</author>
    <author>Miguel Martínez</author>
    <author>Miguel</author>
    <author>Miguel Martinez</author>
  </authors>
  <commentList>
    <comment ref="H6" authorId="0" shapeId="0" xr:uid="{00000000-0006-0000-0300-000001000000}">
      <text>
        <r>
          <rPr>
            <b/>
            <sz val="11"/>
            <color indexed="81"/>
            <rFont val="Tahoma"/>
            <family val="2"/>
          </rPr>
          <t xml:space="preserve">Miguel Martínez:
</t>
        </r>
        <r>
          <rPr>
            <sz val="11"/>
            <color indexed="81"/>
            <rFont val="Tahoma"/>
            <family val="2"/>
          </rPr>
          <t xml:space="preserve">%   das vendas a considerar como não pagas à data de vencimento e que porém teríam de ser reclamadas.
</t>
        </r>
      </text>
    </comment>
    <comment ref="I6" authorId="0" shapeId="0" xr:uid="{00000000-0006-0000-0300-000002000000}">
      <text>
        <r>
          <rPr>
            <b/>
            <sz val="8"/>
            <color indexed="81"/>
            <rFont val="Tahoma"/>
            <family val="2"/>
          </rPr>
          <t xml:space="preserve">Miguel Martínez:
</t>
        </r>
        <r>
          <rPr>
            <sz val="10"/>
            <color indexed="81"/>
            <rFont val="Tahoma"/>
            <family val="2"/>
          </rPr>
          <t xml:space="preserve">   Porcentagem das vendas que não é cobrado na data de vencimento e que porém terá de ser reclamado.</t>
        </r>
      </text>
    </comment>
    <comment ref="H8" authorId="0" shapeId="0" xr:uid="{00000000-0006-0000-0300-000003000000}">
      <text>
        <r>
          <rPr>
            <b/>
            <sz val="11"/>
            <color indexed="81"/>
            <rFont val="Tahoma"/>
            <family val="2"/>
          </rPr>
          <t xml:space="preserve">Miguel Martínez:
</t>
        </r>
        <r>
          <rPr>
            <sz val="11"/>
            <color indexed="81"/>
            <rFont val="Tahoma"/>
            <family val="2"/>
          </rPr>
          <t xml:space="preserve">   % do montante de impagos que serão presivimelmente pago antes do 1er ano.</t>
        </r>
        <r>
          <rPr>
            <b/>
            <sz val="11"/>
            <color indexed="81"/>
            <rFont val="Tahoma"/>
            <family val="2"/>
          </rPr>
          <t xml:space="preserve">
    </t>
        </r>
        <r>
          <rPr>
            <sz val="11"/>
            <color indexed="81"/>
            <rFont val="Tahoma"/>
            <family val="2"/>
          </rPr>
          <t xml:space="preserve">O porcetagem considera-se sobre o total dos impagos do ano precedente, NÃO sobre as vendas.
    A recuperação da morosidade é considerada em promedio (uniformemente distribuida) nos meses do ano seguinte do ano em que se produzirem.
</t>
        </r>
      </text>
    </comment>
    <comment ref="I8" authorId="0" shapeId="0" xr:uid="{00000000-0006-0000-0300-000004000000}">
      <text>
        <r>
          <rPr>
            <b/>
            <sz val="11"/>
            <color indexed="81"/>
            <rFont val="Tahoma"/>
            <family val="2"/>
          </rPr>
          <t xml:space="preserve">Miguel Martínez:
</t>
        </r>
        <r>
          <rPr>
            <sz val="11"/>
            <color indexed="81"/>
            <rFont val="Tahoma"/>
            <family val="2"/>
          </rPr>
          <t xml:space="preserve">    Porcentagem do montante dos impagos que é recuperado antes dum ano.
    Este porcentagem é considerado sobre o total dos impagos producidos no ano anterior, NÃO sobre as vendas.
    A recuperação da morosidade se supor que é promedidada, quer esto dizer que é uniformemente distribuida nos meses do ano seguinte a aquel en que fore produzida.
</t>
        </r>
      </text>
    </comment>
    <comment ref="C9" authorId="1" shapeId="0" xr:uid="{00000000-0006-0000-0300-000005000000}">
      <text>
        <r>
          <rPr>
            <b/>
            <sz val="11"/>
            <color indexed="81"/>
            <rFont val="Tahoma"/>
            <family val="2"/>
          </rPr>
          <t>Miguel Martínez:</t>
        </r>
        <r>
          <rPr>
            <sz val="11"/>
            <color indexed="81"/>
            <rFont val="Tahoma"/>
            <family val="2"/>
          </rPr>
          <t xml:space="preserve">
Este é o nivel de seguridade mínimo para a tesouraria.
Só afeta ao apólice de crédito para garantir este nivel mínimo em qualquer mes.
</t>
        </r>
      </text>
    </comment>
    <comment ref="C11" authorId="2" shapeId="0" xr:uid="{00000000-0006-0000-0300-000006000000}">
      <text>
        <r>
          <rPr>
            <sz val="11"/>
            <color indexed="81"/>
            <rFont val="Tahoma"/>
            <family val="2"/>
          </rPr>
          <t>Taxa de inflacção prevista.
Esta taxa usa-se para calcular o VAN, o TIR, etc.</t>
        </r>
      </text>
    </comment>
    <comment ref="G11" authorId="2" shapeId="0" xr:uid="{00000000-0006-0000-0300-000007000000}">
      <text>
        <r>
          <rPr>
            <sz val="12"/>
            <color indexed="81"/>
            <rFont val="Tahoma"/>
            <family val="2"/>
          </rPr>
          <t xml:space="preserve">Moeda em que as previsões são feitas.
NÃO CONVERTE QUANTIDADE NENHUMA
só muda os rótulos.
As previsões são feitas segundo a normativa em vigor em Espanha: Seguridade Social, Impostos, IVA (ou outro imposto indireto)
</t>
        </r>
      </text>
    </comment>
    <comment ref="A18" authorId="2" shapeId="0" xr:uid="{00000000-0006-0000-0300-000008000000}">
      <text>
        <r>
          <rPr>
            <sz val="11"/>
            <color indexed="81"/>
            <rFont val="Tahoma"/>
            <family val="2"/>
          </rPr>
          <t xml:space="preserve"> Cada % se aplica sobre los gastos fijos del año anterior.
Este parámetro NO se usa para calcular VAN, TIR, etc.</t>
        </r>
      </text>
    </comment>
    <comment ref="E20" authorId="2" shapeId="0" xr:uid="{00000000-0006-0000-0300-000009000000}">
      <text>
        <r>
          <rPr>
            <sz val="12"/>
            <color indexed="81"/>
            <rFont val="Tahoma"/>
            <family val="2"/>
          </rPr>
          <t>Esto é a amplitude da variabilidade aleatoria que pode ser usada para a generação dumas previsões de vendas corregidas com um coeficiente aleatorio de: 
                 1± amplitude/2
Deixar 0,00% para deixar as previsões de vendas sem qualquer alteração aleatoria.</t>
        </r>
      </text>
    </comment>
    <comment ref="A22" authorId="2" shapeId="0" xr:uid="{00000000-0006-0000-0300-00000A000000}">
      <text>
        <r>
          <rPr>
            <sz val="12"/>
            <color indexed="81"/>
            <rFont val="Tahoma"/>
            <family val="2"/>
          </rPr>
          <t xml:space="preserve">A taxa de imposto indireito pode-se elegir na folha de </t>
        </r>
        <r>
          <rPr>
            <b/>
            <sz val="12"/>
            <color indexed="81"/>
            <rFont val="Tahoma"/>
            <family val="2"/>
          </rPr>
          <t>Dados Básicos, nas celas A26 para a taxa de IVA repercutido e na cela A27 para a taxa de IVA soportado.</t>
        </r>
        <r>
          <rPr>
            <sz val="12"/>
            <color indexed="81"/>
            <rFont val="Tahoma"/>
            <family val="2"/>
          </rPr>
          <t xml:space="preserve">
</t>
        </r>
      </text>
    </comment>
    <comment ref="A24" authorId="1" shapeId="0" xr:uid="{00000000-0006-0000-0300-00000B000000}">
      <text>
        <r>
          <rPr>
            <b/>
            <sz val="8"/>
            <color indexed="81"/>
            <rFont val="Tahoma"/>
            <family val="2"/>
          </rPr>
          <t>Miguel Martínez:</t>
        </r>
        <r>
          <rPr>
            <sz val="8"/>
            <color indexed="81"/>
            <rFont val="Tahoma"/>
            <family val="2"/>
          </rPr>
          <t xml:space="preserve">
</t>
        </r>
        <r>
          <rPr>
            <sz val="12"/>
            <color indexed="81"/>
            <rFont val="Tahoma"/>
            <family val="2"/>
          </rPr>
          <t>Los nombres de las familias se ponen en la hoja de Precios CV.</t>
        </r>
      </text>
    </comment>
    <comment ref="A36" authorId="0" shapeId="0" xr:uid="{00000000-0006-0000-0300-00000C000000}">
      <text>
        <r>
          <rPr>
            <sz val="11"/>
            <color indexed="81"/>
            <rFont val="Tahoma"/>
            <family val="2"/>
          </rPr>
          <t xml:space="preserve">
   Plazo en años en el que el importe de la subvención se imputará como resultado extraordinario.
   Se refieren a las concedidas cada año que se suponen al inicio del ejercicio correspondiente.</t>
        </r>
      </text>
    </comment>
    <comment ref="C38" authorId="2" shapeId="0" xr:uid="{00000000-0006-0000-0300-00000D000000}">
      <text>
        <r>
          <rPr>
            <sz val="12"/>
            <color indexed="81"/>
            <rFont val="Tahoma"/>
            <family val="2"/>
          </rPr>
          <t xml:space="preserve">MMP:  
     Por defeito toma-se o valor habitual de 5 anos.
</t>
        </r>
      </text>
    </comment>
    <comment ref="B42" authorId="3" shapeId="0" xr:uid="{00000000-0006-0000-0300-00000E000000}">
      <text>
        <r>
          <rPr>
            <b/>
            <sz val="11"/>
            <color indexed="81"/>
            <rFont val="Tahoma"/>
            <family val="2"/>
          </rPr>
          <t>Miguel Martinez:</t>
        </r>
        <r>
          <rPr>
            <sz val="11"/>
            <color indexed="81"/>
            <rFont val="Tahoma"/>
            <family val="2"/>
          </rPr>
          <t xml:space="preserve">
O modelo não permite (ainda) que os lucros previos sejam distribuidos como dividendos.
São completamente acumulados às reservas.</t>
        </r>
      </text>
    </comment>
    <comment ref="C42" authorId="2" shapeId="0" xr:uid="{00000000-0006-0000-0300-00000F000000}">
      <text>
        <r>
          <rPr>
            <sz val="12"/>
            <color indexed="81"/>
            <rFont val="Tahoma"/>
            <family val="2"/>
          </rPr>
          <t xml:space="preserve">Só serão distribuidos dividendos se o lucro do exercicio fosse positivo. 
E além disso, não houver pèrdidas a compensar dos exercícios precedentes.
Se podem atribuir diferentes porcentagems de reparto para cada um dos anos da simulação.
</t>
        </r>
      </text>
    </comment>
    <comment ref="C46" authorId="2" shapeId="0" xr:uid="{00000000-0006-0000-0300-000010000000}">
      <text>
        <r>
          <rPr>
            <b/>
            <sz val="11"/>
            <color indexed="81"/>
            <rFont val="Tahoma"/>
            <family val="2"/>
          </rPr>
          <t>Miguel:</t>
        </r>
        <r>
          <rPr>
            <sz val="11"/>
            <color indexed="81"/>
            <rFont val="Tahoma"/>
            <family val="2"/>
          </rPr>
          <t xml:space="preserve">
   Por defeito será como a antiguidade para as amortiza¡ões acumuladas do investimento inicial.
</t>
        </r>
      </text>
    </comment>
    <comment ref="C48" authorId="2" shapeId="0" xr:uid="{00000000-0006-0000-0300-000011000000}">
      <text>
        <r>
          <rPr>
            <b/>
            <sz val="11"/>
            <color indexed="81"/>
            <rFont val="Tahoma"/>
            <family val="2"/>
          </rPr>
          <t>Miguel:</t>
        </r>
        <r>
          <rPr>
            <sz val="11"/>
            <color indexed="81"/>
            <rFont val="Tahoma"/>
            <family val="2"/>
          </rPr>
          <t xml:space="preserve">
   O incremento automático dos estoques permite que sejam calculados automaticamente os investimentos em estoques para manter o ratio dos estoques sobre as vendas.
   Se ficar em Não, os estoques iniciais se manterão constantes para qualquer quantidade de vendas que se produzir.
</t>
        </r>
      </text>
    </comment>
    <comment ref="A53" authorId="3" shapeId="0" xr:uid="{00000000-0006-0000-0300-000012000000}">
      <text>
        <r>
          <rPr>
            <b/>
            <sz val="11"/>
            <color indexed="81"/>
            <rFont val="Tahoma"/>
            <family val="2"/>
          </rPr>
          <t>Miguel Martinez:</t>
        </r>
        <r>
          <rPr>
            <sz val="11"/>
            <color indexed="81"/>
            <rFont val="Tahoma"/>
            <family val="2"/>
          </rPr>
          <t xml:space="preserve">
Si el mes de inicio no es el primer mes del año, todos los cobros de subvenciones de los meses anteriores al mes de inicio se acumulan en el mes de inicio para garantizar que los balances cuadran.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B70" authorId="0" shapeId="0" xr:uid="{00000000-0006-0000-4C00-000001000000}">
      <text>
        <r>
          <rPr>
            <b/>
            <sz val="9"/>
            <color indexed="81"/>
            <rFont val="Tahoma"/>
            <family val="2"/>
          </rPr>
          <t>Miguel Martinez:</t>
        </r>
        <r>
          <rPr>
            <sz val="9"/>
            <color indexed="81"/>
            <rFont val="Tahoma"/>
            <family val="2"/>
          </rPr>
          <t xml:space="preserve">
Patrimonio Neto del Balance Inicial Previo</t>
        </r>
      </text>
    </comment>
    <comment ref="B72" authorId="0" shapeId="0" xr:uid="{00000000-0006-0000-4C00-000002000000}">
      <text>
        <r>
          <rPr>
            <b/>
            <sz val="9"/>
            <color indexed="81"/>
            <rFont val="Tahoma"/>
            <family val="2"/>
          </rPr>
          <t>Miguel Martinez:</t>
        </r>
        <r>
          <rPr>
            <sz val="9"/>
            <color indexed="81"/>
            <rFont val="Tahoma"/>
            <family val="2"/>
          </rPr>
          <t xml:space="preserve">
Ampliación de Capital al inicio (NO en el Previo)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D19" authorId="0" shapeId="0" xr:uid="{00000000-0006-0000-0400-000001000000}">
      <text>
        <r>
          <rPr>
            <b/>
            <sz val="11"/>
            <color indexed="81"/>
            <rFont val="Tahoma"/>
            <family val="2"/>
          </rPr>
          <t>Miguel Martinez:</t>
        </r>
        <r>
          <rPr>
            <sz val="11"/>
            <color indexed="81"/>
            <rFont val="Tahoma"/>
            <family val="2"/>
          </rPr>
          <t xml:space="preserve">
NO CAMBIAR  Esta cifra proviene de los gastos fijos (alquiler) y es necesario para que no descuadre.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D6" authorId="0" shapeId="0" xr:uid="{00000000-0006-0000-0500-000001000000}">
      <text>
        <r>
          <rPr>
            <b/>
            <sz val="8"/>
            <color indexed="81"/>
            <rFont val="Tahoma"/>
            <family val="2"/>
          </rPr>
          <t>Miguel:</t>
        </r>
        <r>
          <rPr>
            <sz val="8"/>
            <color indexed="81"/>
            <rFont val="Tahoma"/>
            <family val="2"/>
          </rPr>
          <t xml:space="preserve">
Os terrenos NÃO poden ser amortizados.</t>
        </r>
      </text>
    </comment>
    <comment ref="E6" authorId="0" shapeId="0" xr:uid="{00000000-0006-0000-0500-000002000000}">
      <text>
        <r>
          <rPr>
            <b/>
            <sz val="8"/>
            <color indexed="81"/>
            <rFont val="Tahoma"/>
            <family val="2"/>
          </rPr>
          <t>Miguel:</t>
        </r>
        <r>
          <rPr>
            <sz val="8"/>
            <color indexed="81"/>
            <rFont val="Tahoma"/>
            <family val="2"/>
          </rPr>
          <t xml:space="preserve">
Os terrenos NÃO poden ser amortizados.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Miguel Martínez</author>
    <author>Miguel</author>
  </authors>
  <commentList>
    <comment ref="A7" authorId="0" shapeId="0" xr:uid="{00000000-0006-0000-0700-000001000000}">
      <text>
        <r>
          <rPr>
            <b/>
            <sz val="10"/>
            <color indexed="81"/>
            <rFont val="Tahoma"/>
            <family val="2"/>
          </rPr>
          <t>Miguel Martínez:</t>
        </r>
        <r>
          <rPr>
            <sz val="10"/>
            <color indexed="81"/>
            <rFont val="Tahoma"/>
            <family val="2"/>
          </rPr>
          <t xml:space="preserve">
As despesas de Constitução NÃO podem ser amortizadas, e porém aparcerão com sino negativo no Patrimonio Neto da empresa minusvalorando as reservas no Balanço de Situação.
</t>
        </r>
      </text>
    </comment>
    <comment ref="B8" authorId="1" shapeId="0" xr:uid="{00000000-0006-0000-0700-000002000000}">
      <text>
        <r>
          <rPr>
            <b/>
            <sz val="8"/>
            <color indexed="81"/>
            <rFont val="Tahoma"/>
            <family val="2"/>
          </rPr>
          <t xml:space="preserve">MMP: </t>
        </r>
        <r>
          <rPr>
            <sz val="8"/>
            <color indexed="81"/>
            <rFont val="Tahoma"/>
            <family val="2"/>
          </rPr>
          <t xml:space="preserve"> 
Valores por defeito para sociedades mercantiles.
Podem ser modificados.</t>
        </r>
        <r>
          <rPr>
            <sz val="8"/>
            <color indexed="81"/>
            <rFont val="Tahoma"/>
            <family val="2"/>
          </rPr>
          <t xml:space="preserve">
</t>
        </r>
      </text>
    </comment>
    <comment ref="C11" authorId="1" shapeId="0" xr:uid="{00000000-0006-0000-0700-000003000000}">
      <text>
        <r>
          <rPr>
            <b/>
            <sz val="8"/>
            <color indexed="81"/>
            <rFont val="Tahoma"/>
            <family val="2"/>
          </rPr>
          <t>Miguel:</t>
        </r>
        <r>
          <rPr>
            <sz val="8"/>
            <color indexed="81"/>
            <rFont val="Tahoma"/>
            <family val="2"/>
          </rPr>
          <t xml:space="preserve">
</t>
        </r>
        <r>
          <rPr>
            <sz val="10"/>
            <color indexed="81"/>
            <rFont val="Tahoma"/>
            <family val="2"/>
          </rPr>
          <t xml:space="preserve">
O ITP depende dos montos dos investimentos de quais sejam e como forem finançadas. </t>
        </r>
      </text>
    </comment>
    <comment ref="A14" authorId="0" shapeId="0" xr:uid="{00000000-0006-0000-0700-000004000000}">
      <text>
        <r>
          <rPr>
            <b/>
            <sz val="10"/>
            <color indexed="81"/>
            <rFont val="Tahoma"/>
            <family val="2"/>
          </rPr>
          <t>Miguel Martínez:</t>
        </r>
        <r>
          <rPr>
            <sz val="10"/>
            <color indexed="81"/>
            <rFont val="Tahoma"/>
            <family val="2"/>
          </rPr>
          <t xml:space="preserve">
Los gastos de establecimiento (primero o sucesivas ampliaciones) se imputarán en el año en el que se produzcan sin necesidad de ser amortizados (PGC Pymes)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s>
  <commentList>
    <comment ref="D7" authorId="0" shapeId="0" xr:uid="{00000000-0006-0000-0800-000001000000}">
      <text>
        <r>
          <rPr>
            <b/>
            <sz val="11"/>
            <color indexed="81"/>
            <rFont val="Tahoma"/>
            <family val="2"/>
          </rPr>
          <t>Miguel Martinez:</t>
        </r>
        <r>
          <rPr>
            <sz val="11"/>
            <color indexed="81"/>
            <rFont val="Tahoma"/>
            <family val="2"/>
          </rPr>
          <t xml:space="preserve">
Esta cela calcula a correção da caixa que é necessario fazer para que o Balanço Previo fique batido, e que seja possivel modificar ao Inicio sobre o Balanço Inicial previo e fiquem refletidas no Balanço Inicial.</t>
        </r>
      </text>
    </comment>
    <comment ref="A12" authorId="1" shapeId="0" xr:uid="{00000000-0006-0000-0800-000002000000}">
      <text>
        <r>
          <rPr>
            <b/>
            <sz val="8"/>
            <color indexed="81"/>
            <rFont val="Tahoma"/>
            <family val="2"/>
          </rPr>
          <t>Miguel:</t>
        </r>
        <r>
          <rPr>
            <sz val="8"/>
            <color indexed="81"/>
            <rFont val="Tahoma"/>
            <family val="2"/>
          </rPr>
          <t xml:space="preserve">
</t>
        </r>
        <r>
          <rPr>
            <sz val="11"/>
            <color indexed="81"/>
            <rFont val="Tahoma"/>
            <family val="2"/>
          </rPr>
          <t>Os nomes dos aprovisonamentos podem-se modificar caso de ser necessário.</t>
        </r>
      </text>
    </comment>
    <comment ref="E12" authorId="1" shapeId="0" xr:uid="{00000000-0006-0000-0800-000003000000}">
      <text>
        <r>
          <rPr>
            <sz val="10"/>
            <color indexed="81"/>
            <rFont val="Tahoma"/>
            <family val="2"/>
          </rPr>
          <t xml:space="preserve">Porcentágem que é aportado em especie, e porém NÃO sujeto a IVA.
O resto é considerado comprado, e porém sujeto a IVA
</t>
        </r>
      </text>
    </comment>
    <comment ref="E13" authorId="1" shapeId="0" xr:uid="{00000000-0006-0000-0800-000004000000}">
      <text>
        <r>
          <rPr>
            <sz val="10"/>
            <color indexed="81"/>
            <rFont val="Tahoma"/>
            <family val="2"/>
          </rPr>
          <t xml:space="preserve">Porcentágem que é aportado em especie, e porém NÃO sujeto a IVA.
O resto é considerado comprado, e porém sujeto a IVA
</t>
        </r>
      </text>
    </comment>
    <comment ref="E14" authorId="1" shapeId="0" xr:uid="{00000000-0006-0000-0800-000005000000}">
      <text>
        <r>
          <rPr>
            <sz val="10"/>
            <color indexed="81"/>
            <rFont val="Tahoma"/>
            <family val="2"/>
          </rPr>
          <t xml:space="preserve">Porcentágem que é aportado em especie, e porém NÃO sujeto a IVA.
O resto é considerado comprado, e porém sujeto a IVA
</t>
        </r>
      </text>
    </comment>
    <comment ref="C39" authorId="1" shapeId="0" xr:uid="{00000000-0006-0000-0800-000006000000}">
      <text>
        <r>
          <rPr>
            <b/>
            <sz val="11"/>
            <color indexed="81"/>
            <rFont val="Tahoma"/>
            <family val="2"/>
          </rPr>
          <t>Miguel:</t>
        </r>
        <r>
          <rPr>
            <sz val="11"/>
            <color indexed="81"/>
            <rFont val="Tahoma"/>
            <family val="2"/>
          </rPr>
          <t xml:space="preserve">
   Los incrementos de almacén están por defecto prorrateados de forma proporcional a los incrementos de ventas interanuales, y dentro de cada año a la composición del almacén inicial.
    En el caso del primer año (año 1) se calculan en función de las ventas mensuales medias del año anterior (año 0) en el caso de que el mes de inicio no sea enero del primer año.</t>
        </r>
      </text>
    </comment>
    <comment ref="B46" authorId="1" shapeId="0" xr:uid="{00000000-0006-0000-0800-000007000000}">
      <text>
        <r>
          <rPr>
            <b/>
            <sz val="11"/>
            <color indexed="81"/>
            <rFont val="Tahoma"/>
            <family val="2"/>
          </rPr>
          <t>Miguel:</t>
        </r>
        <r>
          <rPr>
            <sz val="11"/>
            <color indexed="81"/>
            <rFont val="Tahoma"/>
            <family val="2"/>
          </rPr>
          <t xml:space="preserve">
   Os investimentos em tesouraria não são considerados porque são usados para o cuadre dos balanços. São calculados por diferência, quer dizer, os excessos de finaçzamento são colocados na tesouraria inicial do correspondente exercicio.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MMP</author>
  </authors>
  <commentList>
    <comment ref="D14" authorId="0" shapeId="0" xr:uid="{00000000-0006-0000-0900-000001000000}">
      <text>
        <r>
          <rPr>
            <b/>
            <sz val="12"/>
            <color indexed="81"/>
            <rFont val="Tahoma"/>
            <family val="2"/>
          </rPr>
          <t>Miguel Martinez:</t>
        </r>
        <r>
          <rPr>
            <sz val="12"/>
            <color indexed="81"/>
            <rFont val="Tahoma"/>
            <family val="2"/>
          </rPr>
          <t xml:space="preserve">
Se se começar dum Balanço Inicial previo, a quantidade cá escrita será considerada ampliação de capital.
</t>
        </r>
      </text>
    </comment>
    <comment ref="A19" authorId="1" shapeId="0" xr:uid="{00000000-0006-0000-0900-000002000000}">
      <text>
        <r>
          <rPr>
            <b/>
            <sz val="12"/>
            <color indexed="81"/>
            <rFont val="Tahoma"/>
            <family val="2"/>
          </rPr>
          <t>Miguel:</t>
        </r>
        <r>
          <rPr>
            <sz val="12"/>
            <color indexed="81"/>
            <rFont val="Tahoma"/>
            <family val="2"/>
          </rPr>
          <t xml:space="preserve">
Só deveríam ser introduzidas na finançação as subvenções se se tiver comfirmação e data de combrança.
Só devem ser consideradas as subveções a fundo perdido, já que as subvenções reembolsáveis são de fato empréstimos temporarios.
</t>
        </r>
      </text>
    </comment>
    <comment ref="C32" authorId="1" shapeId="0" xr:uid="{00000000-0006-0000-0900-000003000000}">
      <text>
        <r>
          <rPr>
            <sz val="11"/>
            <color indexed="81"/>
            <rFont val="Tahoma"/>
            <family val="2"/>
          </rPr>
          <t xml:space="preserve">
O % de taxa de interés depende do tipo de empréstimo que se solicitar.
</t>
        </r>
      </text>
    </comment>
    <comment ref="A33" authorId="1" shapeId="0" xr:uid="{00000000-0006-0000-0900-000004000000}">
      <text>
        <r>
          <rPr>
            <b/>
            <sz val="11"/>
            <color indexed="81"/>
            <rFont val="Tahoma"/>
            <family val="2"/>
          </rPr>
          <t>Miguel:</t>
        </r>
        <r>
          <rPr>
            <sz val="11"/>
            <color indexed="81"/>
            <rFont val="Tahoma"/>
            <family val="2"/>
          </rPr>
          <t xml:space="preserve">
    As despesas iniciais são pagas juntamente com a primeira quota do emprestimo (do ano que lhe corresponder) </t>
        </r>
      </text>
    </comment>
    <comment ref="C33" authorId="1" shapeId="0" xr:uid="{00000000-0006-0000-0900-000005000000}">
      <text>
        <r>
          <rPr>
            <sz val="10"/>
            <color indexed="81"/>
            <rFont val="Tahoma"/>
            <family val="2"/>
          </rPr>
          <t xml:space="preserve">
As despesas iniciais se estimam sobre o principal em %, Devem incluir TODAS as depesas de apertura e constituição do empréstimo.
</t>
        </r>
        <r>
          <rPr>
            <b/>
            <sz val="10"/>
            <color indexed="81"/>
            <rFont val="Tahoma"/>
            <family val="2"/>
          </rPr>
          <t>Deve ser um % entre 0% e 5%</t>
        </r>
        <r>
          <rPr>
            <sz val="10"/>
            <color indexed="81"/>
            <rFont val="Tahoma"/>
            <family val="2"/>
          </rPr>
          <t xml:space="preserve">
Será pago duma só vez conjuntamente com a primeira mensualidad (o pagamento de intereses no caso de houver periodo de carência)
</t>
        </r>
      </text>
    </comment>
    <comment ref="A34" authorId="2" shapeId="0" xr:uid="{00000000-0006-0000-0900-000006000000}">
      <text>
        <r>
          <rPr>
            <b/>
            <sz val="10"/>
            <color indexed="81"/>
            <rFont val="Tahoma"/>
            <family val="2"/>
          </rPr>
          <t>MMP:</t>
        </r>
        <r>
          <rPr>
            <sz val="10"/>
            <color indexed="81"/>
            <rFont val="Tahoma"/>
            <family val="2"/>
          </rPr>
          <t xml:space="preserve">
O periodo de carência não é incluido no número total de pagos. É por isso que a duração total do emprestimo serão: :
</t>
        </r>
        <r>
          <rPr>
            <b/>
            <sz val="10"/>
            <color indexed="81"/>
            <rFont val="Tahoma"/>
            <family val="2"/>
          </rPr>
          <t>nº total de prazos + periodos de carência</t>
        </r>
      </text>
    </comment>
    <comment ref="C36" authorId="2" shapeId="0" xr:uid="{00000000-0006-0000-0900-000007000000}">
      <text>
        <r>
          <rPr>
            <b/>
            <sz val="10"/>
            <color indexed="81"/>
            <rFont val="Tahoma"/>
            <family val="2"/>
          </rPr>
          <t>MMP:</t>
        </r>
        <r>
          <rPr>
            <sz val="10"/>
            <color indexed="81"/>
            <rFont val="Tahoma"/>
            <family val="2"/>
          </rPr>
          <t xml:space="preserve">
O periodo de carência não se inclui no número total de pagamentos e por tanto a duração total do empréstimo é:
</t>
        </r>
        <r>
          <rPr>
            <b/>
            <sz val="10"/>
            <color indexed="81"/>
            <rFont val="Tahoma"/>
            <family val="2"/>
          </rPr>
          <t>nº total de prazos + periodos de carência</t>
        </r>
      </text>
    </comment>
    <comment ref="D36" authorId="2" shapeId="0" xr:uid="{00000000-0006-0000-0900-000008000000}">
      <text>
        <r>
          <rPr>
            <b/>
            <sz val="10"/>
            <color indexed="81"/>
            <rFont val="Tahoma"/>
            <family val="2"/>
          </rPr>
          <t>MMP:</t>
        </r>
        <r>
          <rPr>
            <sz val="10"/>
            <color indexed="81"/>
            <rFont val="Tahoma"/>
            <family val="2"/>
          </rPr>
          <t xml:space="preserve">
O periodo de carência não se inclui no número total de pagamentos e por tanto a duração total do empréstimo é:
</t>
        </r>
        <r>
          <rPr>
            <b/>
            <sz val="10"/>
            <color indexed="81"/>
            <rFont val="Tahoma"/>
            <family val="2"/>
          </rPr>
          <t>nº total de prazos + periodos de carência</t>
        </r>
      </text>
    </comment>
    <comment ref="D49" authorId="1" shapeId="0" xr:uid="{00000000-0006-0000-0900-000009000000}">
      <text>
        <r>
          <rPr>
            <b/>
            <sz val="12"/>
            <color indexed="81"/>
            <rFont val="Tahoma"/>
            <family val="2"/>
          </rPr>
          <t xml:space="preserve">Miguel: 
</t>
        </r>
        <r>
          <rPr>
            <sz val="12"/>
            <color indexed="81"/>
            <rFont val="Tahoma"/>
            <family val="2"/>
          </rPr>
          <t>Supõe-se uma única apólice de crédito cujas condições podem variar ano por ano.</t>
        </r>
        <r>
          <rPr>
            <b/>
            <sz val="12"/>
            <color indexed="81"/>
            <rFont val="Tahoma"/>
            <family val="2"/>
          </rPr>
          <t xml:space="preserve">
</t>
        </r>
        <r>
          <rPr>
            <sz val="12"/>
            <color indexed="81"/>
            <rFont val="Tahoma"/>
            <family val="2"/>
          </rPr>
          <t xml:space="preserve">
</t>
        </r>
      </text>
    </comment>
    <comment ref="D51" authorId="1" shapeId="0" xr:uid="{00000000-0006-0000-0900-00000A000000}">
      <text>
        <r>
          <rPr>
            <sz val="11"/>
            <color indexed="81"/>
            <rFont val="Tahoma"/>
            <family val="2"/>
          </rPr>
          <t xml:space="preserve">
O % de taxa de interés depende do tipo de empréstimo que se solicitar.
</t>
        </r>
      </text>
    </comment>
    <comment ref="D52" authorId="1" shapeId="0" xr:uid="{00000000-0006-0000-0900-00000B000000}">
      <text>
        <r>
          <rPr>
            <sz val="11"/>
            <color indexed="81"/>
            <rFont val="Tahoma"/>
            <family val="2"/>
          </rPr>
          <t xml:space="preserve">
O % de taxa de interés depende do tipo de empréstimo que se solicitar.
</t>
        </r>
      </text>
    </comment>
    <comment ref="A58" authorId="1" shapeId="0" xr:uid="{00000000-0006-0000-0900-00000C000000}">
      <text>
        <r>
          <rPr>
            <sz val="12"/>
            <color indexed="81"/>
            <rFont val="Tahoma"/>
            <family val="2"/>
          </rPr>
          <t xml:space="preserve">    En este tipo se deben incluir todos los costes del arrendamiento.
    Debería ser el TAE o una tasa cercana.</t>
        </r>
      </text>
    </comment>
    <comment ref="C60" authorId="1" shapeId="0" xr:uid="{00000000-0006-0000-0900-00000D000000}">
      <text>
        <r>
          <rPr>
            <sz val="10"/>
            <color indexed="81"/>
            <rFont val="Tahoma"/>
            <family val="2"/>
          </rPr>
          <t xml:space="preserve">
As despesas iniciais se estimam sobre o principal em %, Devem incluir TODAS as depesas de apertura e constituição do empréstimo.
</t>
        </r>
        <r>
          <rPr>
            <b/>
            <sz val="10"/>
            <color indexed="81"/>
            <rFont val="Tahoma"/>
            <family val="2"/>
          </rPr>
          <t>Deve ser um % entre 0% e 5%</t>
        </r>
        <r>
          <rPr>
            <sz val="10"/>
            <color indexed="81"/>
            <rFont val="Tahoma"/>
            <family val="2"/>
          </rPr>
          <t xml:space="preserve">
Será pago duma só vez conjuntamente com a primeira mensualidad (o pagamento de intereses no caso de houver periodo de carência)
</t>
        </r>
      </text>
    </comment>
    <comment ref="A69" authorId="1" shapeId="0" xr:uid="{00000000-0006-0000-0900-00000E000000}">
      <text>
        <r>
          <rPr>
            <sz val="12"/>
            <color indexed="81"/>
            <rFont val="Tahoma"/>
            <family val="2"/>
          </rPr>
          <t xml:space="preserve">    En este tipo se deben incluir todos los costes del arrendamiento.
    Debería ser el TAE o una tasa cercana.</t>
        </r>
      </text>
    </comment>
    <comment ref="C70" authorId="1" shapeId="0" xr:uid="{00000000-0006-0000-0900-00000F000000}">
      <text>
        <r>
          <rPr>
            <sz val="10"/>
            <color indexed="81"/>
            <rFont val="Tahoma"/>
            <family val="2"/>
          </rPr>
          <t xml:space="preserve">
As despesas iniciais se estimam sobre o principal em %, Devem incluir TODAS as depesas de apertura e constituição do empréstimo.
</t>
        </r>
        <r>
          <rPr>
            <b/>
            <sz val="10"/>
            <color indexed="81"/>
            <rFont val="Tahoma"/>
            <family val="2"/>
          </rPr>
          <t>Deve ser um % entre 0% e 5%</t>
        </r>
        <r>
          <rPr>
            <sz val="10"/>
            <color indexed="81"/>
            <rFont val="Tahoma"/>
            <family val="2"/>
          </rPr>
          <t xml:space="preserve">
Será pago duma só vez conjuntamente com a primeira mensualidad (o pagamento de intereses no caso de houver periodo de carência)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Miguel</author>
    <author>Abderraman 6.327</author>
    <author>Miguel Martínez</author>
  </authors>
  <commentList>
    <comment ref="D4" authorId="0" shapeId="0" xr:uid="{00000000-0006-0000-0E00-000001000000}">
      <text>
        <r>
          <rPr>
            <b/>
            <sz val="11"/>
            <color indexed="81"/>
            <rFont val="Tahoma"/>
            <family val="2"/>
          </rPr>
          <t>Miguel:</t>
        </r>
        <r>
          <rPr>
            <sz val="11"/>
            <color indexed="81"/>
            <rFont val="Tahoma"/>
            <family val="2"/>
          </rPr>
          <t xml:space="preserve">
O mes do início da atividade póde-se mudar na folha de parámetros, </t>
        </r>
        <r>
          <rPr>
            <b/>
            <u/>
            <sz val="11"/>
            <color indexed="81"/>
            <rFont val="Tahoma"/>
            <family val="2"/>
          </rPr>
          <t>NÃO CÁ</t>
        </r>
        <r>
          <rPr>
            <sz val="11"/>
            <color indexed="81"/>
            <rFont val="Tahoma"/>
            <family val="2"/>
          </rPr>
          <t xml:space="preserve">.
</t>
        </r>
      </text>
    </comment>
    <comment ref="A6" authorId="1" shapeId="0" xr:uid="{00000000-0006-0000-0E00-000002000000}">
      <text>
        <r>
          <rPr>
            <b/>
            <sz val="8"/>
            <color indexed="81"/>
            <rFont val="Tahoma"/>
            <family val="2"/>
          </rPr>
          <t xml:space="preserve">MMP:
</t>
        </r>
        <r>
          <rPr>
            <sz val="10"/>
            <color indexed="81"/>
            <rFont val="Tahoma"/>
            <family val="2"/>
          </rPr>
          <t xml:space="preserve">Solo es necesaria esta hoja (la segunda página de esta hoja de cálculo) en el caso de variaciones de plantilla en los meses de cada año bien por estacionalidad del negocio, bien por imcrementos de plantilla en los meses iniciales de actividad.
</t>
        </r>
        <r>
          <rPr>
            <b/>
            <sz val="12"/>
            <color indexed="81"/>
            <rFont val="Tahoma"/>
            <family val="2"/>
          </rPr>
          <t>Si la plantilla de cada año es siempre la inicial de cada año NO es necesario ni modificar ni imprimirla.</t>
        </r>
      </text>
    </comment>
    <comment ref="B8" authorId="2" shapeId="0" xr:uid="{00000000-0006-0000-0E00-000003000000}">
      <text>
        <r>
          <rPr>
            <b/>
            <sz val="10"/>
            <color indexed="81"/>
            <rFont val="Tahoma"/>
            <family val="2"/>
          </rPr>
          <t>Miguel Martínez:</t>
        </r>
        <r>
          <rPr>
            <sz val="10"/>
            <color indexed="81"/>
            <rFont val="Tahoma"/>
            <family val="2"/>
          </rPr>
          <t xml:space="preserve">
  Quadro inicial do mes 0 do primeiro ano. Ainda que o mes 0 do primeiro ano não seja janeiro.
</t>
        </r>
      </text>
    </comment>
    <comment ref="A9" authorId="2" shapeId="0" xr:uid="{00000000-0006-0000-0E00-000004000000}">
      <text>
        <r>
          <rPr>
            <b/>
            <sz val="11"/>
            <color indexed="81"/>
            <rFont val="Tahoma"/>
            <family val="2"/>
          </rPr>
          <t>Miguel Martínez:</t>
        </r>
        <r>
          <rPr>
            <sz val="11"/>
            <color indexed="81"/>
            <rFont val="Tahoma"/>
            <family val="2"/>
          </rPr>
          <t xml:space="preserve">
   Sócios NÃO sujetos ao Regime Geral da Seguridade Social por não estarem sujetos ao RETA (independentes) ou por estarem exentos (profissionais com mutualidades sustitutivas por exemplo)
</t>
        </r>
      </text>
    </comment>
    <comment ref="A10" authorId="2" shapeId="0" xr:uid="{00000000-0006-0000-0E00-000005000000}">
      <text>
        <r>
          <rPr>
            <b/>
            <sz val="11"/>
            <color indexed="81"/>
            <rFont val="Tahoma"/>
            <family val="2"/>
          </rPr>
          <t>Miguel Martínez:</t>
        </r>
        <r>
          <rPr>
            <sz val="11"/>
            <color indexed="81"/>
            <rFont val="Tahoma"/>
            <family val="2"/>
          </rPr>
          <t xml:space="preserve">
     Pessoas que trabalham no negócio mas que não pódem (o não quiserem) estar incluídas no Regime dos Trabalhadores Independentes por não terem obligação legal (parentes ou cônjuges) ou sócios que recibirem remunerações por qualquer outro motivo mas não pelo seu trabalho.
</t>
        </r>
      </text>
    </comment>
    <comment ref="A20" authorId="2" shapeId="0" xr:uid="{00000000-0006-0000-0E00-000006000000}">
      <text>
        <r>
          <rPr>
            <b/>
            <sz val="11"/>
            <color indexed="81"/>
            <rFont val="Tahoma"/>
            <family val="2"/>
          </rPr>
          <t>Miguel Martínez:</t>
        </r>
        <r>
          <rPr>
            <sz val="11"/>
            <color indexed="81"/>
            <rFont val="Tahoma"/>
            <family val="2"/>
          </rPr>
          <t xml:space="preserve">
        VARIAÇÕES no número de sócios na empresa (incremento ou disminução)
         Pódem ser sócios ou outros no RETA (independentes) 
        Em geral devería haver um sócio no RETA, excepto em casos especiais.
      Caso de que os sócios não tivessem obligação de estarem no RETA da Seguridade Social, deve-se pôr que a quota seja 0, o que não sinifica que o número de sócios seja 0.
</t>
        </r>
      </text>
    </comment>
    <comment ref="B27" authorId="2" shapeId="0" xr:uid="{00000000-0006-0000-0E00-000007000000}">
      <text>
        <r>
          <rPr>
            <b/>
            <sz val="10"/>
            <color indexed="81"/>
            <rFont val="Tahoma"/>
            <family val="2"/>
          </rPr>
          <t>Miguel Martínez:</t>
        </r>
        <r>
          <rPr>
            <sz val="10"/>
            <color indexed="81"/>
            <rFont val="Tahoma"/>
            <family val="2"/>
          </rPr>
          <t xml:space="preserve">
  Quadro inicial do ano.</t>
        </r>
      </text>
    </comment>
    <comment ref="B46" authorId="2" shapeId="0" xr:uid="{00000000-0006-0000-0E00-000008000000}">
      <text>
        <r>
          <rPr>
            <b/>
            <sz val="10"/>
            <color indexed="81"/>
            <rFont val="Tahoma"/>
            <family val="2"/>
          </rPr>
          <t>Miguel Martínez:</t>
        </r>
        <r>
          <rPr>
            <sz val="10"/>
            <color indexed="81"/>
            <rFont val="Tahoma"/>
            <family val="2"/>
          </rPr>
          <t xml:space="preserve">
  Quadro inicial do ano.</t>
        </r>
      </text>
    </comment>
    <comment ref="B65" authorId="2" shapeId="0" xr:uid="{00000000-0006-0000-0E00-000009000000}">
      <text>
        <r>
          <rPr>
            <b/>
            <sz val="10"/>
            <color indexed="81"/>
            <rFont val="Tahoma"/>
            <family val="2"/>
          </rPr>
          <t>Miguel Martínez:</t>
        </r>
        <r>
          <rPr>
            <sz val="10"/>
            <color indexed="81"/>
            <rFont val="Tahoma"/>
            <family val="2"/>
          </rPr>
          <t xml:space="preserve">
  Quadro inicial do ano.</t>
        </r>
      </text>
    </comment>
    <comment ref="B84" authorId="2" shapeId="0" xr:uid="{00000000-0006-0000-0E00-00000A000000}">
      <text>
        <r>
          <rPr>
            <b/>
            <sz val="10"/>
            <color indexed="81"/>
            <rFont val="Tahoma"/>
            <family val="2"/>
          </rPr>
          <t>Miguel Martínez:</t>
        </r>
        <r>
          <rPr>
            <sz val="10"/>
            <color indexed="81"/>
            <rFont val="Tahoma"/>
            <family val="2"/>
          </rPr>
          <t xml:space="preserve">
  Quadro inicial do ano.</t>
        </r>
      </text>
    </comment>
  </commentList>
</comments>
</file>

<file path=xl/sharedStrings.xml><?xml version="1.0" encoding="utf-8"?>
<sst xmlns="http://schemas.openxmlformats.org/spreadsheetml/2006/main" count="2024" uniqueCount="1313">
  <si>
    <t>Concepto</t>
  </si>
  <si>
    <t>Maquinaria</t>
  </si>
  <si>
    <t>Total Activo</t>
  </si>
  <si>
    <t>Total</t>
  </si>
  <si>
    <t>Totales</t>
  </si>
  <si>
    <t>Resultado Financiero</t>
  </si>
  <si>
    <t>%</t>
  </si>
  <si>
    <t>Mes</t>
  </si>
  <si>
    <t>Variación</t>
  </si>
  <si>
    <t>Ratios Básicos</t>
  </si>
  <si>
    <t>Fórmulas</t>
  </si>
  <si>
    <t xml:space="preserve">    ROE (Return On Equity)</t>
  </si>
  <si>
    <t xml:space="preserve">    ROI (Return On Investment)</t>
  </si>
  <si>
    <t xml:space="preserve">    ROS (Return On Sales)</t>
  </si>
  <si>
    <t>1. Liquidez</t>
  </si>
  <si>
    <t>Contado</t>
  </si>
  <si>
    <t>Plazos de pago</t>
  </si>
  <si>
    <t>Total pagos</t>
  </si>
  <si>
    <t>% contado</t>
  </si>
  <si>
    <t>Inicial</t>
  </si>
  <si>
    <t>nº total de pagos</t>
  </si>
  <si>
    <t>Índice</t>
  </si>
  <si>
    <t>Dividendos</t>
  </si>
  <si>
    <t>1P (abril)</t>
  </si>
  <si>
    <t>2P (octubre)</t>
  </si>
  <si>
    <t>3P (diciembre)</t>
  </si>
  <si>
    <t xml:space="preserve">% </t>
  </si>
  <si>
    <t>Créditos de los socios</t>
  </si>
  <si>
    <t>Cobros pendientes clientes</t>
  </si>
  <si>
    <t>Pagos pend. A proveedores</t>
  </si>
  <si>
    <t>Balance Inicial Previo</t>
  </si>
  <si>
    <t>nº total de páginas</t>
  </si>
  <si>
    <t>Ptas.</t>
  </si>
  <si>
    <t>1 € =</t>
  </si>
  <si>
    <t>Valor residual</t>
  </si>
  <si>
    <t>Principal</t>
  </si>
  <si>
    <t>Tipo de cambio</t>
  </si>
  <si>
    <t>Euros</t>
  </si>
  <si>
    <t>Ventas (Unidades)</t>
  </si>
  <si>
    <t>Gastos iniciales</t>
  </si>
  <si>
    <t>Coste Total</t>
  </si>
  <si>
    <t>Plantilla por meses</t>
  </si>
  <si>
    <t>PP. Y GG.</t>
  </si>
  <si>
    <t>Coef. Seg.</t>
  </si>
  <si>
    <t>Resultado</t>
  </si>
  <si>
    <t>Liquidez</t>
  </si>
  <si>
    <t>Auxiliar</t>
  </si>
  <si>
    <t>Resultados</t>
  </si>
  <si>
    <t>Liquidaciones Trimestrales</t>
  </si>
  <si>
    <t>estatal</t>
  </si>
  <si>
    <t>desde</t>
  </si>
  <si>
    <t>P.E. Mensual medio</t>
  </si>
  <si>
    <t>Forma Jurídica / Fiscal:</t>
  </si>
  <si>
    <t>Estudio 
Preliminar</t>
  </si>
  <si>
    <t>NO</t>
  </si>
  <si>
    <t>SÍ</t>
  </si>
  <si>
    <t>folios</t>
  </si>
  <si>
    <t>Máximo plazo cobro</t>
  </si>
  <si>
    <t>Máximo plazo pago</t>
  </si>
  <si>
    <t>nº</t>
  </si>
  <si>
    <t>No</t>
  </si>
  <si>
    <t>Mínimo Vital</t>
  </si>
  <si>
    <t>S.L.L.</t>
  </si>
  <si>
    <t>S.A.L.</t>
  </si>
  <si>
    <t>Fundación</t>
  </si>
  <si>
    <t>S.L.N.E. (SL Nueva Empresa)</t>
  </si>
  <si>
    <t>Parámetros</t>
  </si>
  <si>
    <t>"</t>
  </si>
  <si>
    <t>Valor Actualizado Neto  (VAN)</t>
  </si>
  <si>
    <t>Tasa Interna de Retorno (TIR)</t>
  </si>
  <si>
    <t>% inflación que hace 0 el VAN</t>
  </si>
  <si>
    <t>incr. %</t>
  </si>
  <si>
    <t>amort.
previa</t>
  </si>
  <si>
    <t>% Aport. especie</t>
  </si>
  <si>
    <t>% especie</t>
  </si>
  <si>
    <t>Ap. Especie</t>
  </si>
  <si>
    <t>IPSI</t>
  </si>
  <si>
    <t>Tipo superreducido</t>
  </si>
  <si>
    <t>Tipo reducido</t>
  </si>
  <si>
    <t>Tipo normal</t>
  </si>
  <si>
    <t>Tipo especial</t>
  </si>
  <si>
    <t>Recargos de equivalencia</t>
  </si>
  <si>
    <t>IGIC</t>
  </si>
  <si>
    <t>Canarias</t>
  </si>
  <si>
    <t>Ceuta y Melilla</t>
  </si>
  <si>
    <t>Exento</t>
  </si>
  <si>
    <t>Tipos</t>
  </si>
  <si>
    <t>Total Sueldos y Salarios</t>
  </si>
  <si>
    <t>Total Seguros Sociales</t>
  </si>
  <si>
    <t>meses</t>
  </si>
  <si>
    <t>Tot. Intereses</t>
  </si>
  <si>
    <t>Otros pagos</t>
  </si>
  <si>
    <t>mes</t>
  </si>
  <si>
    <t>% nominal</t>
  </si>
  <si>
    <t>Base Imponible Bruta</t>
  </si>
  <si>
    <t>Límite tramo reducido Imp. Soc.</t>
  </si>
  <si>
    <t>Impagados</t>
  </si>
  <si>
    <t>Siglas</t>
  </si>
  <si>
    <t>S.L.U.</t>
  </si>
  <si>
    <t>C.B.</t>
  </si>
  <si>
    <t>S.C.</t>
  </si>
  <si>
    <t>S.C.A.</t>
  </si>
  <si>
    <t>S.A.</t>
  </si>
  <si>
    <t>S.L.N.E.</t>
  </si>
  <si>
    <t>% Total</t>
  </si>
  <si>
    <t>Descuadres en balances</t>
  </si>
  <si>
    <t>ITP</t>
  </si>
  <si>
    <t>páginas</t>
  </si>
  <si>
    <t>hojas de cálculo en total</t>
  </si>
  <si>
    <t>Cuotas</t>
  </si>
  <si>
    <t>(Unidades)</t>
  </si>
  <si>
    <t>TIR (%)</t>
  </si>
  <si>
    <t>TIR Corregida (%)</t>
  </si>
  <si>
    <t>ROE (%)</t>
  </si>
  <si>
    <t>Programa de:</t>
  </si>
  <si>
    <t>Recursos Humanos (RR.HH.)</t>
  </si>
  <si>
    <t>Bal. Inicial Previo</t>
  </si>
  <si>
    <t>PyG 0</t>
  </si>
  <si>
    <t>PyG 1</t>
  </si>
  <si>
    <t>PyG 2</t>
  </si>
  <si>
    <t>PyG 3</t>
  </si>
  <si>
    <t>PyG 4</t>
  </si>
  <si>
    <t>Ret IRPF</t>
  </si>
  <si>
    <t>G.F. 0</t>
  </si>
  <si>
    <t>G.F. 1</t>
  </si>
  <si>
    <t>G.F. 2</t>
  </si>
  <si>
    <t>G.F. 3</t>
  </si>
  <si>
    <t>G.F. 4</t>
  </si>
  <si>
    <t>IVA 0</t>
  </si>
  <si>
    <t>IVA 1</t>
  </si>
  <si>
    <t>IVA 2</t>
  </si>
  <si>
    <t>IVA 3</t>
  </si>
  <si>
    <t>IVA 4</t>
  </si>
  <si>
    <t>Tesorería 0</t>
  </si>
  <si>
    <t>Tesorería 1</t>
  </si>
  <si>
    <t>Tesorería 2</t>
  </si>
  <si>
    <t>Tesorería 3</t>
  </si>
  <si>
    <t>Tesorería 4</t>
  </si>
  <si>
    <t>Oculta</t>
  </si>
  <si>
    <t>Opcional</t>
  </si>
  <si>
    <t>Cálculos</t>
  </si>
  <si>
    <t>Máquina</t>
  </si>
  <si>
    <t>amort. previa</t>
  </si>
  <si>
    <t>Incremento Gastos Fijos</t>
  </si>
  <si>
    <t>Incrementos de ventas necesarios</t>
  </si>
  <si>
    <t xml:space="preserve"> Incr. min</t>
  </si>
  <si>
    <t>Incr.  max</t>
  </si>
  <si>
    <t>parámetros de alisamiento de los Cash Flow</t>
  </si>
  <si>
    <t>Incr. Medio</t>
  </si>
  <si>
    <t>Tasa Interna de Retorno Corregida (TIRc)</t>
  </si>
  <si>
    <t>INVERSIONES ADICIONALES EN ACTIVOS CORRIENTES</t>
  </si>
  <si>
    <t xml:space="preserve">ACTIVO </t>
  </si>
  <si>
    <t xml:space="preserve">   Gastos de constitución</t>
  </si>
  <si>
    <t>Gastos de establecimeinto</t>
  </si>
  <si>
    <t>Aport. Capital</t>
  </si>
  <si>
    <t>Inmov. Financiero Corto Plazo</t>
  </si>
  <si>
    <t>Existencias</t>
  </si>
  <si>
    <t>Clientes</t>
  </si>
  <si>
    <t>H.P. Pagos y retenciones IRPF</t>
  </si>
  <si>
    <t>Tesorería</t>
  </si>
  <si>
    <t>Amort. Acum. Inm Material</t>
  </si>
  <si>
    <t>Amort. Acum. Inm inmaterial</t>
  </si>
  <si>
    <t>Gastos Amortizables</t>
  </si>
  <si>
    <t>Amort. Acum. Gastos amort.</t>
  </si>
  <si>
    <t>meses de Renting</t>
  </si>
  <si>
    <t>1er mes Renting</t>
  </si>
  <si>
    <t>Operaciones de Leasing</t>
  </si>
  <si>
    <t>meses Leasing</t>
  </si>
  <si>
    <t>1er mes Leasing</t>
  </si>
  <si>
    <t>mes final Leasing</t>
  </si>
  <si>
    <t>mes final Renting</t>
  </si>
  <si>
    <t>Préstamos: Cálculo detallado.</t>
  </si>
  <si>
    <t>Leasing: Cálculo detallado de cuotas.</t>
  </si>
  <si>
    <t>Renting: Cálculo detallado.</t>
  </si>
  <si>
    <t>NO USAR</t>
  </si>
  <si>
    <t>máquina</t>
  </si>
  <si>
    <t>Capital</t>
  </si>
  <si>
    <t>WWW, S.L.</t>
  </si>
  <si>
    <t>Registro
Mercantil</t>
  </si>
  <si>
    <t>Registro Mercantil</t>
  </si>
  <si>
    <t>previos</t>
  </si>
  <si>
    <t>Límites crédito</t>
  </si>
  <si>
    <t>Cooperativa Especialmente Protegida</t>
  </si>
  <si>
    <t>Empresario Individual (Rec. Equiv.)</t>
  </si>
  <si>
    <t>Sociedad Limitada Laboral  ( S.L.L. )</t>
  </si>
  <si>
    <t>Sociedad Anónima Laboral  ( S.A.L. )</t>
  </si>
  <si>
    <t>Sociedad Anónima  ( S.A. )</t>
  </si>
  <si>
    <t>TIR</t>
  </si>
  <si>
    <r>
      <t>CF</t>
    </r>
    <r>
      <rPr>
        <b/>
        <vertAlign val="subscript"/>
        <sz val="10"/>
        <rFont val="Tahoma"/>
        <family val="2"/>
      </rPr>
      <t>0</t>
    </r>
  </si>
  <si>
    <r>
      <t>CF</t>
    </r>
    <r>
      <rPr>
        <b/>
        <vertAlign val="subscript"/>
        <sz val="10"/>
        <rFont val="Tahoma"/>
        <family val="2"/>
      </rPr>
      <t>1</t>
    </r>
    <r>
      <rPr>
        <b/>
        <sz val="10"/>
        <rFont val="Arial"/>
        <family val="2"/>
      </rPr>
      <t/>
    </r>
  </si>
  <si>
    <r>
      <t>CF</t>
    </r>
    <r>
      <rPr>
        <b/>
        <vertAlign val="subscript"/>
        <sz val="10"/>
        <rFont val="Tahoma"/>
        <family val="2"/>
      </rPr>
      <t>2</t>
    </r>
    <r>
      <rPr>
        <b/>
        <sz val="10"/>
        <rFont val="Arial"/>
        <family val="2"/>
      </rPr>
      <t/>
    </r>
  </si>
  <si>
    <r>
      <t>CF</t>
    </r>
    <r>
      <rPr>
        <b/>
        <vertAlign val="subscript"/>
        <sz val="10"/>
        <rFont val="Tahoma"/>
        <family val="2"/>
      </rPr>
      <t>3</t>
    </r>
    <r>
      <rPr>
        <b/>
        <sz val="10"/>
        <rFont val="Arial"/>
        <family val="2"/>
      </rPr>
      <t/>
    </r>
  </si>
  <si>
    <r>
      <t>CF</t>
    </r>
    <r>
      <rPr>
        <b/>
        <vertAlign val="subscript"/>
        <sz val="10"/>
        <rFont val="Tahoma"/>
        <family val="2"/>
      </rPr>
      <t>4</t>
    </r>
    <r>
      <rPr>
        <b/>
        <sz val="10"/>
        <rFont val="Arial"/>
        <family val="2"/>
      </rPr>
      <t/>
    </r>
  </si>
  <si>
    <r>
      <t>CF</t>
    </r>
    <r>
      <rPr>
        <b/>
        <vertAlign val="subscript"/>
        <sz val="10"/>
        <rFont val="Tahoma"/>
        <family val="2"/>
      </rPr>
      <t>5</t>
    </r>
    <r>
      <rPr>
        <b/>
        <sz val="10"/>
        <rFont val="Arial"/>
        <family val="2"/>
      </rPr>
      <t/>
    </r>
  </si>
  <si>
    <t>4%  -  6%</t>
  </si>
  <si>
    <t>1%  -  15%</t>
  </si>
  <si>
    <t>2%  -  9%</t>
  </si>
  <si>
    <t>TIRc</t>
  </si>
  <si>
    <t>Pay Back</t>
  </si>
  <si>
    <t>PER estimado</t>
  </si>
  <si>
    <r>
      <t>(6%)</t>
    </r>
    <r>
      <rPr>
        <i/>
        <sz val="10"/>
        <rFont val="Tahoma"/>
        <family val="2"/>
      </rPr>
      <t xml:space="preserve"> - 6%</t>
    </r>
  </si>
  <si>
    <t>interanual</t>
  </si>
  <si>
    <t>CF0</t>
  </si>
  <si>
    <t>CF1</t>
  </si>
  <si>
    <t>CF2</t>
  </si>
  <si>
    <t>CF3</t>
  </si>
  <si>
    <t>CF4</t>
  </si>
  <si>
    <t>CF5</t>
  </si>
  <si>
    <t>CF6</t>
  </si>
  <si>
    <t>CF7</t>
  </si>
  <si>
    <t>CF8</t>
  </si>
  <si>
    <t>CF9</t>
  </si>
  <si>
    <t>CF10</t>
  </si>
  <si>
    <t>CF11</t>
  </si>
  <si>
    <t>CF12</t>
  </si>
  <si>
    <t>CF13</t>
  </si>
  <si>
    <t>CF14</t>
  </si>
  <si>
    <t>CF15</t>
  </si>
  <si>
    <t>CF16</t>
  </si>
  <si>
    <t>CF17</t>
  </si>
  <si>
    <t>CF18</t>
  </si>
  <si>
    <t>CF19</t>
  </si>
  <si>
    <t>CF20</t>
  </si>
  <si>
    <t>CF21</t>
  </si>
  <si>
    <t>CF22</t>
  </si>
  <si>
    <t>CF23</t>
  </si>
  <si>
    <t>CF24</t>
  </si>
  <si>
    <t>CF25</t>
  </si>
  <si>
    <t>€ ctes</t>
  </si>
  <si>
    <t>VAN5 =</t>
  </si>
  <si>
    <t>VANr =</t>
  </si>
  <si>
    <t>Sociedad Cooperativa Andaluza ( S.C.A. )</t>
  </si>
  <si>
    <t>S.Coop.</t>
  </si>
  <si>
    <t>CF26</t>
  </si>
  <si>
    <t>CF27</t>
  </si>
  <si>
    <t>CF28</t>
  </si>
  <si>
    <t>CF29</t>
  </si>
  <si>
    <t>CF30</t>
  </si>
  <si>
    <t>CF31</t>
  </si>
  <si>
    <t>CF32</t>
  </si>
  <si>
    <t>CF33</t>
  </si>
  <si>
    <t>CF34</t>
  </si>
  <si>
    <t>CF35</t>
  </si>
  <si>
    <t>CF36</t>
  </si>
  <si>
    <t>CF37</t>
  </si>
  <si>
    <t>CF38</t>
  </si>
  <si>
    <t>CF39</t>
  </si>
  <si>
    <t>CF40</t>
  </si>
  <si>
    <t>CF41</t>
  </si>
  <si>
    <t>CF42</t>
  </si>
  <si>
    <t>CF43</t>
  </si>
  <si>
    <t>CF44</t>
  </si>
  <si>
    <t>CF45</t>
  </si>
  <si>
    <t>CF46</t>
  </si>
  <si>
    <t>CF47</t>
  </si>
  <si>
    <t>CF48</t>
  </si>
  <si>
    <t>CF49</t>
  </si>
  <si>
    <t>CF50</t>
  </si>
  <si>
    <t>VAN</t>
  </si>
  <si>
    <t>mismo mes</t>
  </si>
  <si>
    <t>1 mes antes</t>
  </si>
  <si>
    <t>2 meses antes</t>
  </si>
  <si>
    <t>3 meses antes</t>
  </si>
  <si>
    <t>4 meses antes</t>
  </si>
  <si>
    <t>5 meses antes</t>
  </si>
  <si>
    <t>6 meses antes</t>
  </si>
  <si>
    <t>7 meses antes</t>
  </si>
  <si>
    <t>8 meses antes</t>
  </si>
  <si>
    <t>9 meses antes</t>
  </si>
  <si>
    <t>10 meses antes</t>
  </si>
  <si>
    <t>11 meses antes</t>
  </si>
  <si>
    <t>12 meses antes</t>
  </si>
  <si>
    <t>IVA del pendiente anterior</t>
  </si>
  <si>
    <t>EBITDA</t>
  </si>
  <si>
    <t>E.B.I.T.D.A.</t>
  </si>
  <si>
    <t>Tesorerías mensuales</t>
  </si>
  <si>
    <t>Pesetas</t>
  </si>
  <si>
    <t>Ptas</t>
  </si>
  <si>
    <t>€</t>
  </si>
  <si>
    <t>$</t>
  </si>
  <si>
    <t>£</t>
  </si>
  <si>
    <t>Divisa</t>
  </si>
  <si>
    <t>Símblo</t>
  </si>
  <si>
    <t>=SI(G11="Euros";"€";SI(G11="Pesetas";"Ptas.";SI(G11="Dólares";"US $";"UK £")))</t>
  </si>
  <si>
    <t>Temporada</t>
  </si>
  <si>
    <t>Inicio</t>
  </si>
  <si>
    <t>3 6</t>
  </si>
  <si>
    <t>2 4 6</t>
  </si>
  <si>
    <t>2 3 4 6</t>
  </si>
  <si>
    <t>Sí</t>
  </si>
  <si>
    <t>personal de</t>
  </si>
  <si>
    <t>Asociación / ONG sin ánimo de lucro</t>
  </si>
  <si>
    <t>I.</t>
  </si>
  <si>
    <t>III/V.</t>
  </si>
  <si>
    <t>II.</t>
  </si>
  <si>
    <t>VII.</t>
  </si>
  <si>
    <t>VI.</t>
  </si>
  <si>
    <t>III.</t>
  </si>
  <si>
    <t>A-2)</t>
  </si>
  <si>
    <t>IV.</t>
  </si>
  <si>
    <t>V.</t>
  </si>
  <si>
    <t>II.1.</t>
  </si>
  <si>
    <t>II.3.</t>
  </si>
  <si>
    <t>II.2.</t>
  </si>
  <si>
    <t>IV.1.</t>
  </si>
  <si>
    <t>IV.2.</t>
  </si>
  <si>
    <t>Aprovisionamientos periodo anterior</t>
  </si>
  <si>
    <t>Inv. Empresas grupo e Inmov. Financiero LP</t>
  </si>
  <si>
    <t xml:space="preserve"> </t>
  </si>
  <si>
    <t>=SI(isoc&lt;&gt;0;'Datos Básicos'!C58;0)*SI(Parametros!$C$49&gt;0;0;1)</t>
  </si>
  <si>
    <t>=SI(isoc&lt;&gt;0;'Datos Básicos'!C59;0)*SI(Parametros!$C$49&gt;0;0;1)</t>
  </si>
  <si>
    <t>=SI(isoc&lt;&gt;0;'Datos Básicos'!C60;0)*SI(Parametros!$C$49&gt;0;0;1)</t>
  </si>
  <si>
    <t>=SI(O(irpf&lt;&gt;0;MAX('Inv. Iniciales ANC'!C1:C63)&gt;0);0;ITP*('Financiación Inicial'!B8+'Financiación Inicial'!B7))*SI(Parametros!$C$49&gt;0;0;1)</t>
  </si>
  <si>
    <t>Créditos comerciales a clientes y de proveedores</t>
  </si>
  <si>
    <t>ITBIS</t>
  </si>
  <si>
    <t>S.R.L.</t>
  </si>
  <si>
    <t>Pesos RD</t>
  </si>
  <si>
    <t>RD $</t>
  </si>
  <si>
    <t>IVA</t>
  </si>
  <si>
    <t>Rep. Dominicana</t>
  </si>
  <si>
    <t>Master Global Entrepeneurship</t>
  </si>
  <si>
    <t>Promotores:</t>
  </si>
  <si>
    <t>Sevilla Emprendedora</t>
  </si>
  <si>
    <t>CelerAEmprende</t>
  </si>
  <si>
    <t>Previsto</t>
  </si>
  <si>
    <t>MBA Global Entrepeneurship</t>
  </si>
  <si>
    <t>Libras UK</t>
  </si>
  <si>
    <t>US $</t>
  </si>
  <si>
    <t>% incr. interanual</t>
  </si>
  <si>
    <t>JPY</t>
  </si>
  <si>
    <t>¥</t>
  </si>
  <si>
    <t>Dev. Anuales</t>
  </si>
  <si>
    <t>SS Autonomos Societarios</t>
  </si>
  <si>
    <t>SS RETA mínima</t>
  </si>
  <si>
    <t>Ingresos</t>
  </si>
  <si>
    <t>Cash-Flow</t>
  </si>
  <si>
    <t>Admon. deudora subvenciones</t>
  </si>
  <si>
    <t>Incrementos de precios
interanuales</t>
  </si>
  <si>
    <t>Instrumental</t>
  </si>
  <si>
    <t>Resultados del Plan Económico y Financiero a incluir en el PLAN DE NEGOCIO EOI</t>
  </si>
  <si>
    <t>BRL</t>
  </si>
  <si>
    <t>R$</t>
  </si>
  <si>
    <t>Nome da Folha de Cálculo</t>
  </si>
  <si>
    <t>Condições de Uso</t>
  </si>
  <si>
    <t>Dados Básicos</t>
  </si>
  <si>
    <t>Investimentos Iniciais Act. Não Correntes (Fixos)</t>
  </si>
  <si>
    <t>Investimentos Adicionales Act. No Corrientes</t>
  </si>
  <si>
    <t>Investimentos Ativos Correntes</t>
  </si>
  <si>
    <t>Gastos Iniciais</t>
  </si>
  <si>
    <t>Financiamento</t>
  </si>
  <si>
    <t>Financiação Inicial</t>
  </si>
  <si>
    <t>Otros cobros e pagos</t>
  </si>
  <si>
    <t>Gastos Fixos Dados</t>
  </si>
  <si>
    <t>Preços de Venda e Costes Variaveis por familias</t>
  </si>
  <si>
    <t>Estimação de Vendas: Dados</t>
  </si>
  <si>
    <t>Políticicas Cobros e Pagos</t>
  </si>
  <si>
    <t>Balanços Anuais</t>
  </si>
  <si>
    <t>Prev. Vendas 0</t>
  </si>
  <si>
    <t>Prev. Vendas 1</t>
  </si>
  <si>
    <t>Prev. Vendas 2</t>
  </si>
  <si>
    <t>Prev. Vendas 3</t>
  </si>
  <si>
    <t>Prev. Vendas 4</t>
  </si>
  <si>
    <t>Resumo Vendas 5 anos</t>
  </si>
  <si>
    <t>Contas de Resultados: Comparativa</t>
  </si>
  <si>
    <t>Cobros e pagos 0</t>
  </si>
  <si>
    <t>Cobros e pagos 1</t>
  </si>
  <si>
    <t>Cobros e pagos 2</t>
  </si>
  <si>
    <t>Cobros e pagos 3</t>
  </si>
  <si>
    <t>Cobros e pagos 4</t>
  </si>
  <si>
    <t>Gastos Fixos Anuais: Resumo</t>
  </si>
  <si>
    <t>Ingresos e Gastos Financieros</t>
  </si>
  <si>
    <t>Amortizações</t>
  </si>
  <si>
    <t>Resumo Tesorerías Mensuais</t>
  </si>
  <si>
    <t>Estimação do  Limiar de Rendibilidade</t>
  </si>
  <si>
    <t>Ratios Básicos da Empresa</t>
  </si>
  <si>
    <t>Valoração da empresa.</t>
  </si>
  <si>
    <t>Dados de Evaluação: Resumo</t>
  </si>
  <si>
    <t>Impreção de páginas</t>
  </si>
  <si>
    <t>Tipo folha</t>
  </si>
  <si>
    <t>Projeto
Final</t>
  </si>
  <si>
    <t>NÃO</t>
  </si>
  <si>
    <t>SIM</t>
  </si>
  <si>
    <t>Dados</t>
  </si>
  <si>
    <t>Nome da empresa:</t>
  </si>
  <si>
    <t>Data de realização:</t>
  </si>
  <si>
    <t>Ano Inical da simulação:</t>
  </si>
  <si>
    <t>Mes início exercícios:</t>
  </si>
  <si>
    <t>Ano 0</t>
  </si>
  <si>
    <t>Exercícios:</t>
  </si>
  <si>
    <t>Inicio de atividade:</t>
  </si>
  <si>
    <t>Liquidações</t>
  </si>
  <si>
    <t>Trimestrais</t>
  </si>
  <si>
    <t>Devolução</t>
  </si>
  <si>
    <t>Não</t>
  </si>
  <si>
    <t>Base Ingresos adiantados</t>
  </si>
  <si>
    <t>Ano anterior</t>
  </si>
  <si>
    <t>Imposto Indireito</t>
  </si>
  <si>
    <t>(Territorio comum)</t>
  </si>
  <si>
    <t>ICMS</t>
  </si>
  <si>
    <t>Brasil</t>
  </si>
  <si>
    <t>Lista das formas jurídicas e datos para os impostos</t>
  </si>
  <si>
    <t>Gastos
notaria</t>
  </si>
  <si>
    <t>Soc.
% retenc. Ano corrente</t>
  </si>
  <si>
    <t>Soc.Limitada Unipessoal  ( S.L.U. )</t>
  </si>
  <si>
    <t>Sociedade Limitada  ( S.L. )</t>
  </si>
  <si>
    <t>Sociedade Responsabilidade Limitada  ( S.R.L. )</t>
  </si>
  <si>
    <t>Empresário Individual (Reg. Geral)</t>
  </si>
  <si>
    <t>Comunidade de Bens  ( C.B. )</t>
  </si>
  <si>
    <t>Profissional Livre</t>
  </si>
  <si>
    <t>Sociedade Civil de profissionais</t>
  </si>
  <si>
    <t>Sociedade Civil  ( S.C. )</t>
  </si>
  <si>
    <t>Sociedade Cooperativa  ( S.Coop. )</t>
  </si>
  <si>
    <t>Gastos Constitução</t>
  </si>
  <si>
    <t>Notaria</t>
  </si>
  <si>
    <t>Cert. Negativo do nome</t>
  </si>
  <si>
    <t>Tipo ITP aportaçãoes ao capital</t>
  </si>
  <si>
    <t>Programa de Criação de Empresas</t>
  </si>
  <si>
    <t>Programa de Consolidação de Empresas</t>
  </si>
  <si>
    <t>Concurso de Emprendimento Universitario</t>
  </si>
  <si>
    <t>Creação e Gestão de Empresas: Autoemprego</t>
  </si>
  <si>
    <t>Creação de Empresas Turísticas</t>
  </si>
  <si>
    <t>Creação de Empresas Audiovisuales</t>
  </si>
  <si>
    <t>CAPACITAÇÃO DE EMPRENDEDORES</t>
  </si>
  <si>
    <t>Plano Económico e Financeiro Previsional para 5 anos</t>
  </si>
  <si>
    <t>Datos gerales do Projeto</t>
  </si>
  <si>
    <t>Projeto / Nova Empresa</t>
  </si>
  <si>
    <t>Outros parámetros da simulação</t>
  </si>
  <si>
    <t>Dados NÃO fundamentais</t>
  </si>
  <si>
    <t>Tipos interés saldos deudores e acreedores</t>
  </si>
  <si>
    <t>Impagos e recuperação de impagos</t>
  </si>
  <si>
    <t>Tipo de interés para os deficits de caixa</t>
  </si>
  <si>
    <t>Intereses da conta corrente</t>
  </si>
  <si>
    <t>taxa de morosidade de clientes</t>
  </si>
  <si>
    <t>Incertidumbre nas taxas de impagos</t>
  </si>
  <si>
    <t>taxa de recuperação de impagos</t>
  </si>
  <si>
    <t>Nivel mínimo de caixa</t>
  </si>
  <si>
    <t>MOEDA :</t>
  </si>
  <si>
    <t>Fim</t>
  </si>
  <si>
    <t>Temporada gastos fixos</t>
  </si>
  <si>
    <t>Taxa de Inflação prevista</t>
  </si>
  <si>
    <t>% Amplitude da variabilidade da previsão das vendas</t>
  </si>
  <si>
    <t>Familias de Produtos
(produtos ou serviços)</t>
  </si>
  <si>
    <t>Período de imputação das subvenções</t>
  </si>
  <si>
    <t>Balanço Previo</t>
  </si>
  <si>
    <t>Prazo ( anos )</t>
  </si>
  <si>
    <t>Políticas de dividendos e reservas</t>
  </si>
  <si>
    <t>Aplicação dos Beneficios</t>
  </si>
  <si>
    <t>Dotação de reservas</t>
  </si>
  <si>
    <t>Anos de antiguidade no mercado</t>
  </si>
  <si>
    <t>Incremento automático do estoque</t>
  </si>
  <si>
    <t>Políticas de cobranças de subvenções</t>
  </si>
  <si>
    <t>Ano de conceção</t>
  </si>
  <si>
    <t>Anos iniciais</t>
  </si>
  <si>
    <t>Generação dos nomes dos meses para que poder funcionar em computadoras con outra configuração de idioma</t>
  </si>
  <si>
    <t>Anos:</t>
  </si>
  <si>
    <t>Variabilidade aleatoria</t>
  </si>
  <si>
    <t>coef. Corretor Máximo</t>
  </si>
  <si>
    <t>coef. Corretor Mínimo</t>
  </si>
  <si>
    <t>coeficientes corretores
mensuais aleatorios</t>
  </si>
  <si>
    <t>periodicidade para préstamos, leasing, etc.</t>
  </si>
  <si>
    <t>Tipos de IVA (IGIC, IPSI) investimentos em ativos fixos</t>
  </si>
  <si>
    <t>Terrenos e Edificações</t>
  </si>
  <si>
    <t>Terrenos</t>
  </si>
  <si>
    <t>Obras de Reforma / Adecuação loja</t>
  </si>
  <si>
    <t>instalações gerais</t>
  </si>
  <si>
    <t>instalação Eléctrica e Iluminação</t>
  </si>
  <si>
    <t>Água e saneamiento</t>
  </si>
  <si>
    <t>Telecomunições</t>
  </si>
  <si>
    <t>instalação rede anti-incêndios</t>
  </si>
  <si>
    <t>Alarmas e instalações de segurança</t>
  </si>
  <si>
    <t>Utensilios, Ferramentas, ...</t>
  </si>
  <si>
    <t>Ferramentas de mão</t>
  </si>
  <si>
    <t>Utiles de fabricação</t>
  </si>
  <si>
    <t>Móveis de escritório</t>
  </si>
  <si>
    <t>Estantes armacém, expositores</t>
  </si>
  <si>
    <t>Outros móveis</t>
  </si>
  <si>
    <t>Veículos</t>
  </si>
  <si>
    <t>Veículos industriais</t>
  </si>
  <si>
    <t>Outros veículos</t>
  </si>
  <si>
    <t>Computadores</t>
  </si>
  <si>
    <t>Terminais de Ponto de Venda</t>
  </si>
  <si>
    <t>Impresoras e fotocopiadoras</t>
  </si>
  <si>
    <t xml:space="preserve">Centralitas, enrotadores, redes </t>
  </si>
  <si>
    <t>Direitos de trasferência</t>
  </si>
  <si>
    <t>Imobilizado Intangível</t>
  </si>
  <si>
    <t>Software e Desemvolvimentos Web</t>
  </si>
  <si>
    <t>investimentos I+D+I</t>
  </si>
  <si>
    <t>Patentes, marcas e similares</t>
  </si>
  <si>
    <t>Certificações, homologações</t>
  </si>
  <si>
    <t>Imobilizado Incorpóreo (Bal. Previo)</t>
  </si>
  <si>
    <t>investimentos sin contar con el Bal. Previo</t>
  </si>
  <si>
    <t>Utensilios de cuzinha: Loça, cristaleria, faqueiro</t>
  </si>
  <si>
    <t>Enxovais: Roupa de cama, toalhas, etc.</t>
  </si>
  <si>
    <t>Acessórios</t>
  </si>
  <si>
    <t>Montante</t>
  </si>
  <si>
    <t>anos
antiguidade</t>
  </si>
  <si>
    <t>prazo
amort.</t>
  </si>
  <si>
    <t>antiguidade</t>
  </si>
  <si>
    <t>prazo</t>
  </si>
  <si>
    <t>Aportado em Especie</t>
  </si>
  <si>
    <t>Despesas Iniciais e de Establecimiento</t>
  </si>
  <si>
    <t>Despesas de Constituição</t>
  </si>
  <si>
    <t>Certificado Negativo do nome</t>
  </si>
  <si>
    <t>Registro Mercantil, Publicação B. Oficial</t>
  </si>
  <si>
    <t>ITP (Imp. Transmissões Patrimoniais)</t>
  </si>
  <si>
    <t>Despesas de Establecimento</t>
  </si>
  <si>
    <t>Projetos, vistos, Licenças</t>
  </si>
  <si>
    <t>Taxas de apertura</t>
  </si>
  <si>
    <t>Publicidade inicial</t>
  </si>
  <si>
    <t>Desenho de página / portal Web</t>
  </si>
  <si>
    <t>Outras despesas de establecimento</t>
  </si>
  <si>
    <t>Imobiliçados Financeiros Longo Prazo</t>
  </si>
  <si>
    <t>Fianças de salões alugados</t>
  </si>
  <si>
    <t>outras fianças</t>
  </si>
  <si>
    <t>Imobiliçado Financeiro L. P.</t>
  </si>
  <si>
    <t>Nota:   As despesas de Costituição não afetarão à conta de lucros e perdas; vão com sino negativo aõ passivo do Balanço</t>
  </si>
  <si>
    <t>Investimentos em Ativos Correntes</t>
  </si>
  <si>
    <t>Despesas Iniciais e de Establecimento</t>
  </si>
  <si>
    <t>INVESTIMENTOS INICIAIS EM ATIVOS CORRENTES</t>
  </si>
  <si>
    <t>Fianças constituídas curto prazo</t>
  </si>
  <si>
    <t>Inmov. Financeiro C. prazo (Bal. Previo)</t>
  </si>
  <si>
    <t>Estoque</t>
  </si>
  <si>
    <t>matérias-primas</t>
  </si>
  <si>
    <t>mercadorias</t>
  </si>
  <si>
    <t>Estoque final do exercicio anterior</t>
  </si>
  <si>
    <t>Realiçavel</t>
  </si>
  <si>
    <t>Adm. deudora Subvenções</t>
  </si>
  <si>
    <t>cobranças pendentes de clientes</t>
  </si>
  <si>
    <t>Tesouraria inicial / Disponível</t>
  </si>
  <si>
    <t>Total Inv. Inicial Act. Correntes</t>
  </si>
  <si>
    <t>Fontes de Finançamento dos Investimentos</t>
  </si>
  <si>
    <t>NECESIDADES DE FINANÇAMENTO DE INVESTIMENTOS</t>
  </si>
  <si>
    <t>Investimentos em Ativos No Corrientes</t>
  </si>
  <si>
    <t>Investimentos em Ativos Corrientes</t>
  </si>
  <si>
    <t>Montante a finançar</t>
  </si>
  <si>
    <t>FONTES DE FINANÇAMENTO DE INVESTIMENTOS</t>
  </si>
  <si>
    <t>Previo ao inicio
(Bal. Previo)</t>
  </si>
  <si>
    <t>Créditos / Empréstimos dos sócios</t>
  </si>
  <si>
    <t>Subvenções</t>
  </si>
  <si>
    <t>Recursos Alheios  ( préstamos )</t>
  </si>
  <si>
    <t>Locações Financeiras ( Leasing )</t>
  </si>
  <si>
    <t>Finançamentos previstos</t>
  </si>
  <si>
    <t>FINANÇAMENTO ALHEIO : EMPRÉSTIMOS</t>
  </si>
  <si>
    <t>Taxa de Interés nominal</t>
  </si>
  <si>
    <t>Despesas iniciais</t>
  </si>
  <si>
    <t>nº total de prazos</t>
  </si>
  <si>
    <t>Nº pagos por ano</t>
  </si>
  <si>
    <t>periodos carência</t>
  </si>
  <si>
    <t>Nº de anos</t>
  </si>
  <si>
    <t>Quotas</t>
  </si>
  <si>
    <t>Intereses no periodo de carência</t>
  </si>
  <si>
    <t>FINANÇAMENTO ALHEIO : APÓLICES DE CRÉDITO</t>
  </si>
  <si>
    <t>Quantia máxima do apólice (Límite de disponivilidade)</t>
  </si>
  <si>
    <t>Despesas iniciais / constitução</t>
  </si>
  <si>
    <t>Taxa de Interés anual sobre as quantidades dispostas</t>
  </si>
  <si>
    <t>Taxa de interés anual sobre o remanente não disposto</t>
  </si>
  <si>
    <t>LOCAÇÕES FINANCEIRAS ( LEASING )</t>
  </si>
  <si>
    <t>* Não afeta ao finançamento necesario.</t>
  </si>
  <si>
    <t>Notas Locuções Financeiras:</t>
  </si>
  <si>
    <t>Os ativos em LEASING são imcluídos nos ativos (Balanço) da empresa, por serem considerado que serão finalmente adquiridos.</t>
  </si>
  <si>
    <t>Os ativos em Renting NÃO aparecem de qualquer jeito no Balanço de Situação.</t>
  </si>
  <si>
    <t>As locuções financeiras consideram-se formaliçadas ao inicio de cada exercicio exceto no ano inicial em que são consideradas no mesmo mes de inicio.</t>
  </si>
  <si>
    <t>Os intereses dos Leasing são computados como despesas, mas as amortizações são detraidas do passivo correspondente.</t>
  </si>
  <si>
    <t>As quotas dos Renting são contabiliçdas íntegramente como despesas.</t>
  </si>
  <si>
    <t>Recursos Humanos da Empresa. Despesas da mão-de-obra</t>
  </si>
  <si>
    <t>Quadro ( nº de pessoas)</t>
  </si>
  <si>
    <t>Empregados</t>
  </si>
  <si>
    <t>Total quadro</t>
  </si>
  <si>
    <t>Salários brutos mensuais por categorias</t>
  </si>
  <si>
    <t>Despesa Bruta salários mensual</t>
  </si>
  <si>
    <t>Totais mensuais</t>
  </si>
  <si>
    <t>Seguridade Social</t>
  </si>
  <si>
    <t>Despesa Bruta Seg. Social mensual</t>
  </si>
  <si>
    <t>Despesas de altas e de baixas</t>
  </si>
  <si>
    <t>custo por alta / baixa sócio</t>
  </si>
  <si>
    <t>custo por alta / baixa empregado</t>
  </si>
  <si>
    <t>Dados para as previsões de Despesas Fixas da empresa</t>
  </si>
  <si>
    <t>Outras despesas fixas</t>
  </si>
  <si>
    <t>Impostos: IAE, IBI, ...</t>
  </si>
  <si>
    <t>Priémios de Seguros</t>
  </si>
  <si>
    <t>Ordem / asociação profissional</t>
  </si>
  <si>
    <t>Suministro de Electricidade</t>
  </si>
  <si>
    <t>Água, taxas saneamiento e lixo</t>
  </si>
  <si>
    <t>Outros suministros (gaz, etc.)</t>
  </si>
  <si>
    <t>Alojamento e serviços web</t>
  </si>
  <si>
    <t>Despesas Fixas anos seguintes</t>
  </si>
  <si>
    <t>nº pagos
anuais</t>
  </si>
  <si>
    <t>Total Outras Despesas Fixas</t>
  </si>
  <si>
    <t>Sim</t>
  </si>
  <si>
    <t>Índice de Páginas do Plano Económico e Financeiro</t>
  </si>
  <si>
    <t>Criação de Empresas</t>
  </si>
  <si>
    <t>nome e apelhidos</t>
  </si>
  <si>
    <t>Ficar igual se não tiver certeça</t>
  </si>
  <si>
    <t>outros aprovisonamentos (embalagems, etc.)</t>
  </si>
  <si>
    <r>
      <t xml:space="preserve">LOCAÇÕES OPERACIONAIS ( RENTING ) </t>
    </r>
    <r>
      <rPr>
        <sz val="10"/>
        <rFont val="Tahoma"/>
        <family val="2"/>
      </rPr>
      <t/>
    </r>
  </si>
  <si>
    <t>Telefonia / Internet / Comunicações</t>
  </si>
  <si>
    <t>Alarma / Empresa de seguridade</t>
  </si>
  <si>
    <t>Material de escritório / papelaria</t>
  </si>
  <si>
    <t>Transporte e desplaçamentos</t>
  </si>
  <si>
    <t>Asesoría e profissionais independentes</t>
  </si>
  <si>
    <t>Arrendamentos / alugueres</t>
  </si>
  <si>
    <t>Congresos / Salões / Viágems</t>
  </si>
  <si>
    <t>Manutenção e reparações</t>
  </si>
  <si>
    <t>Outras despesas Imprevistas</t>
  </si>
  <si>
    <t>Totais
anuais</t>
  </si>
  <si>
    <t>Arrendamento de loja</t>
  </si>
  <si>
    <t xml:space="preserve">meses de fiança do aluguer  </t>
  </si>
  <si>
    <t xml:space="preserve">meses sem pago de aluguer ao inicio por reformas     </t>
  </si>
  <si>
    <t>produto 1</t>
  </si>
  <si>
    <t>Preços de Venda e Custos Variáveis</t>
  </si>
  <si>
    <t>Os preços são preços medios unitários de venda.</t>
  </si>
  <si>
    <t>Os Custos Variáveis devem estar calculados para as mesmas unidades em que os preços de venda forem estimados.</t>
  </si>
  <si>
    <t>Totais</t>
  </si>
  <si>
    <t>C.V.
Unitário</t>
  </si>
  <si>
    <t>márgem</t>
  </si>
  <si>
    <t>Preços de Custo ou Custos Variáveis</t>
  </si>
  <si>
    <t>Preços de Venda</t>
  </si>
  <si>
    <t>por Famílias de Produtos ou Serviços</t>
  </si>
  <si>
    <t>Famílias de produtos
(produtos ou Serviços)</t>
  </si>
  <si>
    <t>Márgems e Custos Variáveis Unitários</t>
  </si>
  <si>
    <t>Política de Pagamentos por Compras e Custos Variáveis</t>
  </si>
  <si>
    <t>Política de Cobranças por Vendas</t>
  </si>
  <si>
    <t>Produtos</t>
  </si>
  <si>
    <t>Previsões de Vendas da empresa</t>
  </si>
  <si>
    <t>Dados para as previsões de vendas em unidades</t>
  </si>
  <si>
    <t>Vendas (Unidades)</t>
  </si>
  <si>
    <t xml:space="preserve">Vendas </t>
  </si>
  <si>
    <t>Vendas</t>
  </si>
  <si>
    <t>Vendas Anuales</t>
  </si>
  <si>
    <t>Custos Variáveis Anuais</t>
  </si>
  <si>
    <t>Custos Var.</t>
  </si>
  <si>
    <t>Sazonalidade das Vendas</t>
  </si>
  <si>
    <t>Antigüidade dos ativos e amortiçações</t>
  </si>
  <si>
    <t>nº total de pagamentos</t>
  </si>
  <si>
    <t>pagamento mensual</t>
  </si>
  <si>
    <t>Montante do pagamento</t>
  </si>
  <si>
    <t>Resultados do exercicio</t>
  </si>
  <si>
    <t>Outras aportações dos socios</t>
  </si>
  <si>
    <t>Recursos Alheios: Passivos</t>
  </si>
  <si>
    <t>C) Passivos a Curto Prazo</t>
  </si>
  <si>
    <t>Crédito de acionistas</t>
  </si>
  <si>
    <t>Receitas a distribuir em varios exerc.</t>
  </si>
  <si>
    <t>Acreedores Finançeiros (Leasing)</t>
  </si>
  <si>
    <t>Taxa interés meia</t>
  </si>
  <si>
    <t>periodicidade dos pagamentos</t>
  </si>
  <si>
    <t>Montante das quotas</t>
  </si>
  <si>
    <t>Se se conhecer o pagamento, póde-se estimar o prazo</t>
  </si>
  <si>
    <t>periodo meio cobro clientes  (dias)</t>
  </si>
  <si>
    <t>periodo meio pago proveedores (dias)</t>
  </si>
  <si>
    <t>Vendas Periodo anterior</t>
  </si>
  <si>
    <t>Imputação de subvenções preexistentes</t>
  </si>
  <si>
    <t>Meses restantes imputação subvenções</t>
  </si>
  <si>
    <t>Anos antigüidade dos ativos  (meia)</t>
  </si>
  <si>
    <t>Prazo meio amortiçação ativos Inmateriais</t>
  </si>
  <si>
    <t>Prazo meio amortiçação ativos Materiais</t>
  </si>
  <si>
    <t>Montante restante</t>
  </si>
  <si>
    <t>Taxa interés meia (TAE % anual)</t>
  </si>
  <si>
    <t>nº total de pagamentos restantes</t>
  </si>
  <si>
    <t>Montante de cada pago</t>
  </si>
  <si>
    <t>Arrendamentos operacionais prévios (Renting)</t>
  </si>
  <si>
    <t>Existências, Estoque</t>
  </si>
  <si>
    <t>Administração deudora subvenções</t>
  </si>
  <si>
    <t>Ajustes por periodificação</t>
  </si>
  <si>
    <t>Tesouraria: caixa e depósitos bancários</t>
  </si>
  <si>
    <t>Creedores L.P. Financeiros (Leasing)</t>
  </si>
  <si>
    <t>Outros Creedores L.P.</t>
  </si>
  <si>
    <t>Creedores C.P. Financeiros (Leasing)</t>
  </si>
  <si>
    <t>Crédito financeiro C.P. (apólices)</t>
  </si>
  <si>
    <t>Fornecedores</t>
  </si>
  <si>
    <t>Outros Creedores C.P.</t>
  </si>
  <si>
    <t>Préstamos em vigor</t>
  </si>
  <si>
    <t>Empréstimos LP</t>
  </si>
  <si>
    <t>Empréstimos CP</t>
  </si>
  <si>
    <t>Creedores Financeiros (Empréstimos)</t>
  </si>
  <si>
    <t>Arrendamentos Financeiros em vigor (Leasing)</t>
  </si>
  <si>
    <t>Leasing CP (Locações Financeiras)</t>
  </si>
  <si>
    <t>Leasing LP (Locações Financeiras)</t>
  </si>
  <si>
    <t>Periodicidade dos pagamentos</t>
  </si>
  <si>
    <t>nº de pagamentos anuais (periodicidade)</t>
  </si>
  <si>
    <t>Inmob. Financeiro Curto prazo</t>
  </si>
  <si>
    <t>Inmobiliçado Tangível</t>
  </si>
  <si>
    <t>Inmobiliçado Intangível</t>
  </si>
  <si>
    <t>CAPITAL PRÓPRIO E PASSIVO</t>
  </si>
  <si>
    <t>A) Capital Próprio</t>
  </si>
  <si>
    <t>Capital Próprio e Passivo</t>
  </si>
  <si>
    <t>Inmob. Financeiro Lungo prazo</t>
  </si>
  <si>
    <t>Fianças de alugueres</t>
  </si>
  <si>
    <t>Capital Próprio</t>
  </si>
  <si>
    <t>Recursos Alheios</t>
  </si>
  <si>
    <t>Creedores L.P. Financeiros (Empréstimos)</t>
  </si>
  <si>
    <t>Creedores C.P. Financeiros (Empréstimos)</t>
  </si>
  <si>
    <t>Fornecedores CV Produtos em curso</t>
  </si>
  <si>
    <t>Créditos a Curto Prazo</t>
  </si>
  <si>
    <t>Créditos Longo Plazo</t>
  </si>
  <si>
    <t>Total Fontes de Finançamento</t>
  </si>
  <si>
    <t>Finançamento do Investimento Inicial</t>
  </si>
  <si>
    <t>Fontes de Finançamento Iniciais</t>
  </si>
  <si>
    <t>Quadro de Amortiçações e juros de empéstimos solicitados em anos sucessivos</t>
  </si>
  <si>
    <t>Empréstimos</t>
  </si>
  <si>
    <t>Taxas nominais</t>
  </si>
  <si>
    <t>Despesas iniciales</t>
  </si>
  <si>
    <t>Nº pagamentos por ano</t>
  </si>
  <si>
    <t>Pagamento periódico</t>
  </si>
  <si>
    <t>meses carência</t>
  </si>
  <si>
    <t>meses empréstimo</t>
  </si>
  <si>
    <t>1er mes carência</t>
  </si>
  <si>
    <t>1er mes empréstimo</t>
  </si>
  <si>
    <t>mes final empréstimo</t>
  </si>
  <si>
    <t>Pagamentos</t>
  </si>
  <si>
    <t>Juros</t>
  </si>
  <si>
    <t>Amortiçações</t>
  </si>
  <si>
    <t>Amort. Novo empréstimo</t>
  </si>
  <si>
    <t>Amort. Novo Leasing</t>
  </si>
  <si>
    <t>Quota Renting</t>
  </si>
  <si>
    <t>Capitais</t>
  </si>
  <si>
    <t>Valores residuais</t>
  </si>
  <si>
    <t>Quota Leasing</t>
  </si>
  <si>
    <t>Cálculo detalhado das Amortiçações e juros dos Leasing solicitados em anos sucessivos</t>
  </si>
  <si>
    <t>Cálculo detalhado das quotas dos Renting solicitados em anos sucessivos</t>
  </si>
  <si>
    <t>Operações de Renting</t>
  </si>
  <si>
    <t>Quadro por meses</t>
  </si>
  <si>
    <t>Recursos Humanos da empresa</t>
  </si>
  <si>
    <t>mes do inicio da atividade</t>
  </si>
  <si>
    <t>Previsões do quadro de pessoal detalladas por meses</t>
  </si>
  <si>
    <t>Total Quadro</t>
  </si>
  <si>
    <t>Meia</t>
  </si>
  <si>
    <t>nº socios R.E.T.A. (altas e baixas)</t>
  </si>
  <si>
    <t>altas/baixas de trabalhadores</t>
  </si>
  <si>
    <t>nº sócios para o IRPF</t>
  </si>
  <si>
    <t>Altas e Baixas de pessoal</t>
  </si>
  <si>
    <t>dias meia</t>
  </si>
  <si>
    <t>Política de Pagamentos pendentes aos fornecedores de exercicios anteriores</t>
  </si>
  <si>
    <t>Pagamentos a fornecedores</t>
  </si>
  <si>
    <t>Política de Cobramças de Clientes Pendentes de exercicios anteriores</t>
  </si>
  <si>
    <t>Cobranças de clientes</t>
  </si>
  <si>
    <t>Vendas (unidades)</t>
  </si>
  <si>
    <t>Percentágem</t>
  </si>
  <si>
    <t>Plano de produção: Distribução dos custos variáveis nos meses anteriores à venda</t>
  </si>
  <si>
    <t>Distribução dos custos variáveis no prazo de produção em relação à data de venda</t>
  </si>
  <si>
    <t>meia</t>
  </si>
  <si>
    <t>prazos fabricação (dias)</t>
  </si>
  <si>
    <t>nº meses anticipação</t>
  </si>
  <si>
    <t>Previsões de produção: Distribuição dos custos variáveis das unidades vendidas no</t>
  </si>
  <si>
    <t>Previsão de unidades vendidas</t>
  </si>
  <si>
    <t>Previsão de custos de produção das unidades vendidas</t>
  </si>
  <si>
    <t>Custos produção</t>
  </si>
  <si>
    <t>Custos de produção no ano</t>
  </si>
  <si>
    <t>Distribuição dos custos de produção por meses das unidades vendidas no ano</t>
  </si>
  <si>
    <t>Pendente anterior</t>
  </si>
  <si>
    <t>mesmo mes</t>
  </si>
  <si>
    <t>IVA Custos produção</t>
  </si>
  <si>
    <t>mes de compra / custo</t>
  </si>
  <si>
    <t>Totais custos / compras para a produção do producto 1 pelos meses nos que se produzir os custos</t>
  </si>
  <si>
    <t>(PARA PODERMOS CALCULAR OS PAGAMENTOS NOS MESES APROPRIADOS)</t>
  </si>
  <si>
    <t>Conta de Resultados, o de Perdas e Ganhos por meses</t>
  </si>
  <si>
    <t>Reservas exercicios anteriores</t>
  </si>
  <si>
    <t>Subvenções ao investimento</t>
  </si>
  <si>
    <t>B) Passivos a Lungo Prazo</t>
  </si>
  <si>
    <t>Inv. Emp. Grupo e asociadas</t>
  </si>
  <si>
    <t>Investimentos inmóvies</t>
  </si>
  <si>
    <t>Balanços Anuais Previsionáis</t>
  </si>
  <si>
    <t>Inmobilizado Material</t>
  </si>
  <si>
    <t>Inmobilizado Intangivel</t>
  </si>
  <si>
    <t>Amortiçações acumuladas</t>
  </si>
  <si>
    <t>Inmob. Financeiro Lungo Prazo</t>
  </si>
  <si>
    <t>Inmob. Financeiro Curto Prazo</t>
  </si>
  <si>
    <t>Recietas pendentes de clientes</t>
  </si>
  <si>
    <t>Clientes duvidosos</t>
  </si>
  <si>
    <t>Tesouraria</t>
  </si>
  <si>
    <t>Resultados pend. Aplicação</t>
  </si>
  <si>
    <t>Creedores L.P. Financeiros</t>
  </si>
  <si>
    <t>Creedores C.P. Financeiros</t>
  </si>
  <si>
    <t>Crédito financeiro C.P.</t>
  </si>
  <si>
    <t>Passivos a Lungo Prazo</t>
  </si>
  <si>
    <t>Passivos a Curto Prazo</t>
  </si>
  <si>
    <t>Total Recursos Permanêntes</t>
  </si>
  <si>
    <t>Total Recursos Alheios</t>
  </si>
  <si>
    <t>Capital Próprio e Passivos</t>
  </si>
  <si>
    <t>Fundo de Maneio</t>
  </si>
  <si>
    <t>Necessidade Operácional Fundos (NOF)</t>
  </si>
  <si>
    <t>Os % do Fundo de Maneio são estimados sobre o Activo Total.</t>
  </si>
  <si>
    <t>Admon. Creedora subvenções</t>
  </si>
  <si>
    <t>Res. antes Int. e Imp. (BAII / EBIT)</t>
  </si>
  <si>
    <t>Análise das Contas de Perdas e Ganhos</t>
  </si>
  <si>
    <t>Conceitos</t>
  </si>
  <si>
    <t>Ingresos de vendas</t>
  </si>
  <si>
    <t>Imputação de subvenções</t>
  </si>
  <si>
    <t>Total Ingresos de Explotação</t>
  </si>
  <si>
    <t>Custos variáveis / Direitos</t>
  </si>
  <si>
    <t>Despesas de Pessoal</t>
  </si>
  <si>
    <t>Despesas de Seguridade Social</t>
  </si>
  <si>
    <t>Outros Gastos Fixos</t>
  </si>
  <si>
    <t>Dotação Amortiçações</t>
  </si>
  <si>
    <t>Ingresos Financeiros</t>
  </si>
  <si>
    <t>Gastos Financeiros</t>
  </si>
  <si>
    <t>Resultado antes Impostos (B.A.I.)</t>
  </si>
  <si>
    <t>Resultado Neto do Periodo</t>
  </si>
  <si>
    <t>Gastos Explotação</t>
  </si>
  <si>
    <t>Margem Bruto s/Vendas</t>
  </si>
  <si>
    <t>Custos Direitos e Comerciais</t>
  </si>
  <si>
    <t>Pagamento em dúvida / Receitas falhidas</t>
  </si>
  <si>
    <t>Res. Acumulado Exercicio</t>
  </si>
  <si>
    <t>Perdas a compensar</t>
  </si>
  <si>
    <t>Quota liquidable (imputable)</t>
  </si>
  <si>
    <t>Pagos por conta em base ao …</t>
  </si>
  <si>
    <t>Quota líquida (a pagar)</t>
  </si>
  <si>
    <t>Benefício Neto</t>
  </si>
  <si>
    <t>Resultado aplicável</t>
  </si>
  <si>
    <t>Variação</t>
  </si>
  <si>
    <t>% / Lucro</t>
  </si>
  <si>
    <t>Dividendo para distribuir-se</t>
  </si>
  <si>
    <t>dotação às reservas</t>
  </si>
  <si>
    <t>Aplicação de resultados: Dotação de reservas e reparto dos dividendos</t>
  </si>
  <si>
    <t>Previção da quota diferêncial para qualquer um dos sócios</t>
  </si>
  <si>
    <t>Exercicios Fiscais</t>
  </si>
  <si>
    <t>Nº de sócios</t>
  </si>
  <si>
    <t>Base Imponivel por sócio</t>
  </si>
  <si>
    <t>Previsão quota íntegra</t>
  </si>
  <si>
    <t>Retenções e pagos por conta</t>
  </si>
  <si>
    <t>Previção quota diferêncial</t>
  </si>
  <si>
    <t>Resultado Negativo para devolver</t>
  </si>
  <si>
    <t>Taxa marginal</t>
  </si>
  <si>
    <t>Soldo mensual máximo para os sócios</t>
  </si>
  <si>
    <t>Rendimentos do trabalho</t>
  </si>
  <si>
    <t>Total vendas (Ingresos Brutos)</t>
  </si>
  <si>
    <t>Ingresos extraordinários</t>
  </si>
  <si>
    <t>Total Ingresos imputáveis</t>
  </si>
  <si>
    <t>Custos Variáveis</t>
  </si>
  <si>
    <t>Custos de Pessoal</t>
  </si>
  <si>
    <t>Outros Custos fixos</t>
  </si>
  <si>
    <t>Dotação para amortiçações</t>
  </si>
  <si>
    <t>Gastos - Ingresos Financeiros</t>
  </si>
  <si>
    <t>Total Gastos Deducíveis</t>
  </si>
  <si>
    <t>Retenções e pagamentos por conta</t>
  </si>
  <si>
    <t>Retenções feitas</t>
  </si>
  <si>
    <t>Pagamentos por conta do Imposto</t>
  </si>
  <si>
    <t>Total Retenções e Pagamentos por conta</t>
  </si>
  <si>
    <t>Vendas no periodo</t>
  </si>
  <si>
    <t>Receitas por Vendas do ano</t>
  </si>
  <si>
    <t>Prazos das receitas</t>
  </si>
  <si>
    <t>Compras do periodo</t>
  </si>
  <si>
    <t>Pendente para o ano seguinte:</t>
  </si>
  <si>
    <t xml:space="preserve">Impagados produzidos ao longo do ano </t>
  </si>
  <si>
    <t>Receitas e pagamentos da Empresa</t>
  </si>
  <si>
    <t>Gastos Deducíveis</t>
  </si>
  <si>
    <t>Liquidações Trimestrais</t>
  </si>
  <si>
    <t>Previsão de Gastos Fixos da empresa</t>
  </si>
  <si>
    <t>Gastos de pessoal</t>
  </si>
  <si>
    <t>Ordenados e salários</t>
  </si>
  <si>
    <t>Seguros Sociáis</t>
  </si>
  <si>
    <t>Seg. Social Sócios (R.E.T.A.)</t>
  </si>
  <si>
    <t>Seg. Social Empregados</t>
  </si>
  <si>
    <t>Altas e baixas do pessoal</t>
  </si>
  <si>
    <t>Altas e baixas de sócios</t>
  </si>
  <si>
    <t>Altas de empregados</t>
  </si>
  <si>
    <t>Outros gastos fixos</t>
  </si>
  <si>
    <t>Total Gastos Fixos</t>
  </si>
  <si>
    <t>Regra de prorrata</t>
  </si>
  <si>
    <t>Total Faturação</t>
  </si>
  <si>
    <t>Coeficiente para a prorrata</t>
  </si>
  <si>
    <t>Gastos Fixos anuais</t>
  </si>
  <si>
    <t>Gastos de pessoal: 
Ordenados e salários</t>
  </si>
  <si>
    <t>Cálculo de Amortiçações de Investimentos em Activos Não Correntes</t>
  </si>
  <si>
    <t>Amortiçação Acumulada</t>
  </si>
  <si>
    <t>Amortiçações Contabilísticas de Activos</t>
  </si>
  <si>
    <t>Quotas anuais de amortiçação</t>
  </si>
  <si>
    <t>taxa % anual</t>
  </si>
  <si>
    <t>amortiçação</t>
  </si>
  <si>
    <t>Vida útil meia prevista (anos)</t>
  </si>
  <si>
    <t>Amortiçações anuais</t>
  </si>
  <si>
    <t>Invest. Bruto</t>
  </si>
  <si>
    <t>ao Início</t>
  </si>
  <si>
    <t>outros activos não correntes necessários</t>
  </si>
  <si>
    <t>Activos Fixos tangíveis (Bal. Previo)</t>
  </si>
  <si>
    <t>Investimentos Iniciais em activos não correntes</t>
  </si>
  <si>
    <t>Elementos de transporte</t>
  </si>
  <si>
    <t>Equipa processo de informação</t>
  </si>
  <si>
    <t>Previsão de Receitas e Despesas Financeiras da empresa</t>
  </si>
  <si>
    <t>Despesas Financeiras</t>
  </si>
  <si>
    <t>Meia anual</t>
  </si>
  <si>
    <t>Diposições da apólica de crédito</t>
  </si>
  <si>
    <t>Juros apólice de crédito</t>
  </si>
  <si>
    <t>Juros apólice não disposto</t>
  </si>
  <si>
    <t>Juros por descberto em cc.</t>
  </si>
  <si>
    <t>Locaçoes por Renting</t>
  </si>
  <si>
    <t>Juros dos empréstimos</t>
  </si>
  <si>
    <t>Juros dos Leasing</t>
  </si>
  <si>
    <t>Descobertos na tesouraria</t>
  </si>
  <si>
    <t>Remanêntes apólice de crédito</t>
  </si>
  <si>
    <t>Juros Conta Corrente</t>
  </si>
  <si>
    <t>Outros ingresos Financeiros</t>
  </si>
  <si>
    <t xml:space="preserve">Totais mensuais  </t>
  </si>
  <si>
    <t>taxas</t>
  </si>
  <si>
    <t>Previsões de Cobranças e Pagamentos: Previsões de Tesouraria</t>
  </si>
  <si>
    <t>Descrção</t>
  </si>
  <si>
    <t>Resumo de Tesourarias mensuais</t>
  </si>
  <si>
    <t>COBRANÇAS</t>
  </si>
  <si>
    <t>Outras entradas</t>
  </si>
  <si>
    <t>Receitas financeiras</t>
  </si>
  <si>
    <t>Cobranças pendentes / Cobranças atrasadas</t>
  </si>
  <si>
    <t>Cobranças de vendas</t>
  </si>
  <si>
    <t>PAGAMENTOS</t>
  </si>
  <si>
    <t>Total COBRANÇAS</t>
  </si>
  <si>
    <t>Pagamentos de Gastos Financieros</t>
  </si>
  <si>
    <t>Outras saidas da caixa</t>
  </si>
  <si>
    <t>Outros pagamentos a creedores L/P</t>
  </si>
  <si>
    <t>Total PAGAMENTOS</t>
  </si>
  <si>
    <t>Fluxos de caixa anuais (Cash Flow)</t>
  </si>
  <si>
    <t>Tesouraria acumulada</t>
  </si>
  <si>
    <t>Máxima tesouraria mensual</t>
  </si>
  <si>
    <t>mes máxima tesouraria mensual no ano</t>
  </si>
  <si>
    <t>Apólices de crédito e descobertos</t>
  </si>
  <si>
    <t>Máximo disposto do apólice de crédito</t>
  </si>
  <si>
    <t>Máximo descoberto no ano</t>
  </si>
  <si>
    <t>Mes do máximo descoberto</t>
  </si>
  <si>
    <t>Resumo de tesouraria</t>
  </si>
  <si>
    <t>Previsões de cobranças por meses</t>
  </si>
  <si>
    <t>Previsões de pagamentos por meses</t>
  </si>
  <si>
    <t>Tesourarias mensuais previstas</t>
  </si>
  <si>
    <t>Disposto Apólice Crédito</t>
  </si>
  <si>
    <t>Fluxo de caixa do periodo  (Cash Flow)</t>
  </si>
  <si>
    <t>Outras Cobranças da empresa</t>
  </si>
  <si>
    <t>Outras Cobranças e Pagamentos da Empresa</t>
  </si>
  <si>
    <t>Outros Pagamentos da empresa</t>
  </si>
  <si>
    <t>Outras cobranças atípicas</t>
  </si>
  <si>
    <t>Capital realizado</t>
  </si>
  <si>
    <t>Pagamento de dividendos</t>
  </si>
  <si>
    <t>Pagamentos de investimentos</t>
  </si>
  <si>
    <t>Pagamentos pend. Fornecedores</t>
  </si>
  <si>
    <t>Devoluções outros creedores LP</t>
  </si>
  <si>
    <t>Devolução de principal de empréstimos / Leasing</t>
  </si>
  <si>
    <t>Resultados Financeiros</t>
  </si>
  <si>
    <t>Vendas anuais previstas</t>
  </si>
  <si>
    <t>Venda mensual meia prevista</t>
  </si>
  <si>
    <t>Lucro Estimado (B.A.I.)</t>
  </si>
  <si>
    <t>Margem Meio de Contribução</t>
  </si>
  <si>
    <t>Estimação do Limiar de Rentabilidade ou Ponto de Equilíbrio</t>
  </si>
  <si>
    <t>Estimação do Ponto de Equilíbrio</t>
  </si>
  <si>
    <t xml:space="preserve"> = Prev. Vendas / Pto. Equilíbrio</t>
  </si>
  <si>
    <t>Coef. de segurança (com gastos financ.)</t>
  </si>
  <si>
    <t>Coef. de segurança (sem gastos financ.)</t>
  </si>
  <si>
    <t>P.E. Mensual meio</t>
  </si>
  <si>
    <t>Ponto de Equilíbrio (com gastos fin.)</t>
  </si>
  <si>
    <t>Ponto de Equilíbrio (sem gastos fin.)</t>
  </si>
  <si>
    <t>Gastos laborais</t>
  </si>
  <si>
    <t>Outros Gastos</t>
  </si>
  <si>
    <t>Amortizaçações</t>
  </si>
  <si>
    <t>Lucro Bruto Estimado (B.A.J.I.)</t>
  </si>
  <si>
    <t>% / Vdas</t>
  </si>
  <si>
    <t>Custo</t>
  </si>
  <si>
    <t>% / Ctos</t>
  </si>
  <si>
    <t>Margem</t>
  </si>
  <si>
    <t>% de margem</t>
  </si>
  <si>
    <t>% contribução</t>
  </si>
  <si>
    <t>Produtos / Serviços</t>
  </si>
  <si>
    <t>Tesourarias anuais iniciais / ( Défices )</t>
  </si>
  <si>
    <t xml:space="preserve"> Défice de tesouraria ao inicio de cada ano</t>
  </si>
  <si>
    <t>Tesorerías / (Défices)</t>
  </si>
  <si>
    <t>Ratios de Rentabilidade</t>
  </si>
  <si>
    <t>1. (Retorno do Capital Próprio)</t>
  </si>
  <si>
    <t>Benefício Neto / Capital Próprio x 100</t>
  </si>
  <si>
    <t>3. Margem sobre Vendas</t>
  </si>
  <si>
    <t>Ratios de Eficiência</t>
  </si>
  <si>
    <t>Ratios Financeiros</t>
  </si>
  <si>
    <t>2. Disponibilidade</t>
  </si>
  <si>
    <t>Gastos Financeiros / RR.AA.</t>
  </si>
  <si>
    <t>1. Rotação do Activo</t>
  </si>
  <si>
    <t>2. Rotação do Circulante</t>
  </si>
  <si>
    <t>3. Rotação de Existências</t>
  </si>
  <si>
    <t>Vendas previstas</t>
  </si>
  <si>
    <t>Ingresos de Exploração / Activo Total</t>
  </si>
  <si>
    <t>Ingresos de Exploração / Activo Corrente</t>
  </si>
  <si>
    <t>Ingresos de Exploração / Existências</t>
  </si>
  <si>
    <t>(Clientes / Ingresos de Exploração) x 365</t>
  </si>
  <si>
    <t>( B.A.I. / B.A.I.I. ) x ( Activo Total / Capital Próprio )</t>
  </si>
  <si>
    <t>(Activo Corrente - Existências) / Passivo Exigível a Curto</t>
  </si>
  <si>
    <t>Activo Corrente  / Passivo Exigível a Curto</t>
  </si>
  <si>
    <t>Passivo Exigível Total / Capital Próprio</t>
  </si>
  <si>
    <t>(Capital Próprio + Passivo Exigível a Largo) / Activo No Corrente</t>
  </si>
  <si>
    <t>(Creedores Comerciales / Custo de Vendas) x 365</t>
  </si>
  <si>
    <t>(Benefício Neto + Amortiçações)  / Creedores Financeiros</t>
  </si>
  <si>
    <t>Vendas previstas / Ponto de Equilíbrio</t>
  </si>
  <si>
    <t>(Incr. Tesouraria + Decr. Apólice credito)</t>
  </si>
  <si>
    <t>Valor Actualizado da investimento</t>
  </si>
  <si>
    <t>Fluxos de Caixa previstos  (Cash Flow)</t>
  </si>
  <si>
    <t>Previsões de Vendas</t>
  </si>
  <si>
    <t>8. Capacidade máxima de crescimento</t>
  </si>
  <si>
    <t>Activo Corrente - Passivo Exigível a Curto Prazo</t>
  </si>
  <si>
    <t>(Capital Próprio + Passivo Exigível a Largo Prazo) - Activo No Corrente</t>
  </si>
  <si>
    <t>Prazo de Recuperación da investimento:</t>
  </si>
  <si>
    <t>5. Cobertura do Inmobilizado</t>
  </si>
  <si>
    <t xml:space="preserve">Fundo de Maneio </t>
  </si>
  <si>
    <t>Benefício antes Juros e Impostos / Activo Total x 100</t>
  </si>
  <si>
    <t>Benefício antes de Juros e Impostos / Ingresos de Exploração x 100</t>
  </si>
  <si>
    <t>TIR corregida con Custo financiación e Juros de saldos positivos</t>
  </si>
  <si>
    <t>( Vendas - Custos Direitos ) / Vendas</t>
  </si>
  <si>
    <t>variação relativa de Benefícios/ variação relativa de Vendas
=1 + Custo Fijo / Benefício</t>
  </si>
  <si>
    <t>5. Grau de alavancagem Operativo</t>
  </si>
  <si>
    <t>4. Alavancagem Financeiro</t>
  </si>
  <si>
    <t>3. Endividamiento ou alavancagem</t>
  </si>
  <si>
    <t>6. Prazo Meio de Cobrança (dias)</t>
  </si>
  <si>
    <t>7. Prazo Meio de Pagamento (dias)</t>
  </si>
  <si>
    <t>margem Meio x (Vendas - Ponto de Equilíbrio)   (EBITDA)</t>
  </si>
  <si>
    <t>Custo Financeiro Meio RR.PP.</t>
  </si>
  <si>
    <t>Custo Financeiro Meio RR.AA.</t>
  </si>
  <si>
    <t>Custo Financeiro Ponderado Meio</t>
  </si>
  <si>
    <t>(margemx(1-%dividendos)xActivo/Capital Próprio) /
 1/Rotação-margem*(1-%dividendos)xActivo/Capital Próprio)</t>
  </si>
  <si>
    <t>9. Capacidade devolução dívida financiera</t>
  </si>
  <si>
    <t>Outras ratios e parámetros</t>
  </si>
  <si>
    <t>Nº Meio de postos de trabalho</t>
  </si>
  <si>
    <t>(Empregados + sócios)</t>
  </si>
  <si>
    <t>Volume de Vendas a partir do cual se genera Benefício</t>
  </si>
  <si>
    <t>Ponto de Equilíbrio o Limiar de rentabilidade</t>
  </si>
  <si>
    <t>Coeficiente de segurança</t>
  </si>
  <si>
    <t>Beneficio ou perda brutos previstos (B.A.J.I.)</t>
  </si>
  <si>
    <t>Número de anos de vida útil prevista do investimento</t>
  </si>
  <si>
    <t>dividendos / ( Capital + Reservas + Outras aportaciones dos sócios )</t>
  </si>
  <si>
    <t>Vida útil em meia prevista do investimento</t>
  </si>
  <si>
    <t xml:space="preserve">BENEFÍCIO NETO </t>
  </si>
  <si>
    <t xml:space="preserve">Gastos financeiros </t>
  </si>
  <si>
    <t>Fluxos de Caixa Livres</t>
  </si>
  <si>
    <t>Amortiçações e provisões</t>
  </si>
  <si>
    <t>Investimentos netas inmovilizado material</t>
  </si>
  <si>
    <t>Investimentos netas inmovilizado inmaterial</t>
  </si>
  <si>
    <t xml:space="preserve">Investimentos NOF </t>
  </si>
  <si>
    <t xml:space="preserve">Fluxo de Caixa Livre acumulado </t>
  </si>
  <si>
    <t>Taxa de desconto para o VAN</t>
  </si>
  <si>
    <t>Taxa de inflacción considerada</t>
  </si>
  <si>
    <t>Taxas para calcular o TIRc</t>
  </si>
  <si>
    <t>Taxa de finançamento</t>
  </si>
  <si>
    <t>Taxa de reinvestimento</t>
  </si>
  <si>
    <t>Valoração da empresa</t>
  </si>
  <si>
    <t>Valor Fluxos anos 0 até 5</t>
  </si>
  <si>
    <t>Prazo da empresa, nº dos fluxos de caixa</t>
  </si>
  <si>
    <t>% desconto.  Custo dos recursos</t>
  </si>
  <si>
    <t>risco sectorial</t>
  </si>
  <si>
    <t>risco específico</t>
  </si>
  <si>
    <t>Total risco empresa</t>
  </si>
  <si>
    <t>3% por defeito</t>
  </si>
  <si>
    <t>risco da empresa</t>
  </si>
  <si>
    <t>risco geral da empresa</t>
  </si>
  <si>
    <t>% crescimento Fluxos Caixa do ano 5 adiante</t>
  </si>
  <si>
    <t>Comprobação dos Fluxos de caixa</t>
  </si>
  <si>
    <t>€ correntes</t>
  </si>
  <si>
    <t>perpetuidade</t>
  </si>
  <si>
    <t>Taxa livre de risco</t>
  </si>
  <si>
    <t>Valoração da empresa.  VAN e TIR</t>
  </si>
  <si>
    <t>F. Maneio</t>
  </si>
  <si>
    <t>Equilíbrio</t>
  </si>
  <si>
    <t>BALANÇOS</t>
  </si>
  <si>
    <t>Tesourarías</t>
  </si>
  <si>
    <t>Caixa de alarmes</t>
  </si>
  <si>
    <t>Max. Défice</t>
  </si>
  <si>
    <t>Coef. Segurança</t>
  </si>
  <si>
    <t>margem meio contribução</t>
  </si>
  <si>
    <t>Postos de trabalho</t>
  </si>
  <si>
    <t>Previsiões económicas
Quadro Resumido</t>
  </si>
  <si>
    <t>Anos</t>
  </si>
  <si>
    <t>Lucro Neto</t>
  </si>
  <si>
    <t>Recursos Próprios</t>
  </si>
  <si>
    <t>Prazo cálculo do VAN</t>
  </si>
  <si>
    <t>% desconto para o VAN</t>
  </si>
  <si>
    <t>Prazo recuperação investimento</t>
  </si>
  <si>
    <t>TOTAIS</t>
  </si>
  <si>
    <t>Vida útil em meia investimentos (anos)</t>
  </si>
  <si>
    <t>Início da actividade</t>
  </si>
  <si>
    <t>Nombre da empresa (projeto):</t>
  </si>
  <si>
    <t xml:space="preserve">Cidade:     </t>
  </si>
  <si>
    <t>Data de realiçação do Plano:</t>
  </si>
  <si>
    <t>Resumo dos Dados de Evaluação do Projeto</t>
  </si>
  <si>
    <t>Ordem Anglo-saxão</t>
  </si>
  <si>
    <t>I.R.S.</t>
  </si>
  <si>
    <t>Imposto Rendas Pessoas Singulares</t>
  </si>
  <si>
    <t>Imposto Rendas Pessoas Coletivas</t>
  </si>
  <si>
    <t>I.R.C.</t>
  </si>
  <si>
    <t>% Retenção nas Receitas</t>
  </si>
  <si>
    <t>% receitas com retenção</t>
  </si>
  <si>
    <t>Imposto Pessoas Coletivas</t>
  </si>
  <si>
    <t>Imposto Pessoas Singulares</t>
  </si>
  <si>
    <t>solidaridade</t>
  </si>
  <si>
    <t>IRS
quota</t>
  </si>
  <si>
    <t>IRS
retenção</t>
  </si>
  <si>
    <t>IRC
t. Med</t>
  </si>
  <si>
    <t>IRC
% Normal</t>
  </si>
  <si>
    <t>Crédito dos accionistas</t>
  </si>
  <si>
    <t>CAPITAL PRÓPRIO E PASSIVOS</t>
  </si>
  <si>
    <t>Previsões dos Custos Variáveis da empresa</t>
  </si>
  <si>
    <t>Previsões dos Márgems brutos da empresa</t>
  </si>
  <si>
    <t>Márgems brutos</t>
  </si>
  <si>
    <t>Márgems Brutos Anuais</t>
  </si>
  <si>
    <t>Previsões das Vendas da empresa</t>
  </si>
  <si>
    <t>até</t>
  </si>
  <si>
    <t>% ingresos adiantados
     I.R.C.</t>
  </si>
  <si>
    <t>Taxa reducido:</t>
  </si>
  <si>
    <t>Taxa geral:</t>
  </si>
  <si>
    <t>Investimentos Anuais Previstos</t>
  </si>
  <si>
    <t>Ativos Não Currentes</t>
  </si>
  <si>
    <t>Investimentos Anuais Ativos Fixos</t>
  </si>
  <si>
    <t>Investimentos Anuais Ativos Currentes</t>
  </si>
  <si>
    <t>Total Investimentos Anuais</t>
  </si>
  <si>
    <t>Capital de segurança</t>
  </si>
  <si>
    <t>-</t>
  </si>
  <si>
    <t>Prévio</t>
  </si>
  <si>
    <t>Balanço Prévio</t>
  </si>
  <si>
    <t>Instalações</t>
  </si>
  <si>
    <t>Mobilia</t>
  </si>
  <si>
    <t>Elementos de ativo não corrente</t>
  </si>
  <si>
    <t>Outro Ativo Fixo</t>
  </si>
  <si>
    <t>A) Ativo Não Corrente</t>
  </si>
  <si>
    <t>Ativos por imposto diferido</t>
  </si>
  <si>
    <t>Ativos Nãso Currentes</t>
  </si>
  <si>
    <t>Fianzas constituidas a Curto Prazo</t>
  </si>
  <si>
    <t>Produto em curso</t>
  </si>
  <si>
    <t>Otros ativos corrientes</t>
  </si>
  <si>
    <t>Estoque - Existências</t>
  </si>
  <si>
    <t>Ativos Currentes</t>
  </si>
  <si>
    <t>Total Ativo</t>
  </si>
  <si>
    <t>Existências - Estoque</t>
  </si>
  <si>
    <t>INVESTIMENTOS EM ATIVOS 
NÃO CORRENTES</t>
  </si>
  <si>
    <t>B) Ativo Corrente</t>
  </si>
  <si>
    <t>Inmobilizado financeiro Curto prazo</t>
  </si>
  <si>
    <t>Inversiones en Activos Não Correntes posteriores anos seguintes</t>
  </si>
  <si>
    <t>Prévia</t>
  </si>
  <si>
    <t>CP Empréstimo previo</t>
  </si>
  <si>
    <t>Amort CP Leasing Previo</t>
  </si>
  <si>
    <t>Obra construida</t>
  </si>
  <si>
    <t>Investimentos imobiliária (Bal. Previo)</t>
  </si>
  <si>
    <t>Previo</t>
  </si>
  <si>
    <t>Total Inicial</t>
  </si>
  <si>
    <t>Outras aportações de sócios/as</t>
  </si>
  <si>
    <t>Bal. Prévio</t>
  </si>
  <si>
    <t>Inicial Previo</t>
  </si>
  <si>
    <t>Inicial Prévio</t>
  </si>
  <si>
    <t>Coworking</t>
  </si>
  <si>
    <t xml:space="preserve"> anos</t>
  </si>
  <si>
    <t>Balance previsional ano 0</t>
  </si>
  <si>
    <t>Balance previsional ano 1</t>
  </si>
  <si>
    <t>Balance previsional ano 2</t>
  </si>
  <si>
    <t>Soc.
% retenc. ano previo</t>
  </si>
  <si>
    <t>Nota:   Los gastos de Establecimiento se imputan totalmente a la cuenta de resultados del ano correspondiente.</t>
  </si>
  <si>
    <t>Produtos em curso aõ inicio do ano 0</t>
  </si>
  <si>
    <t>Finançamento adicional incluindo o circulante do ano 0</t>
  </si>
  <si>
    <t>Nº pagos / ano</t>
  </si>
  <si>
    <t xml:space="preserve">Nº pagos / ano </t>
  </si>
  <si>
    <t>Número de anos que se tarda en recuperar la investimento</t>
  </si>
  <si>
    <t>Flujos de caja estimados para los cálculos de VAN, TIR, TIRc  Constantes a partir del 6º ano</t>
  </si>
  <si>
    <t>Compensação de Perdas</t>
  </si>
  <si>
    <t>6.2 Objetivos de Vendas:   cualitativos e cuantitativos</t>
  </si>
  <si>
    <t>Previsão das Vendas</t>
  </si>
  <si>
    <t>Vendas Anuais</t>
  </si>
  <si>
    <t>6.3 Objetivo de Rentabilidade:   Ponto de Equilíbrio</t>
  </si>
  <si>
    <t>8.3   Política de Preços</t>
  </si>
  <si>
    <t>Previsioes económicas
Quadro Resumo</t>
  </si>
  <si>
    <t>márgem media de contribução</t>
  </si>
  <si>
    <t>Coef. Seguridade</t>
  </si>
  <si>
    <t>Seguros Sociais</t>
  </si>
  <si>
    <t>Altas e baixas pessoal</t>
  </si>
  <si>
    <t>Despessas de pessoal: 
Ordenados e salários</t>
  </si>
  <si>
    <t>Ponto de Equilibrio (sem Despessas fin.)</t>
  </si>
  <si>
    <t>Ponto de Equilibrio (com Despessas fin.)</t>
  </si>
  <si>
    <t>12.1 Despessas Fixos do Negócio</t>
  </si>
  <si>
    <t>Total Despessas de Pessoal</t>
  </si>
  <si>
    <t>Outras Despessas fixas</t>
  </si>
  <si>
    <t xml:space="preserve">12.2 Despessas Variáveis </t>
  </si>
  <si>
    <t>Custos variáveis anuais</t>
  </si>
  <si>
    <t>Previsões de Custos Variables da empresa</t>
  </si>
  <si>
    <t xml:space="preserve">Total Despessas Fixas  </t>
  </si>
  <si>
    <t>Total Otros Despessas Fixas</t>
  </si>
  <si>
    <t>Previsiões Lucros</t>
  </si>
  <si>
    <r>
      <t>12.</t>
    </r>
    <r>
      <rPr>
        <b/>
        <sz val="7"/>
        <rFont val="Times New Roman"/>
        <family val="1"/>
      </rPr>
      <t xml:space="preserve">   </t>
    </r>
    <r>
      <rPr>
        <b/>
        <sz val="11"/>
        <rFont val="Tahoma"/>
        <family val="2"/>
      </rPr>
      <t xml:space="preserve">   PLANO DE ACTUAÇÃO (V): ÁREA FINANCEIRA</t>
    </r>
  </si>
  <si>
    <t>mês inicial do primeiro trimestre em qualquer dos exercícios económicos</t>
  </si>
  <si>
    <t xml:space="preserve">  mês</t>
  </si>
  <si>
    <t>ROI / ROA (%)</t>
  </si>
  <si>
    <t>2. (Retorno sobre Activo)  (ROI /ROA)</t>
  </si>
  <si>
    <t>años</t>
  </si>
  <si>
    <t>% despessa cobro vendas</t>
  </si>
  <si>
    <t>% depessas por receitas de vendas</t>
  </si>
  <si>
    <t>Comissões por cobrança de vendas</t>
  </si>
  <si>
    <t>Juros e despesas financeiras / finançamento</t>
  </si>
  <si>
    <t>10. Taxa de juro meia ponderada do finançamento</t>
  </si>
  <si>
    <t>Despesas de Marketing</t>
  </si>
  <si>
    <t>Importe anual</t>
  </si>
  <si>
    <r>
      <t xml:space="preserve">Marketing Digital </t>
    </r>
    <r>
      <rPr>
        <sz val="10"/>
        <rFont val="Tahoma"/>
        <family val="2"/>
      </rPr>
      <t xml:space="preserve">(SEO, SEM, etc) </t>
    </r>
  </si>
  <si>
    <t>Importe
anual</t>
  </si>
  <si>
    <t>% incr.
anual</t>
  </si>
  <si>
    <t>Despesas fixas Marketing online</t>
  </si>
  <si>
    <t>Despesas fixas Marketing off-line</t>
  </si>
  <si>
    <t>Dado</t>
  </si>
  <si>
    <t>% vendas</t>
  </si>
  <si>
    <r>
      <t xml:space="preserve">Marketing Offline </t>
    </r>
    <r>
      <rPr>
        <sz val="10"/>
        <rFont val="Tahoma"/>
        <family val="2"/>
      </rPr>
      <t xml:space="preserve">(Publicidade, RRPP, Promoções, etc) </t>
    </r>
  </si>
  <si>
    <t>CAC</t>
  </si>
  <si>
    <t/>
  </si>
  <si>
    <t>RA</t>
  </si>
  <si>
    <t>VC</t>
  </si>
  <si>
    <t>LTV / CAC=</t>
  </si>
  <si>
    <t>novos clientes</t>
  </si>
  <si>
    <t>Anos esperados de permanência dum cliente na empresa</t>
  </si>
  <si>
    <t>Geralmente o LTV debería ser ao menos 3 vezes maior do que o CAC, aunque depende de o sector e do negócio que for.</t>
  </si>
  <si>
    <t>Total Gastos Marketing por anos</t>
  </si>
  <si>
    <t>Custo de Adquisição de novos clientes</t>
  </si>
  <si>
    <t>Serie</t>
  </si>
  <si>
    <t xml:space="preserve">3.2   Valor Pre-Money </t>
  </si>
  <si>
    <t>Real</t>
  </si>
  <si>
    <r>
      <t xml:space="preserve">EBITDA </t>
    </r>
    <r>
      <rPr>
        <sz val="9"/>
        <rFont val="Lucida Sans"/>
        <family val="2"/>
      </rPr>
      <t>(5 – 6)</t>
    </r>
  </si>
  <si>
    <t>Destino:</t>
  </si>
  <si>
    <t>TOTAL</t>
  </si>
  <si>
    <t xml:space="preserve">Capital Solicitado  </t>
  </si>
  <si>
    <t>Ficha de Dados Dia dos Inversões / Investor's Day</t>
  </si>
  <si>
    <t>DADOS CUANTITATIVOS</t>
  </si>
  <si>
    <t>3.1   Origem dos fundos</t>
  </si>
  <si>
    <t>Origem dos fundos</t>
  </si>
  <si>
    <t>Data da inversão</t>
  </si>
  <si>
    <t>Número de  ações emitidas esta vez</t>
  </si>
  <si>
    <t>Número total de ações emitidas</t>
  </si>
  <si>
    <t>Valoraçãon após cada ronda</t>
  </si>
  <si>
    <t xml:space="preserve">Valoraçãon Pre-Money </t>
  </si>
  <si>
    <t>3.3   Cuadro Financeiro do Projeto</t>
  </si>
  <si>
    <t>Ano da Descripção</t>
  </si>
  <si>
    <t>1. Receitas por vendas</t>
  </si>
  <si>
    <r>
      <t>2. COGS</t>
    </r>
    <r>
      <rPr>
        <sz val="11"/>
        <rFont val="Calibri"/>
        <family val="2"/>
      </rPr>
      <t xml:space="preserve"> </t>
    </r>
    <r>
      <rPr>
        <sz val="8"/>
        <rFont val="Calibri"/>
        <family val="2"/>
      </rPr>
      <t>(</t>
    </r>
    <r>
      <rPr>
        <sz val="8"/>
        <rFont val="Lucida Sans"/>
        <family val="2"/>
      </rPr>
      <t>custo dos bems vendidos)</t>
    </r>
  </si>
  <si>
    <t xml:space="preserve">3. Custos Generais </t>
  </si>
  <si>
    <t>4. Total Custos &amp; Despesas (2 + 3)</t>
  </si>
  <si>
    <t xml:space="preserve">5. Lucro Bruto   
(1- 4) </t>
  </si>
  <si>
    <t>6. Outras despesas</t>
  </si>
  <si>
    <t>Ponto de Equilibrio</t>
  </si>
  <si>
    <t>Cash-Flow aõ final do periodo</t>
  </si>
  <si>
    <t>Rentabilidade sobre o Patrimonio Neto
ROE</t>
  </si>
  <si>
    <t>Rentabilidade sobre os activos
ROA</t>
  </si>
  <si>
    <t>Lucro Neto Operativo despois dos impostos
( NOPAT )</t>
  </si>
  <si>
    <t>Despesas de Capital
CAPEX</t>
  </si>
  <si>
    <t>Fluxo de Caixa de Operações
F.C.O.  / O.C.F.</t>
  </si>
  <si>
    <t>Fluxo de Caixa livre / Free Cash Flow
F.C.L.  / F.C.F.</t>
  </si>
  <si>
    <t xml:space="preserve">3.3.1. Outras métricas financeiras de interés: </t>
  </si>
  <si>
    <t>(OPCIONAIS)</t>
  </si>
  <si>
    <t xml:space="preserve"> (OPCIONAIS)</t>
  </si>
  <si>
    <t>Rentabilidade oferecida ao acionista (%)</t>
  </si>
  <si>
    <t>WACC da empresa (% tasa desconto)</t>
  </si>
  <si>
    <r>
      <t>3.5.</t>
    </r>
    <r>
      <rPr>
        <sz val="11"/>
        <rFont val="Calibri"/>
        <family val="2"/>
      </rPr>
      <t xml:space="preserve"> </t>
    </r>
    <r>
      <rPr>
        <b/>
        <sz val="9"/>
        <color indexed="8"/>
        <rFont val="Calibri-Bold"/>
      </rPr>
      <t xml:space="preserve">Porcentagem do capital social em troco da inversão </t>
    </r>
    <r>
      <rPr>
        <sz val="9"/>
        <color indexed="8"/>
        <rFont val="Calibri-Bold"/>
      </rPr>
      <t>(expresado em %):</t>
    </r>
  </si>
  <si>
    <t>% capital em troco da inversão</t>
  </si>
  <si>
    <t>Valoração PreMoney e PostMoney</t>
  </si>
  <si>
    <t>3.3.2. Métricas de valoração da empresa ao final do último período</t>
  </si>
  <si>
    <r>
      <t xml:space="preserve">Para destinar a  </t>
    </r>
    <r>
      <rPr>
        <b/>
        <sz val="9"/>
        <rFont val="Wingdings"/>
        <charset val="2"/>
      </rPr>
      <t>à</t>
    </r>
  </si>
  <si>
    <t>Investimentos e fontes de finançamento</t>
  </si>
  <si>
    <t>Repetições de compra por cliente:  Compras / cliente e ano</t>
  </si>
  <si>
    <r>
      <rPr>
        <b/>
        <sz val="10"/>
        <rFont val="Tahoma"/>
        <family val="2"/>
      </rPr>
      <t xml:space="preserve">ROI investimento em marketing  </t>
    </r>
    <r>
      <rPr>
        <sz val="10"/>
        <rFont val="Tahoma"/>
        <family val="2"/>
      </rPr>
      <t xml:space="preserve">  </t>
    </r>
    <r>
      <rPr>
        <sz val="9"/>
        <rFont val="Tahoma"/>
        <family val="2"/>
      </rPr>
      <t>(Márgem Bruto - Gasto em MKT)/Gasto em MKT</t>
    </r>
  </si>
  <si>
    <t>Fluxo de Caixa livre sobre Capital/ Free Cash Flow over Capital
CROC</t>
  </si>
  <si>
    <t>Rentabilidade meia de qualquer cliente captado</t>
  </si>
  <si>
    <t>Valor dum cliente na vida útil: LTV (Life Time Value)</t>
  </si>
  <si>
    <t>% abandono</t>
  </si>
  <si>
    <t>% permanência</t>
  </si>
  <si>
    <t>Tasa de abandono dos clientes</t>
  </si>
  <si>
    <t>Tasa de permanência dos clientes na empresa</t>
  </si>
  <si>
    <t>Pay Back (anos)</t>
  </si>
  <si>
    <t>aa</t>
  </si>
  <si>
    <t>RETA Bonificado</t>
  </si>
  <si>
    <t>Bonificada</t>
  </si>
  <si>
    <t>Despesas Variáveis Marketing online</t>
  </si>
  <si>
    <t>Despesas Fixas Marketing online</t>
  </si>
  <si>
    <t>Despesas Variáveis Marketing off-line</t>
  </si>
  <si>
    <t>Despesas Fixas Marketing off-line</t>
  </si>
  <si>
    <t>4. Margem Bruto Meio de Contribução</t>
  </si>
  <si>
    <t>4. Retorno sobre o Capital Utiliçado
    ROCE (Return on Capital Emploed)</t>
  </si>
  <si>
    <t>Benefício antes de Juros e Impostos (EBIT)/ Capital Utiliçado</t>
  </si>
  <si>
    <t>SS Aut. Societarios bonificada</t>
  </si>
  <si>
    <t>Ajuste Coeficiente prorrata IVA</t>
  </si>
  <si>
    <t>Faro</t>
  </si>
  <si>
    <t>Contribuções trabalhadores independentes à Seguridade Sócial</t>
  </si>
  <si>
    <t>Receitas</t>
  </si>
  <si>
    <t>Custos deducíveis</t>
  </si>
  <si>
    <t>Rendimento relevante trimestral</t>
  </si>
  <si>
    <t>Rendimento relevante mensal</t>
  </si>
  <si>
    <t>taxa contributiva</t>
  </si>
  <si>
    <t>Seg. Social Sócios (Trab. Independentes)</t>
  </si>
  <si>
    <t>Contribuição mínima</t>
  </si>
  <si>
    <t>Empresário em nome individual</t>
  </si>
  <si>
    <t>Trabalhadores por conta de outrem</t>
  </si>
  <si>
    <t>Outros trab. Independentes</t>
  </si>
  <si>
    <t>Emprsários em nome individual</t>
  </si>
  <si>
    <t>nº trabalhadores independentes</t>
  </si>
  <si>
    <t>Bº Neto / Fondos Propios</t>
  </si>
  <si>
    <t>Test Multidimensional de Altman</t>
  </si>
  <si>
    <t>Altman Z-score = 1,2 * T1 + 1,4 * T2 + 3,3 * T3 + 0,6 * T4 + 1,0 * T5</t>
  </si>
  <si>
    <t>Componente</t>
  </si>
  <si>
    <t>Coeficiente</t>
  </si>
  <si>
    <t>Z (Altman)</t>
  </si>
  <si>
    <t>A1: (Exigible+Disponible)/Total Activo</t>
  </si>
  <si>
    <t>A2: (Fondos Propios + Pasivo Exigible LP)/Pasivo Total</t>
  </si>
  <si>
    <t>A3: (Gastos Financieros/Ventas)</t>
  </si>
  <si>
    <t>A4: (Gastos Personal/Valor Añadido)</t>
  </si>
  <si>
    <t>A5: (Flujo Caja explotación)/(Total Pago Exigible)</t>
  </si>
  <si>
    <t>Z</t>
  </si>
  <si>
    <t>Análise de Viabilidade</t>
  </si>
  <si>
    <t>Análise Unidimensional</t>
  </si>
  <si>
    <t>A  fórmula Altman Z-score consiste no cálculo seguinte:</t>
  </si>
  <si>
    <t>Probabilidade de quebra / concurso</t>
  </si>
  <si>
    <t>Probabilidade</t>
  </si>
  <si>
    <t>(Cálculos em probas… )</t>
  </si>
  <si>
    <t>A fórmula consiste no cálculo a seguir:</t>
  </si>
  <si>
    <t>Test Coman e Holman</t>
  </si>
  <si>
    <t>T3: (EBITDA/Ativos Totais)</t>
  </si>
  <si>
    <t>T2: (Beneficios não distribuidos/Ativos Totais)</t>
  </si>
  <si>
    <t>T1: (Capital Circulante/Ativos Totais)</t>
  </si>
  <si>
    <t>T4: (Capitaliçação Bursátil/Dívida Total)</t>
  </si>
  <si>
    <t>T5: (Vendas Netas/Ativos Totais)</t>
  </si>
  <si>
    <t>Bº Neto / Vendas</t>
  </si>
  <si>
    <t>Bº Neto / Ativo</t>
  </si>
  <si>
    <t>Fundos Proprios / Pasivo Total</t>
  </si>
  <si>
    <t>Ativo Corrente/Pasivo CP</t>
  </si>
  <si>
    <t>Critério (&gt;=)</t>
  </si>
  <si>
    <t>meses rampa inicial</t>
  </si>
  <si>
    <t>Ano atual</t>
  </si>
  <si>
    <t>Cuotas periódicas software e IA</t>
  </si>
  <si>
    <t>20260728pP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</si>
</sst>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7">
    <numFmt numFmtId="164" formatCode="_-* #,##0\ _P_t_s_-;\-* #,##0\ _P_t_s_-;_-* &quot;-&quot;\ _P_t_s_-;_-@_-"/>
    <numFmt numFmtId="165" formatCode="_-* #,##0.00\ _P_t_s_-;\-* #,##0.00\ _P_t_s_-;_-* &quot;-&quot;??\ _P_t_s_-;_-@_-"/>
    <numFmt numFmtId="166" formatCode="0.0%"/>
    <numFmt numFmtId="167" formatCode="#,##0.0000000000"/>
    <numFmt numFmtId="168" formatCode="#,##0_ ;[Red]\-#,##0\ "/>
    <numFmt numFmtId="169" formatCode="_-* #,##0\ _P_t_s_-;\(\ #,##0\ \)_*;_-* &quot;-&quot;\ _P_t_s_-;_-@_-"/>
    <numFmt numFmtId="170" formatCode="0_ ;[Red]\-0\ "/>
    <numFmt numFmtId="171" formatCode="&quot;a&quot;\ ###\ &quot;días&quot;"/>
    <numFmt numFmtId="172" formatCode="&quot;% a&quot;\ ###\ &quot;días&quot;"/>
    <numFmt numFmtId="173" formatCode="#,##0\ &quot;periodos&quot;"/>
    <numFmt numFmtId="174" formatCode="#,##0\ \€"/>
    <numFmt numFmtId="175" formatCode="0.000"/>
    <numFmt numFmtId="176" formatCode="mmmm\-yyyy"/>
    <numFmt numFmtId="177" formatCode="#,##0.00_ ;[Red]\-#,##0.00\ "/>
    <numFmt numFmtId="178" formatCode="&quot;mes&quot;\ 0"/>
    <numFmt numFmtId="179" formatCode="mmmm"/>
    <numFmt numFmtId="180" formatCode="0.00_ ;[Red]\-0.00\ "/>
    <numFmt numFmtId="181" formatCode="0%;;\-"/>
    <numFmt numFmtId="182" formatCode="_-* #,##0\ _P_t_s_-;\(\ #,##0\ \)_*_*_*;_-* &quot;-&quot;\ _P_t_s_-;_-@_-"/>
    <numFmt numFmtId="183" formatCode="_-* #,##0\ _P_t_s_-;[Red]\(\ #,##0\ \)_*_*_*;_-* &quot;-&quot;\ _P_t_s_-;_-@_-"/>
    <numFmt numFmtId="184" formatCode="0%;\-0%;\-"/>
    <numFmt numFmtId="185" formatCode="#,##0.0"/>
    <numFmt numFmtId="186" formatCode="#,##0\ _€"/>
    <numFmt numFmtId="187" formatCode="\+\ #,##0\ ;[Red]\-\ #,##0;\-"/>
    <numFmt numFmtId="188" formatCode="_-* #,##0\ _P_t_s_-;[Red]\(\ #,##0\ \)\ _*\ \ \ \ ;_-* &quot;-&quot;\ _P_t_s_-;_-@_-"/>
    <numFmt numFmtId="189" formatCode="#,##0.0%_*;[Red]\(\ #,##0.0%\ \)_*"/>
    <numFmt numFmtId="190" formatCode="#,##0_*;[Red]\(\ #,##0\ \)_*"/>
    <numFmt numFmtId="191" formatCode="#,##0;[Red]\ \(\ #,##0\ \)"/>
    <numFmt numFmtId="192" formatCode="#,##0.0%;[Red]\(\ #,##0.0%\ \)"/>
    <numFmt numFmtId="193" formatCode="#,##0;[Red]\(\ #,##0\ \)_*"/>
    <numFmt numFmtId="194" formatCode="#,##0.00_*;[Red]\(\ #,##0.00\ \)_*"/>
    <numFmt numFmtId="195" formatCode="#,##0_*;[Red]\(#,##0\)_*"/>
    <numFmt numFmtId="196" formatCode="0.00%_*;[Red]\(\ 0.00%\ \)_*"/>
    <numFmt numFmtId="197" formatCode="#,##0.00_ ;[Red]\-#,##0.00\ ;;@"/>
    <numFmt numFmtId="198" formatCode="#,##0\ \ _*;[Red]\(\ #,##0\ \)_*"/>
    <numFmt numFmtId="199" formatCode="#,##0\ \ _*;[Red]\(\ #,##0\ \)"/>
    <numFmt numFmtId="200" formatCode="#,##0_*"/>
    <numFmt numFmtId="201" formatCode="0.0%_*"/>
    <numFmt numFmtId="202" formatCode="#,##0_*;[Red]\(\ #,##0\ \)"/>
    <numFmt numFmtId="203" formatCode="dd/mm/yyyy;@"/>
    <numFmt numFmtId="204" formatCode="#,##0_*;[Red]\ \(\ #,##0\ \)_*"/>
    <numFmt numFmtId="205" formatCode="#,##0;;\-"/>
    <numFmt numFmtId="206" formatCode="#,##0_*;;\-\ \ \ _*"/>
    <numFmt numFmtId="207" formatCode="#,##0.00_*"/>
    <numFmt numFmtId="208" formatCode="&quot;Año&quot;\ 0"/>
    <numFmt numFmtId="209" formatCode="&quot;Datos Año&quot;\ 0"/>
    <numFmt numFmtId="210" formatCode="&quot;Año&quot;\ 0\ &quot;:&quot;"/>
    <numFmt numFmtId="211" formatCode="_-* #,##0\ _-;\-* #,##0\ _P_t_s_-;_-* &quot;-&quot;\ _P_t_s_-;_-@_-"/>
    <numFmt numFmtId="212" formatCode="_-* #,##0.00\ [$€]_-;\-* #,##0.00\ [$€]_-;_-* &quot;-&quot;??\ [$€]_-;_-@_-"/>
    <numFmt numFmtId="213" formatCode="#,##0_*;;\-\ \ _*"/>
    <numFmt numFmtId="214" formatCode="#,##0.0;;\-"/>
    <numFmt numFmtId="215" formatCode="0.00%_*"/>
    <numFmt numFmtId="216" formatCode="#,##0_*;;\-\ _*"/>
    <numFmt numFmtId="217" formatCode="0.00%_*;;\-\ _*"/>
    <numFmt numFmtId="218" formatCode="#,##0_*;\-\ _*"/>
    <numFmt numFmtId="219" formatCode="#,##0_*;[Red]\ \(\ #,##0\ \)"/>
    <numFmt numFmtId="220" formatCode="&quot;Año&quot;\ 0&quot;:&quot;"/>
    <numFmt numFmtId="221" formatCode="0.00%_*;;\-\ \ _*"/>
    <numFmt numFmtId="222" formatCode="0.00%_*;;\-\ \ \ _*"/>
    <numFmt numFmtId="223" formatCode="#,##0_*;[Red]\(#,##0\)_*;\-\ \ _*"/>
    <numFmt numFmtId="224" formatCode="#,##0_*;[Red]\(#,##0\)_*;\-\ \ \ _*"/>
    <numFmt numFmtId="225" formatCode="#,##0_*;[Red]\ \(\ #,##0\ \)_*;\-\ \ \ _*"/>
    <numFmt numFmtId="226" formatCode="#,##0_*;[Red]\ \(\ #,##0\ \);\-\ \ \ _*"/>
    <numFmt numFmtId="227" formatCode="#,##0.00_*;;\-\ \ \ _*"/>
    <numFmt numFmtId="228" formatCode="#,##0_*\ ;[Red]\(\ #,##0\ \);\-\ \ \ _*"/>
    <numFmt numFmtId="229" formatCode="#,##0_*;[Red]\(\ #,##0\ \);\-\ \ \ _*"/>
    <numFmt numFmtId="230" formatCode="#,##0_*;[Red]\(\ #,##0\ \)_*;\-\ \ \ _*"/>
    <numFmt numFmtId="231" formatCode="0.00%;;\-\ \ \ _*"/>
    <numFmt numFmtId="232" formatCode="#,##0.00;;\-"/>
    <numFmt numFmtId="233" formatCode="#,##0\ _*;;\-\ \ \ _*"/>
    <numFmt numFmtId="234" formatCode="#,##0.0%\ \ _*;[Red]\(#,##0.0%\)\ \ _*;\-\ \ \ _*"/>
    <numFmt numFmtId="235" formatCode="#,##0\ \ \ \ _*;[Red]\(\ #,##0\ \)\ \ \ _*;\-\ \ \ \ \ _*"/>
    <numFmt numFmtId="236" formatCode="#,##0\ \ \ \ _*;[Red]\(\ #,##0\ \)\ \ \ _*;\-\ \ \ \ _*"/>
    <numFmt numFmtId="237" formatCode="#,##0.0%_*;[Red]\(\ #,##0.0%\ \)_*;\-\ \ \ \ _*"/>
    <numFmt numFmtId="238" formatCode="#,##0\ \ \ \ _*;[Red]\(\ #,##0\ \)\ \ \ _*;\-\ \ \ \ \ _*;_*\ \ \ \ &quot;OK&quot;"/>
    <numFmt numFmtId="239" formatCode="\ #,##0\ \ _*;\(\ #,##0\ \)\ _*;\-\ \ \ \ _*"/>
    <numFmt numFmtId="240" formatCode="#,##0.00\ _*;[Red]\-#,##0.00\ _*;\-\ \ \ \ _*"/>
    <numFmt numFmtId="241" formatCode="#,##0\ \ _*;;\-\ \ \ _*"/>
    <numFmt numFmtId="242" formatCode="#,##0.00\ \ _*;[Red]\(\ #,##0.00\ \)\ \ \ _*;\-\ \ \ \ _*"/>
    <numFmt numFmtId="243" formatCode="#,##0\ \ _*;[Red]\(\ #,##0\ \)\ \ \ _*;\-\ \ \ \ _*"/>
    <numFmt numFmtId="244" formatCode="#,##0_*;;\-_*"/>
    <numFmt numFmtId="245" formatCode="#,##0\ \ _*;[Red]\(\ #,##0\ \)\ \ _*"/>
    <numFmt numFmtId="246" formatCode="#,##0.00_*;[Red]\(#,##0.00\)"/>
    <numFmt numFmtId="247" formatCode="0.00%;[Red]\(\ 0.00%\ \)"/>
    <numFmt numFmtId="248" formatCode="#,##0.0\ \ &quot;años&quot;\ \ _*;;\-\ \ \ _*"/>
    <numFmt numFmtId="249" formatCode="0.0%;;\-\ \ \ _*"/>
    <numFmt numFmtId="250" formatCode="#,##0.00_*;[Red]\(\ #,##0.00\ \)"/>
    <numFmt numFmtId="251" formatCode="\ #,##0.0\ \ _*;\(\ #,##0.0\ \)\ _*;\-\ \ \ \ _*"/>
    <numFmt numFmtId="252" formatCode="0.00%_*;;\-\ 0.00%_*"/>
    <numFmt numFmtId="253" formatCode="#,##0.0%;[Red]\(\ #,##0.0%\ \);\-"/>
    <numFmt numFmtId="254" formatCode="0.00;&quot;N/D&quot;;&quot;N/D&quot;"/>
    <numFmt numFmtId="255" formatCode="0;&quot;N/D&quot;;&quot;N/D&quot;"/>
    <numFmt numFmtId="256" formatCode="#,##0_*;\(\ #,##0\ \)_*"/>
    <numFmt numFmtId="257" formatCode="0.0%;[Red]\(0.0%\)"/>
    <numFmt numFmtId="258" formatCode="#,##0\ \ _*;[Red]\(#,##0\)_*"/>
    <numFmt numFmtId="259" formatCode="#,##0.00\ \ _*;;\-\ \ \ _*"/>
    <numFmt numFmtId="260" formatCode="#,##0.0000\ _*;[Red]\-#,##0.0000\ _*;\-\ \ \ \ _*"/>
    <numFmt numFmtId="261" formatCode="\-*@"/>
    <numFmt numFmtId="262" formatCode="#,##0.0%_*;[Red]\(\ #,##0.0%\ \)_*;\-\ \ \ \ _*;_ \ \ \ \ \ \ \ @"/>
    <numFmt numFmtId="263" formatCode="#,##0_*;[Red]\(\ #,##0\ \)_*;;_ \ \ \ \ \ \ \ @"/>
    <numFmt numFmtId="264" formatCode="0%;;\-\ _*"/>
    <numFmt numFmtId="265" formatCode="0.0000"/>
    <numFmt numFmtId="266" formatCode="#,##0_*;\ \(\ #,##0\ \)"/>
    <numFmt numFmtId="267" formatCode="0.0"/>
    <numFmt numFmtId="268" formatCode="_-* #,##0\ _P_t_s_-;\-* #,##0\ _P_t_s_-;_-* &quot;-&quot;??\ _P_t_s_-;_-@_-"/>
    <numFmt numFmtId="269" formatCode="0.00%\ \ _*"/>
    <numFmt numFmtId="270" formatCode="#,##0.0%\ _*;[Red]\(\ #,##0.0%\ \)_*;\-"/>
    <numFmt numFmtId="271" formatCode="0.00%\ \ _*;;;\ \ \ \ \ \ \ \ \ \ \ @"/>
    <numFmt numFmtId="272" formatCode="#,##0_*;\(\ #,##0\ \)_*;\-\ \ \ _*"/>
    <numFmt numFmtId="273" formatCode="#,##0.00;\(\ #,##0.00\ \);\-\ _*"/>
    <numFmt numFmtId="274" formatCode="#,##0.0%;\(\ #,##0.0%\ \);\-"/>
    <numFmt numFmtId="275" formatCode="#,##0_*;[Red]\(\ #,##0\ \)_*;;_ \ \ @"/>
    <numFmt numFmtId="276" formatCode="&quot;mes &quot;0\ "/>
    <numFmt numFmtId="277" formatCode="#,##0\ \ \ \ _*"/>
    <numFmt numFmtId="278" formatCode="#,##0.00%\ \ \ \ _*"/>
    <numFmt numFmtId="279" formatCode="_-* #,##0.00\ _P_t_s_-;\-* #,##0.00\ _P_t_s_-;_-* &quot;-&quot;\ _P_t_s_-;_-@_-"/>
    <numFmt numFmtId="280" formatCode="_-* #,##0.0\ _P_t_s_-;\-* #,##0.0\ _P_t_s_-;_-* &quot;-&quot;\ _P_t_s_-;_-@_-"/>
    <numFmt numFmtId="281" formatCode="#,##0.00\ \ \ \ _*"/>
    <numFmt numFmtId="282" formatCode="0.0%;;\-\ \ _*"/>
    <numFmt numFmtId="283" formatCode="#,##0.00_ ;\-#,##0.00\ "/>
    <numFmt numFmtId="284" formatCode="#,##0_*;[Red]\(\ #,##0\ \)_*;\-\ _*;_*\ \ \ @"/>
    <numFmt numFmtId="285" formatCode="#,##0\ \ _*;[Red]\(\ #,##0\ \)\ \ _*;\-\ _*;_*\ \ \ \ @"/>
    <numFmt numFmtId="286" formatCode="#,##0.0%_*;[Red]\(\ #,##0.0%\ \)_*;\-\ \ _*"/>
    <numFmt numFmtId="287" formatCode="#,##0.00_*;[Red]\(\ #,##0.00\ \)_*;\-\ _*;_*\ \ \ \ @"/>
    <numFmt numFmtId="288" formatCode="#,##0.0%_*;\(\ #,##0.0%\ \)_*;\-\ \ _*"/>
    <numFmt numFmtId="289" formatCode="yyyy"/>
    <numFmt numFmtId="290" formatCode="#,##0_*;\(\ #,##0\ \)_*;\ \-\ _*"/>
    <numFmt numFmtId="291" formatCode="#,##0.00;;\-\ _*"/>
    <numFmt numFmtId="292" formatCode="&quot;Ano&quot;\ 0"/>
    <numFmt numFmtId="293" formatCode="&quot;% a&quot;\ ###\ &quot;dias&quot;"/>
    <numFmt numFmtId="294" formatCode="&quot;a&quot;\ ###\ &quot;dias&quot;"/>
    <numFmt numFmtId="295" formatCode="[$-16]dd\-mmm\-yy"/>
    <numFmt numFmtId="296" formatCode=";;;&quot;Taxa de &quot;@&quot; repercutido&quot;"/>
    <numFmt numFmtId="297" formatCode="&quot;Year&quot;\ 0"/>
    <numFmt numFmtId="298" formatCode="_-* #,##0.00\ _P_t_s_-;\(\ #,##0.00\ \)_*;_-* &quot;-&quot;\ _P_t_s_-;_-@_-"/>
    <numFmt numFmtId="299" formatCode="#,##0_*;[Red]\(\ #,##0\ \)_*;\-\ _*;_ \ \ \ \ \ \ \ @"/>
    <numFmt numFmtId="300" formatCode="0.0%;[Red]\(0.0%\);\-\ _*"/>
    <numFmt numFmtId="301" formatCode="#,##0.00_*;\(\ #,##0.00\ \)_*;\ \-\ _*"/>
    <numFmt numFmtId="302" formatCode="#,##0.00_*;[Red]\(\ #,##0.00\ \)_*;\-\ _*;_ \ \ \ \ \ \ \ @"/>
    <numFmt numFmtId="303" formatCode="#,##0.0#"/>
    <numFmt numFmtId="304" formatCode="#,##0;[Red]\(\ #,##0\ \);\ \-\ _*"/>
    <numFmt numFmtId="305" formatCode="#,##0.00_*;[Red]\(\ #,##0.00\ \)_*;\-\ \ \ _*"/>
    <numFmt numFmtId="306" formatCode="0.0%;[Red]\(0.0%\);\-\ \ _*"/>
    <numFmt numFmtId="307" formatCode="0.00\ &quot;anos&quot;"/>
    <numFmt numFmtId="308" formatCode="&quot;Ano&quot;\ 0\ &quot;:&quot;"/>
    <numFmt numFmtId="309" formatCode="#,##0.00;[Red]#,##0.00;\-_*"/>
    <numFmt numFmtId="310" formatCode="#,##0.00_*;;\-\ \ _*"/>
  </numFmts>
  <fonts count="125">
    <font>
      <sz val="12"/>
      <name val="Times New Roman"/>
      <family val="1"/>
    </font>
    <font>
      <b/>
      <sz val="10"/>
      <name val="Arial"/>
      <family val="2"/>
    </font>
    <font>
      <sz val="10"/>
      <name val="Arial"/>
      <family val="2"/>
    </font>
    <font>
      <sz val="12"/>
      <name val="Times New Roman"/>
      <family val="1"/>
    </font>
    <font>
      <sz val="8"/>
      <name val="Times New Roman"/>
      <family val="1"/>
    </font>
    <font>
      <sz val="8"/>
      <color indexed="81"/>
      <name val="Tahoma"/>
      <family val="2"/>
    </font>
    <font>
      <b/>
      <sz val="8"/>
      <color indexed="81"/>
      <name val="Tahoma"/>
      <family val="2"/>
    </font>
    <font>
      <b/>
      <sz val="12"/>
      <color indexed="10"/>
      <name val="Times New Roman"/>
      <family val="1"/>
    </font>
    <font>
      <sz val="10"/>
      <color indexed="81"/>
      <name val="Tahoma"/>
      <family val="2"/>
    </font>
    <font>
      <b/>
      <sz val="10"/>
      <color indexed="81"/>
      <name val="Tahoma"/>
      <family val="2"/>
    </font>
    <font>
      <b/>
      <sz val="12"/>
      <color indexed="81"/>
      <name val="Tahoma"/>
      <family val="2"/>
    </font>
    <font>
      <sz val="12"/>
      <color indexed="81"/>
      <name val="Tahoma"/>
      <family val="2"/>
    </font>
    <font>
      <b/>
      <sz val="14"/>
      <name val="Tahoma"/>
      <family val="2"/>
    </font>
    <font>
      <b/>
      <sz val="18"/>
      <name val="Tahoma"/>
      <family val="2"/>
    </font>
    <font>
      <sz val="11"/>
      <color indexed="81"/>
      <name val="Tahoma"/>
      <family val="2"/>
    </font>
    <font>
      <b/>
      <sz val="12"/>
      <name val="Tahoma"/>
      <family val="2"/>
    </font>
    <font>
      <b/>
      <sz val="11"/>
      <color indexed="81"/>
      <name val="Tahoma"/>
      <family val="2"/>
    </font>
    <font>
      <u/>
      <sz val="10.199999999999999"/>
      <color indexed="12"/>
      <name val="Times New Roman"/>
      <family val="1"/>
    </font>
    <font>
      <b/>
      <sz val="10"/>
      <name val="Tahoma"/>
      <family val="2"/>
    </font>
    <font>
      <sz val="12"/>
      <name val="Tahoma"/>
      <family val="2"/>
    </font>
    <font>
      <b/>
      <sz val="11"/>
      <name val="Tahoma"/>
      <family val="2"/>
    </font>
    <font>
      <sz val="10"/>
      <name val="Tahoma"/>
      <family val="2"/>
    </font>
    <font>
      <b/>
      <sz val="7"/>
      <name val="Tahoma"/>
      <family val="2"/>
    </font>
    <font>
      <b/>
      <sz val="20"/>
      <name val="Tahoma"/>
      <family val="2"/>
    </font>
    <font>
      <sz val="16"/>
      <name val="Tahoma"/>
      <family val="2"/>
    </font>
    <font>
      <sz val="20"/>
      <name val="Tahoma"/>
      <family val="2"/>
    </font>
    <font>
      <sz val="22"/>
      <name val="Tahoma"/>
      <family val="2"/>
    </font>
    <font>
      <b/>
      <sz val="16"/>
      <name val="Tahoma"/>
      <family val="2"/>
    </font>
    <font>
      <b/>
      <sz val="14"/>
      <color indexed="10"/>
      <name val="Tahoma"/>
      <family val="2"/>
    </font>
    <font>
      <b/>
      <sz val="14"/>
      <color indexed="9"/>
      <name val="Tahoma"/>
      <family val="2"/>
    </font>
    <font>
      <b/>
      <sz val="12"/>
      <color indexed="9"/>
      <name val="Tahoma"/>
      <family val="2"/>
    </font>
    <font>
      <b/>
      <sz val="10"/>
      <color indexed="9"/>
      <name val="Tahoma"/>
      <family val="2"/>
    </font>
    <font>
      <b/>
      <sz val="8"/>
      <name val="Tahoma"/>
      <family val="2"/>
    </font>
    <font>
      <sz val="18"/>
      <name val="Tahoma"/>
      <family val="2"/>
    </font>
    <font>
      <sz val="12"/>
      <color indexed="9"/>
      <name val="Tahoma"/>
      <family val="2"/>
    </font>
    <font>
      <u/>
      <sz val="12"/>
      <color indexed="12"/>
      <name val="Tahoma"/>
      <family val="2"/>
    </font>
    <font>
      <sz val="11"/>
      <name val="Tahoma"/>
      <family val="2"/>
    </font>
    <font>
      <i/>
      <sz val="10"/>
      <name val="Arial"/>
      <family val="2"/>
    </font>
    <font>
      <i/>
      <sz val="12"/>
      <name val="Arial"/>
      <family val="2"/>
    </font>
    <font>
      <i/>
      <sz val="12"/>
      <name val="Tahoma"/>
      <family val="2"/>
    </font>
    <font>
      <sz val="18"/>
      <color indexed="10"/>
      <name val="Tahoma"/>
      <family val="2"/>
    </font>
    <font>
      <sz val="8"/>
      <name val="Tahoma"/>
      <family val="2"/>
    </font>
    <font>
      <b/>
      <sz val="9"/>
      <name val="Tahoma"/>
      <family val="2"/>
    </font>
    <font>
      <b/>
      <sz val="12"/>
      <color indexed="10"/>
      <name val="Tahoma"/>
      <family val="2"/>
    </font>
    <font>
      <sz val="14"/>
      <name val="Tahoma"/>
      <family val="2"/>
    </font>
    <font>
      <sz val="24"/>
      <name val="Tahoma"/>
      <family val="2"/>
    </font>
    <font>
      <b/>
      <i/>
      <sz val="14"/>
      <name val="Tahoma"/>
      <family val="2"/>
    </font>
    <font>
      <b/>
      <i/>
      <sz val="12"/>
      <name val="Tahoma"/>
      <family val="2"/>
    </font>
    <font>
      <sz val="12"/>
      <color indexed="10"/>
      <name val="Tahoma"/>
      <family val="2"/>
    </font>
    <font>
      <b/>
      <sz val="10"/>
      <color indexed="10"/>
      <name val="Tahoma"/>
      <family val="2"/>
    </font>
    <font>
      <sz val="14"/>
      <color indexed="9"/>
      <name val="Tahoma"/>
      <family val="2"/>
    </font>
    <font>
      <b/>
      <sz val="11"/>
      <color indexed="9"/>
      <name val="Tahoma"/>
      <family val="2"/>
    </font>
    <font>
      <b/>
      <sz val="15"/>
      <color indexed="9"/>
      <name val="Tahoma"/>
      <family val="2"/>
    </font>
    <font>
      <u/>
      <sz val="12"/>
      <color indexed="9"/>
      <name val="Tahoma"/>
      <family val="2"/>
    </font>
    <font>
      <sz val="10"/>
      <color indexed="9"/>
      <name val="Tahoma"/>
      <family val="2"/>
    </font>
    <font>
      <b/>
      <sz val="19"/>
      <color indexed="10"/>
      <name val="Tahoma"/>
      <family val="2"/>
    </font>
    <font>
      <b/>
      <sz val="19"/>
      <name val="Tahoma"/>
      <family val="2"/>
    </font>
    <font>
      <sz val="19"/>
      <color indexed="10"/>
      <name val="Tahoma"/>
      <family val="2"/>
    </font>
    <font>
      <b/>
      <i/>
      <sz val="11"/>
      <name val="Tahoma"/>
      <family val="2"/>
    </font>
    <font>
      <sz val="9"/>
      <name val="Tahoma"/>
      <family val="2"/>
    </font>
    <font>
      <sz val="11"/>
      <color indexed="9"/>
      <name val="Tahoma"/>
      <family val="2"/>
    </font>
    <font>
      <sz val="18"/>
      <color indexed="9"/>
      <name val="Tahoma"/>
      <family val="2"/>
    </font>
    <font>
      <b/>
      <sz val="9.5"/>
      <name val="Tahoma"/>
      <family val="2"/>
    </font>
    <font>
      <b/>
      <sz val="8.5"/>
      <name val="Tahoma"/>
      <family val="2"/>
    </font>
    <font>
      <sz val="26"/>
      <color indexed="10"/>
      <name val="Tahoma"/>
      <family val="2"/>
    </font>
    <font>
      <i/>
      <sz val="10"/>
      <name val="Tahoma"/>
      <family val="2"/>
    </font>
    <font>
      <sz val="16"/>
      <color indexed="10"/>
      <name val="Tahoma"/>
      <family val="2"/>
    </font>
    <font>
      <b/>
      <i/>
      <sz val="9"/>
      <name val="Tahoma"/>
      <family val="2"/>
    </font>
    <font>
      <sz val="10"/>
      <color indexed="12"/>
      <name val="Arial"/>
      <family val="2"/>
    </font>
    <font>
      <sz val="10"/>
      <color indexed="12"/>
      <name val="Tahoma"/>
      <family val="2"/>
    </font>
    <font>
      <b/>
      <vertAlign val="subscript"/>
      <sz val="10"/>
      <name val="Tahoma"/>
      <family val="2"/>
    </font>
    <font>
      <i/>
      <sz val="10"/>
      <color indexed="10"/>
      <name val="Tahoma"/>
      <family val="2"/>
    </font>
    <font>
      <sz val="12"/>
      <name val="Arial"/>
      <family val="2"/>
    </font>
    <font>
      <b/>
      <sz val="12"/>
      <name val="Arial"/>
      <family val="2"/>
    </font>
    <font>
      <sz val="10"/>
      <color indexed="9"/>
      <name val="Arial"/>
      <family val="2"/>
    </font>
    <font>
      <sz val="12"/>
      <name val="Arial"/>
      <family val="2"/>
    </font>
    <font>
      <sz val="12"/>
      <color indexed="9"/>
      <name val="Times New Roman"/>
      <family val="1"/>
    </font>
    <font>
      <i/>
      <sz val="11"/>
      <name val="Tahoma"/>
      <family val="2"/>
    </font>
    <font>
      <b/>
      <i/>
      <sz val="10"/>
      <name val="Tahoma"/>
      <family val="2"/>
    </font>
    <font>
      <sz val="9"/>
      <color indexed="81"/>
      <name val="Tahoma"/>
      <family val="2"/>
    </font>
    <font>
      <b/>
      <sz val="9"/>
      <color indexed="81"/>
      <name val="Tahoma"/>
      <family val="2"/>
    </font>
    <font>
      <b/>
      <sz val="12"/>
      <name val="Times New Roman"/>
      <family val="1"/>
    </font>
    <font>
      <b/>
      <sz val="10"/>
      <name val="Times New Roman"/>
      <family val="1"/>
    </font>
    <font>
      <sz val="11"/>
      <name val="Times New Roman"/>
      <family val="1"/>
    </font>
    <font>
      <sz val="10"/>
      <name val="Times New Roman"/>
      <family val="1"/>
    </font>
    <font>
      <b/>
      <sz val="7"/>
      <name val="Times New Roman"/>
      <family val="1"/>
    </font>
    <font>
      <b/>
      <u/>
      <sz val="11"/>
      <color indexed="81"/>
      <name val="Tahoma"/>
      <family val="2"/>
    </font>
    <font>
      <i/>
      <sz val="12"/>
      <color indexed="10"/>
      <name val="Tahoma"/>
      <family val="2"/>
    </font>
    <font>
      <b/>
      <sz val="11"/>
      <name val="Lucida Sans"/>
      <family val="2"/>
    </font>
    <font>
      <b/>
      <sz val="9"/>
      <name val="Lucida Sans"/>
      <family val="2"/>
    </font>
    <font>
      <sz val="9"/>
      <name val="Lucida Sans"/>
      <family val="2"/>
    </font>
    <font>
      <b/>
      <i/>
      <sz val="9"/>
      <name val="Lucida Sans"/>
      <family val="2"/>
    </font>
    <font>
      <sz val="10"/>
      <name val="Lucida Sans"/>
      <family val="2"/>
    </font>
    <font>
      <sz val="11"/>
      <name val="Calibri"/>
      <family val="2"/>
    </font>
    <font>
      <sz val="8"/>
      <name val="Calibri"/>
      <family val="2"/>
    </font>
    <font>
      <sz val="8"/>
      <name val="Lucida Sans"/>
      <family val="2"/>
    </font>
    <font>
      <i/>
      <sz val="9"/>
      <name val="Lucida Sans"/>
      <family val="2"/>
    </font>
    <font>
      <b/>
      <sz val="10"/>
      <name val="Lucida Sans"/>
      <family val="2"/>
    </font>
    <font>
      <sz val="9"/>
      <color indexed="8"/>
      <name val="Calibri-Bold"/>
    </font>
    <font>
      <b/>
      <sz val="9"/>
      <name val="Wingdings"/>
      <charset val="2"/>
    </font>
    <font>
      <b/>
      <sz val="8"/>
      <name val="Lucida Sans"/>
      <family val="2"/>
    </font>
    <font>
      <b/>
      <sz val="9"/>
      <color indexed="8"/>
      <name val="Calibri-Bold"/>
    </font>
    <font>
      <b/>
      <sz val="14"/>
      <color rgb="FFFF0000"/>
      <name val="Tahoma"/>
      <family val="2"/>
    </font>
    <font>
      <sz val="10"/>
      <color rgb="FFFF0000"/>
      <name val="Tahoma"/>
      <family val="2"/>
    </font>
    <font>
      <b/>
      <sz val="10"/>
      <color theme="0"/>
      <name val="Calibri"/>
      <family val="2"/>
      <scheme val="minor"/>
    </font>
    <font>
      <sz val="10"/>
      <color theme="0"/>
      <name val="Calibri"/>
      <family val="2"/>
      <scheme val="minor"/>
    </font>
    <font>
      <sz val="11"/>
      <color theme="0"/>
      <name val="Tahoma"/>
      <family val="2"/>
    </font>
    <font>
      <sz val="12"/>
      <color rgb="FFFF0000"/>
      <name val="Tahoma"/>
      <family val="2"/>
    </font>
    <font>
      <sz val="10"/>
      <color theme="0"/>
      <name val="Tahoma"/>
      <family val="2"/>
    </font>
    <font>
      <b/>
      <sz val="11"/>
      <color theme="0"/>
      <name val="Tahoma"/>
      <family val="2"/>
    </font>
    <font>
      <sz val="12"/>
      <color theme="0"/>
      <name val="Tahoma"/>
      <family val="2"/>
    </font>
    <font>
      <b/>
      <sz val="10"/>
      <color theme="0"/>
      <name val="Tahoma"/>
      <family val="2"/>
    </font>
    <font>
      <sz val="8"/>
      <color theme="0"/>
      <name val="Tahoma"/>
      <family val="2"/>
    </font>
    <font>
      <b/>
      <sz val="12"/>
      <color rgb="FFFF0000"/>
      <name val="Tahoma"/>
      <family val="2"/>
    </font>
    <font>
      <sz val="12"/>
      <color theme="0"/>
      <name val="Times New Roman"/>
      <family val="1"/>
    </font>
    <font>
      <sz val="12"/>
      <color theme="0"/>
      <name val="Trebuchet MS"/>
      <family val="2"/>
    </font>
    <font>
      <sz val="18"/>
      <color theme="0"/>
      <name val="Tahoma"/>
      <family val="2"/>
    </font>
    <font>
      <sz val="14"/>
      <color theme="0"/>
      <name val="Tahoma"/>
      <family val="2"/>
    </font>
    <font>
      <b/>
      <sz val="12"/>
      <color theme="0"/>
      <name val="Tahoma"/>
      <family val="2"/>
    </font>
    <font>
      <sz val="11"/>
      <color theme="0"/>
      <name val="Calibri"/>
      <family val="2"/>
    </font>
    <font>
      <b/>
      <sz val="10"/>
      <color rgb="FFFF0000"/>
      <name val="Tahoma"/>
      <family val="2"/>
    </font>
    <font>
      <b/>
      <sz val="16"/>
      <color theme="6" tint="-0.249977111117893"/>
      <name val="Calibri"/>
      <family val="2"/>
      <scheme val="minor"/>
    </font>
    <font>
      <sz val="12"/>
      <name val="Calibri"/>
      <family val="2"/>
      <scheme val="minor"/>
    </font>
    <font>
      <b/>
      <sz val="14"/>
      <color rgb="FFFF0000"/>
      <name val="Calibri"/>
      <family val="2"/>
      <scheme val="minor"/>
    </font>
    <font>
      <b/>
      <sz val="9"/>
      <color rgb="FF000000"/>
      <name val="Calibri-Bold"/>
    </font>
  </fonts>
  <fills count="2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15"/>
        <bgColor indexed="64"/>
      </patternFill>
    </fill>
    <fill>
      <patternFill patternType="solid">
        <fgColor indexed="43"/>
        <bgColor indexed="64"/>
      </patternFill>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4"/>
        <bgColor indexed="64"/>
      </patternFill>
    </fill>
    <fill>
      <patternFill patternType="solid">
        <fgColor theme="0" tint="-0.499984740745262"/>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6" tint="-0.249977111117893"/>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DD9C3"/>
        <bgColor indexed="64"/>
      </patternFill>
    </fill>
    <fill>
      <patternFill patternType="solid">
        <fgColor theme="9"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179">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right/>
      <top/>
      <bottom style="thin">
        <color indexed="64"/>
      </bottom>
      <diagonal/>
    </border>
    <border>
      <left/>
      <right style="double">
        <color indexed="64"/>
      </right>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double">
        <color indexed="64"/>
      </right>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style="medium">
        <color indexed="64"/>
      </top>
      <bottom/>
      <diagonal/>
    </border>
    <border>
      <left style="medium">
        <color indexed="64"/>
      </left>
      <right style="thick">
        <color indexed="64"/>
      </right>
      <top style="medium">
        <color indexed="64"/>
      </top>
      <bottom/>
      <diagonal/>
    </border>
    <border>
      <left style="thick">
        <color indexed="64"/>
      </left>
      <right style="thin">
        <color indexed="64"/>
      </right>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double">
        <color indexed="64"/>
      </right>
      <top style="thick">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thin">
        <color indexed="64"/>
      </left>
      <right/>
      <top/>
      <bottom style="medium">
        <color indexed="64"/>
      </bottom>
      <diagonal/>
    </border>
    <border>
      <left style="thick">
        <color indexed="64"/>
      </left>
      <right style="medium">
        <color indexed="64"/>
      </right>
      <top style="thick">
        <color indexed="64"/>
      </top>
      <bottom/>
      <diagonal/>
    </border>
    <border>
      <left/>
      <right style="medium">
        <color indexed="64"/>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thick">
        <color indexed="64"/>
      </top>
      <bottom/>
      <diagonal/>
    </border>
    <border>
      <left/>
      <right style="thick">
        <color indexed="64"/>
      </right>
      <top style="medium">
        <color indexed="64"/>
      </top>
      <bottom style="medium">
        <color indexed="64"/>
      </bottom>
      <diagonal/>
    </border>
    <border>
      <left style="double">
        <color indexed="64"/>
      </left>
      <right/>
      <top style="medium">
        <color indexed="64"/>
      </top>
      <bottom/>
      <diagonal/>
    </border>
    <border>
      <left style="double">
        <color indexed="64"/>
      </left>
      <right style="medium">
        <color indexed="64"/>
      </right>
      <top style="medium">
        <color indexed="64"/>
      </top>
      <bottom/>
      <diagonal/>
    </border>
    <border>
      <left/>
      <right style="double">
        <color indexed="64"/>
      </right>
      <top style="medium">
        <color indexed="64"/>
      </top>
      <bottom/>
      <diagonal/>
    </border>
    <border>
      <left/>
      <right style="thick">
        <color indexed="64"/>
      </right>
      <top style="medium">
        <color indexed="64"/>
      </top>
      <bottom/>
      <diagonal/>
    </border>
    <border>
      <left style="thin">
        <color indexed="64"/>
      </left>
      <right/>
      <top style="medium">
        <color indexed="64"/>
      </top>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right style="medium">
        <color indexed="64"/>
      </right>
      <top style="medium">
        <color indexed="64"/>
      </top>
      <bottom style="thick">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right style="medium">
        <color indexed="64"/>
      </right>
      <top style="thin">
        <color indexed="64"/>
      </top>
      <bottom style="thick">
        <color indexed="64"/>
      </bottom>
      <diagonal/>
    </border>
    <border>
      <left style="medium">
        <color rgb="FF948A54"/>
      </left>
      <right style="medium">
        <color rgb="FF948A54"/>
      </right>
      <top style="medium">
        <color rgb="FF948A54"/>
      </top>
      <bottom/>
      <diagonal/>
    </border>
    <border>
      <left/>
      <right style="medium">
        <color rgb="FF948A54"/>
      </right>
      <top style="medium">
        <color rgb="FF948A54"/>
      </top>
      <bottom/>
      <diagonal/>
    </border>
    <border>
      <left style="medium">
        <color rgb="FF948A54"/>
      </left>
      <right style="medium">
        <color rgb="FF948A54"/>
      </right>
      <top style="medium">
        <color rgb="FF948A54"/>
      </top>
      <bottom style="medium">
        <color rgb="FF948A54"/>
      </bottom>
      <diagonal/>
    </border>
    <border>
      <left/>
      <right style="medium">
        <color rgb="FF948A54"/>
      </right>
      <top style="medium">
        <color rgb="FF948A54"/>
      </top>
      <bottom style="medium">
        <color rgb="FF948A54"/>
      </bottom>
      <diagonal/>
    </border>
    <border>
      <left style="medium">
        <color rgb="FF948A54"/>
      </left>
      <right style="medium">
        <color rgb="FF948A54"/>
      </right>
      <top/>
      <bottom style="medium">
        <color rgb="FF948A54"/>
      </bottom>
      <diagonal/>
    </border>
    <border>
      <left/>
      <right style="medium">
        <color rgb="FF948A54"/>
      </right>
      <top/>
      <bottom style="medium">
        <color rgb="FF948A54"/>
      </bottom>
      <diagonal/>
    </border>
    <border>
      <left style="medium">
        <color rgb="FF948A54"/>
      </left>
      <right style="medium">
        <color rgb="FF948A54"/>
      </right>
      <top/>
      <bottom style="thick">
        <color rgb="FF948A54"/>
      </bottom>
      <diagonal/>
    </border>
    <border>
      <left style="thick">
        <color rgb="FF948A54"/>
      </left>
      <right style="medium">
        <color rgb="FF948A54"/>
      </right>
      <top/>
      <bottom style="thick">
        <color rgb="FF948A54"/>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indexed="64"/>
      </right>
      <top style="medium">
        <color theme="2" tint="-0.499984740745262"/>
      </top>
      <bottom/>
      <diagonal/>
    </border>
    <border>
      <left/>
      <right/>
      <top style="medium">
        <color theme="2" tint="-0.499984740745262"/>
      </top>
      <bottom/>
      <diagonal/>
    </border>
    <border>
      <left style="thin">
        <color indexed="64"/>
      </left>
      <right style="medium">
        <color theme="2" tint="-0.499984740745262"/>
      </right>
      <top style="medium">
        <color theme="2" tint="-0.499984740745262"/>
      </top>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top style="thin">
        <color theme="2" tint="-0.499984740745262"/>
      </top>
      <bottom style="medium">
        <color theme="2" tint="-0.499984740745262"/>
      </bottom>
      <diagonal/>
    </border>
    <border>
      <left/>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n">
        <color indexed="64"/>
      </left>
      <right style="thick">
        <color indexed="64"/>
      </right>
      <top style="thin">
        <color indexed="64"/>
      </top>
      <bottom/>
      <diagonal/>
    </border>
  </borders>
  <cellStyleXfs count="7">
    <xf numFmtId="0" fontId="0" fillId="0" borderId="0" applyProtection="0"/>
    <xf numFmtId="212" fontId="3" fillId="0" borderId="0" applyFont="0" applyFill="0" applyBorder="0" applyAlignment="0" applyProtection="0"/>
    <xf numFmtId="0" fontId="17" fillId="0" borderId="0" applyNumberFormat="0" applyFill="0" applyBorder="0" applyAlignment="0" applyProtection="0">
      <alignment vertical="top"/>
      <protection locked="0"/>
    </xf>
    <xf numFmtId="165" fontId="2"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cellStyleXfs>
  <cellXfs count="3321">
    <xf numFmtId="0" fontId="0" fillId="0" borderId="0" xfId="0"/>
    <xf numFmtId="0" fontId="0" fillId="0" borderId="0" xfId="0" applyProtection="1"/>
    <xf numFmtId="0" fontId="12" fillId="0" borderId="0" xfId="0" applyFont="1" applyAlignment="1">
      <alignment horizontal="center"/>
    </xf>
    <xf numFmtId="0" fontId="12" fillId="0" borderId="1" xfId="0" applyFont="1" applyBorder="1" applyAlignment="1">
      <alignment horizontal="center"/>
    </xf>
    <xf numFmtId="3" fontId="19" fillId="0" borderId="0" xfId="0" applyNumberFormat="1" applyFont="1" applyAlignment="1" applyProtection="1">
      <alignment vertical="center"/>
    </xf>
    <xf numFmtId="0" fontId="21" fillId="0" borderId="0" xfId="0" applyFont="1"/>
    <xf numFmtId="0" fontId="21" fillId="0" borderId="0" xfId="0" applyFont="1" applyAlignment="1">
      <alignment horizontal="center"/>
    </xf>
    <xf numFmtId="3" fontId="21" fillId="2" borderId="2" xfId="0" applyNumberFormat="1" applyFont="1" applyFill="1" applyBorder="1" applyAlignment="1" applyProtection="1">
      <alignment horizontal="center"/>
      <protection locked="0"/>
    </xf>
    <xf numFmtId="200" fontId="21" fillId="0" borderId="0" xfId="0" applyNumberFormat="1" applyFont="1" applyAlignment="1" applyProtection="1">
      <alignment horizontal="right"/>
      <protection locked="0"/>
    </xf>
    <xf numFmtId="200" fontId="21" fillId="0" borderId="0" xfId="0" applyNumberFormat="1" applyFont="1"/>
    <xf numFmtId="9" fontId="18" fillId="1" borderId="3" xfId="6" applyFont="1" applyFill="1" applyBorder="1" applyAlignment="1" applyProtection="1">
      <alignment horizontal="right"/>
    </xf>
    <xf numFmtId="10" fontId="21" fillId="0" borderId="4" xfId="6" applyNumberFormat="1" applyFont="1" applyBorder="1" applyAlignment="1">
      <alignment horizontal="center"/>
    </xf>
    <xf numFmtId="9" fontId="18" fillId="1" borderId="5" xfId="6" applyFont="1" applyFill="1" applyBorder="1" applyAlignment="1" applyProtection="1">
      <alignment horizontal="right"/>
    </xf>
    <xf numFmtId="0" fontId="21" fillId="0" borderId="6" xfId="0" applyFont="1" applyBorder="1"/>
    <xf numFmtId="0" fontId="21" fillId="0" borderId="7" xfId="0" applyFont="1" applyBorder="1" applyAlignment="1" applyProtection="1">
      <alignment horizontal="left" indent="4"/>
      <protection locked="0"/>
    </xf>
    <xf numFmtId="200" fontId="21" fillId="2" borderId="7" xfId="0" applyNumberFormat="1" applyFont="1" applyFill="1" applyBorder="1" applyProtection="1">
      <protection locked="0"/>
    </xf>
    <xf numFmtId="200" fontId="21" fillId="2" borderId="8" xfId="0" applyNumberFormat="1" applyFont="1" applyFill="1" applyBorder="1" applyProtection="1">
      <protection locked="0"/>
    </xf>
    <xf numFmtId="0" fontId="18" fillId="0" borderId="9" xfId="0" applyFont="1" applyBorder="1" applyAlignment="1">
      <alignment horizontal="center" vertical="center" wrapText="1"/>
    </xf>
    <xf numFmtId="0" fontId="23" fillId="0" borderId="0" xfId="0" applyFont="1" applyProtection="1"/>
    <xf numFmtId="9" fontId="19" fillId="0" borderId="0" xfId="6" applyFont="1" applyFill="1" applyBorder="1" applyAlignment="1" applyProtection="1">
      <alignment horizontal="center"/>
    </xf>
    <xf numFmtId="3" fontId="19" fillId="0" borderId="0" xfId="0" applyNumberFormat="1" applyFont="1" applyAlignment="1" applyProtection="1">
      <alignment horizontal="right"/>
    </xf>
    <xf numFmtId="0" fontId="19" fillId="0" borderId="0" xfId="0" applyFont="1" applyProtection="1"/>
    <xf numFmtId="9" fontId="19" fillId="0" borderId="0" xfId="6" applyFont="1" applyFill="1" applyBorder="1" applyProtection="1"/>
    <xf numFmtId="0" fontId="15" fillId="0" borderId="0" xfId="0" applyFont="1" applyAlignment="1" applyProtection="1">
      <alignment horizontal="center"/>
    </xf>
    <xf numFmtId="0" fontId="15" fillId="0" borderId="0" xfId="0" applyFont="1" applyProtection="1"/>
    <xf numFmtId="3" fontId="15" fillId="0" borderId="0" xfId="0" applyNumberFormat="1" applyFont="1" applyAlignment="1" applyProtection="1">
      <alignment horizontal="center"/>
    </xf>
    <xf numFmtId="0" fontId="26" fillId="0" borderId="0" xfId="0" applyFont="1" applyProtection="1"/>
    <xf numFmtId="3" fontId="19" fillId="0" borderId="10" xfId="0" applyNumberFormat="1" applyFont="1" applyBorder="1" applyAlignment="1" applyProtection="1">
      <alignment horizontal="right"/>
    </xf>
    <xf numFmtId="3" fontId="19" fillId="0" borderId="11" xfId="0" applyNumberFormat="1" applyFont="1" applyBorder="1" applyProtection="1"/>
    <xf numFmtId="0" fontId="19" fillId="0" borderId="11" xfId="0" applyFont="1" applyBorder="1" applyProtection="1"/>
    <xf numFmtId="0" fontId="7" fillId="0" borderId="0" xfId="0" applyFont="1" applyAlignment="1">
      <alignment horizontal="left" indent="1"/>
    </xf>
    <xf numFmtId="200" fontId="21" fillId="2" borderId="12" xfId="0" applyNumberFormat="1" applyFont="1" applyFill="1" applyBorder="1" applyProtection="1">
      <protection locked="0"/>
    </xf>
    <xf numFmtId="0" fontId="15" fillId="0" borderId="0" xfId="0" applyFont="1" applyAlignment="1" applyProtection="1">
      <alignment vertical="center"/>
    </xf>
    <xf numFmtId="9" fontId="19" fillId="0" borderId="0" xfId="6" applyFont="1" applyFill="1" applyBorder="1" applyAlignment="1" applyProtection="1">
      <alignment vertical="center"/>
    </xf>
    <xf numFmtId="3" fontId="19" fillId="0" borderId="0" xfId="0" applyNumberFormat="1" applyFont="1" applyAlignment="1" applyProtection="1">
      <alignment horizontal="right" vertical="center"/>
    </xf>
    <xf numFmtId="0" fontId="19" fillId="0" borderId="0" xfId="0" applyFont="1" applyAlignment="1" applyProtection="1">
      <alignment vertical="center"/>
    </xf>
    <xf numFmtId="0" fontId="19" fillId="0" borderId="0" xfId="0" applyFont="1"/>
    <xf numFmtId="3" fontId="25" fillId="0" borderId="0" xfId="0" applyNumberFormat="1" applyFont="1"/>
    <xf numFmtId="0" fontId="25" fillId="0" borderId="0" xfId="0" applyFont="1"/>
    <xf numFmtId="0" fontId="15" fillId="0" borderId="0" xfId="0" applyFont="1" applyAlignment="1">
      <alignment horizontal="center"/>
    </xf>
    <xf numFmtId="0" fontId="19" fillId="0" borderId="0" xfId="0" applyFont="1" applyAlignment="1">
      <alignment horizontal="left" indent="1"/>
    </xf>
    <xf numFmtId="9" fontId="15" fillId="1" borderId="12" xfId="6" applyFont="1" applyFill="1" applyBorder="1" applyAlignment="1" applyProtection="1">
      <alignment horizontal="right"/>
    </xf>
    <xf numFmtId="164" fontId="15" fillId="1" borderId="12" xfId="4" applyFont="1" applyFill="1" applyBorder="1" applyAlignment="1" applyProtection="1">
      <alignment horizontal="right"/>
    </xf>
    <xf numFmtId="164" fontId="15" fillId="1" borderId="13" xfId="4" applyFont="1" applyFill="1" applyBorder="1" applyAlignment="1" applyProtection="1">
      <alignment horizontal="right"/>
    </xf>
    <xf numFmtId="164" fontId="15" fillId="1" borderId="7" xfId="4" applyFont="1" applyFill="1" applyBorder="1" applyAlignment="1" applyProtection="1">
      <alignment horizontal="right"/>
    </xf>
    <xf numFmtId="0" fontId="19" fillId="0" borderId="14" xfId="0" applyFont="1" applyBorder="1" applyProtection="1"/>
    <xf numFmtId="164" fontId="19" fillId="0" borderId="14" xfId="4" applyFont="1" applyFill="1" applyBorder="1" applyProtection="1"/>
    <xf numFmtId="164" fontId="19" fillId="0" borderId="0" xfId="4" applyFont="1" applyFill="1" applyBorder="1" applyProtection="1"/>
    <xf numFmtId="3" fontId="19" fillId="0" borderId="14" xfId="0" applyNumberFormat="1" applyFont="1" applyBorder="1" applyAlignment="1" applyProtection="1">
      <alignment horizontal="right"/>
    </xf>
    <xf numFmtId="0" fontId="19" fillId="0" borderId="0" xfId="0" applyFont="1" applyAlignment="1">
      <alignment vertical="center"/>
    </xf>
    <xf numFmtId="205" fontId="19" fillId="2" borderId="15" xfId="0" applyNumberFormat="1" applyFont="1" applyFill="1" applyBorder="1" applyAlignment="1" applyProtection="1">
      <alignment horizontal="center" vertical="center"/>
      <protection locked="0"/>
    </xf>
    <xf numFmtId="205" fontId="19" fillId="2" borderId="12" xfId="0" applyNumberFormat="1" applyFont="1" applyFill="1" applyBorder="1" applyAlignment="1" applyProtection="1">
      <alignment horizontal="center" vertical="center"/>
      <protection locked="0"/>
    </xf>
    <xf numFmtId="0" fontId="19" fillId="2" borderId="8" xfId="0" applyFont="1" applyFill="1" applyBorder="1" applyAlignment="1" applyProtection="1">
      <alignment horizontal="left" vertical="center" indent="1"/>
      <protection locked="0"/>
    </xf>
    <xf numFmtId="0" fontId="19" fillId="2" borderId="7" xfId="0" applyFont="1" applyFill="1" applyBorder="1" applyAlignment="1" applyProtection="1">
      <alignment horizontal="left" vertical="center" indent="1"/>
      <protection locked="0"/>
    </xf>
    <xf numFmtId="0" fontId="19" fillId="2" borderId="16" xfId="0" applyFont="1" applyFill="1" applyBorder="1" applyAlignment="1" applyProtection="1">
      <alignment horizontal="left" vertical="center" indent="1"/>
      <protection locked="0"/>
    </xf>
    <xf numFmtId="0" fontId="19" fillId="0" borderId="8" xfId="0" applyFont="1" applyBorder="1" applyAlignment="1">
      <alignment horizontal="left" vertical="center" indent="1"/>
    </xf>
    <xf numFmtId="0" fontId="19" fillId="0" borderId="7" xfId="0" applyFont="1" applyBorder="1" applyAlignment="1">
      <alignment horizontal="left" vertical="center" indent="1"/>
    </xf>
    <xf numFmtId="0" fontId="19" fillId="0" borderId="16" xfId="0" applyFont="1" applyBorder="1" applyAlignment="1">
      <alignment horizontal="left" vertical="center" indent="1"/>
    </xf>
    <xf numFmtId="3" fontId="15" fillId="0" borderId="11" xfId="0" applyNumberFormat="1" applyFont="1" applyBorder="1" applyAlignment="1">
      <alignment horizontal="center"/>
    </xf>
    <xf numFmtId="206" fontId="19" fillId="2" borderId="15" xfId="0" applyNumberFormat="1" applyFont="1" applyFill="1" applyBorder="1" applyAlignment="1" applyProtection="1">
      <alignment vertical="center"/>
      <protection locked="0"/>
    </xf>
    <xf numFmtId="3" fontId="23" fillId="0" borderId="0" xfId="0" applyNumberFormat="1" applyFont="1"/>
    <xf numFmtId="3" fontId="18" fillId="0" borderId="0" xfId="0" applyNumberFormat="1" applyFont="1" applyAlignment="1">
      <alignment horizontal="center"/>
    </xf>
    <xf numFmtId="3" fontId="21" fillId="0" borderId="0" xfId="0" applyNumberFormat="1" applyFont="1"/>
    <xf numFmtId="0" fontId="19" fillId="0" borderId="6" xfId="0" applyFont="1" applyBorder="1" applyAlignment="1">
      <alignment horizontal="centerContinuous"/>
    </xf>
    <xf numFmtId="0" fontId="19" fillId="0" borderId="1" xfId="0" applyFont="1" applyBorder="1" applyAlignment="1">
      <alignment horizontal="centerContinuous"/>
    </xf>
    <xf numFmtId="0" fontId="19" fillId="0" borderId="9" xfId="0" applyFont="1" applyBorder="1"/>
    <xf numFmtId="0" fontId="21" fillId="0" borderId="1" xfId="0" applyFont="1" applyBorder="1" applyAlignment="1">
      <alignment horizontal="right"/>
    </xf>
    <xf numFmtId="0" fontId="18" fillId="3" borderId="11" xfId="0" applyFont="1" applyFill="1" applyBorder="1" applyAlignment="1" applyProtection="1">
      <alignment horizontal="center"/>
      <protection locked="0"/>
    </xf>
    <xf numFmtId="3" fontId="33" fillId="0" borderId="0" xfId="0" applyNumberFormat="1" applyFont="1"/>
    <xf numFmtId="0" fontId="20" fillId="0" borderId="9" xfId="0" applyFont="1" applyBorder="1" applyAlignment="1">
      <alignment horizontal="centerContinuous"/>
    </xf>
    <xf numFmtId="206" fontId="19" fillId="2" borderId="17" xfId="0" applyNumberFormat="1" applyFont="1" applyFill="1" applyBorder="1" applyAlignment="1" applyProtection="1">
      <alignment vertical="center"/>
      <protection locked="0"/>
    </xf>
    <xf numFmtId="0" fontId="19" fillId="0" borderId="18" xfId="0" applyFont="1" applyBorder="1" applyAlignment="1">
      <alignment horizontal="left" vertical="center" indent="1"/>
    </xf>
    <xf numFmtId="0" fontId="19" fillId="0" borderId="19" xfId="0" applyFont="1" applyBorder="1" applyAlignment="1">
      <alignment horizontal="left" vertical="center" indent="1"/>
    </xf>
    <xf numFmtId="3" fontId="19" fillId="0" borderId="0" xfId="0" applyNumberFormat="1" applyFont="1"/>
    <xf numFmtId="4" fontId="21" fillId="0" borderId="20" xfId="0" applyNumberFormat="1" applyFont="1" applyBorder="1"/>
    <xf numFmtId="4" fontId="21" fillId="0" borderId="21" xfId="0" applyNumberFormat="1" applyFont="1" applyBorder="1"/>
    <xf numFmtId="4" fontId="21" fillId="0" borderId="22" xfId="0" applyNumberFormat="1" applyFont="1" applyBorder="1"/>
    <xf numFmtId="4" fontId="21" fillId="0" borderId="18" xfId="0" applyNumberFormat="1" applyFont="1" applyBorder="1"/>
    <xf numFmtId="216" fontId="21" fillId="0" borderId="23" xfId="0" applyNumberFormat="1" applyFont="1" applyBorder="1"/>
    <xf numFmtId="216" fontId="21" fillId="0" borderId="2" xfId="0" applyNumberFormat="1" applyFont="1" applyBorder="1"/>
    <xf numFmtId="216" fontId="21" fillId="0" borderId="24" xfId="0" applyNumberFormat="1" applyFont="1" applyBorder="1"/>
    <xf numFmtId="213" fontId="21" fillId="0" borderId="23" xfId="0" applyNumberFormat="1" applyFont="1" applyBorder="1"/>
    <xf numFmtId="213" fontId="21" fillId="0" borderId="2" xfId="0" applyNumberFormat="1" applyFont="1" applyBorder="1"/>
    <xf numFmtId="213" fontId="21" fillId="0" borderId="24" xfId="0" applyNumberFormat="1" applyFont="1" applyBorder="1"/>
    <xf numFmtId="216" fontId="18" fillId="0" borderId="11" xfId="0" applyNumberFormat="1" applyFont="1" applyBorder="1"/>
    <xf numFmtId="216" fontId="18" fillId="0" borderId="25" xfId="0" applyNumberFormat="1" applyFont="1" applyBorder="1"/>
    <xf numFmtId="4" fontId="21" fillId="0" borderId="0" xfId="0" applyNumberFormat="1" applyFont="1"/>
    <xf numFmtId="216" fontId="18" fillId="0" borderId="1" xfId="0" applyNumberFormat="1" applyFont="1" applyBorder="1"/>
    <xf numFmtId="3" fontId="21" fillId="0" borderId="0" xfId="0" applyNumberFormat="1" applyFont="1" applyProtection="1"/>
    <xf numFmtId="4" fontId="21" fillId="0" borderId="20" xfId="0" quotePrefix="1" applyNumberFormat="1" applyFont="1" applyBorder="1"/>
    <xf numFmtId="4" fontId="21" fillId="0" borderId="21" xfId="0" quotePrefix="1" applyNumberFormat="1" applyFont="1" applyBorder="1"/>
    <xf numFmtId="4" fontId="21" fillId="0" borderId="22" xfId="0" quotePrefix="1" applyNumberFormat="1" applyFont="1" applyBorder="1"/>
    <xf numFmtId="216" fontId="21" fillId="0" borderId="23" xfId="0" quotePrefix="1" applyNumberFormat="1" applyFont="1" applyBorder="1"/>
    <xf numFmtId="216" fontId="21" fillId="0" borderId="2" xfId="0" quotePrefix="1" applyNumberFormat="1" applyFont="1" applyBorder="1"/>
    <xf numFmtId="216" fontId="21" fillId="0" borderId="24" xfId="0" quotePrefix="1" applyNumberFormat="1" applyFont="1" applyBorder="1"/>
    <xf numFmtId="213" fontId="21" fillId="0" borderId="23" xfId="0" quotePrefix="1" applyNumberFormat="1" applyFont="1" applyBorder="1"/>
    <xf numFmtId="213" fontId="21" fillId="0" borderId="2" xfId="0" quotePrefix="1" applyNumberFormat="1" applyFont="1" applyBorder="1"/>
    <xf numFmtId="213" fontId="21" fillId="0" borderId="24" xfId="0" quotePrefix="1" applyNumberFormat="1" applyFont="1" applyBorder="1"/>
    <xf numFmtId="213" fontId="18" fillId="0" borderId="12" xfId="0" applyNumberFormat="1" applyFont="1" applyBorder="1"/>
    <xf numFmtId="0" fontId="33" fillId="0" borderId="0" xfId="0" applyFont="1"/>
    <xf numFmtId="10" fontId="21" fillId="0" borderId="0" xfId="6" applyNumberFormat="1" applyFont="1" applyBorder="1"/>
    <xf numFmtId="3" fontId="21" fillId="0" borderId="0" xfId="0" quotePrefix="1" applyNumberFormat="1" applyFont="1"/>
    <xf numFmtId="3" fontId="21" fillId="0" borderId="26" xfId="0" applyNumberFormat="1" applyFont="1" applyBorder="1" applyProtection="1"/>
    <xf numFmtId="10" fontId="21" fillId="0" borderId="26" xfId="6" applyNumberFormat="1" applyFont="1" applyBorder="1"/>
    <xf numFmtId="0" fontId="20" fillId="0" borderId="11" xfId="0" applyFont="1" applyBorder="1" applyAlignment="1">
      <alignment horizontal="center"/>
    </xf>
    <xf numFmtId="3" fontId="18" fillId="0" borderId="11" xfId="0" applyNumberFormat="1" applyFont="1" applyBorder="1" applyAlignment="1">
      <alignment horizontal="center"/>
    </xf>
    <xf numFmtId="0" fontId="19" fillId="0" borderId="10" xfId="0" applyFont="1" applyBorder="1"/>
    <xf numFmtId="217" fontId="21" fillId="0" borderId="18" xfId="6" applyNumberFormat="1" applyFont="1" applyBorder="1"/>
    <xf numFmtId="217" fontId="21" fillId="0" borderId="12" xfId="6" applyNumberFormat="1" applyFont="1" applyBorder="1"/>
    <xf numFmtId="0" fontId="21" fillId="0" borderId="15" xfId="0" applyFont="1" applyBorder="1" applyAlignment="1">
      <alignment horizontal="left" indent="1"/>
    </xf>
    <xf numFmtId="3" fontId="21" fillId="0" borderId="12" xfId="0" applyNumberFormat="1" applyFont="1" applyBorder="1" applyAlignment="1" applyProtection="1">
      <alignment horizontal="left" indent="1"/>
      <protection locked="0"/>
    </xf>
    <xf numFmtId="3" fontId="21" fillId="0" borderId="15" xfId="0" applyNumberFormat="1" applyFont="1" applyBorder="1" applyAlignment="1" applyProtection="1">
      <alignment horizontal="left" indent="1"/>
      <protection locked="0"/>
    </xf>
    <xf numFmtId="217" fontId="21" fillId="0" borderId="19" xfId="6" applyNumberFormat="1" applyFont="1" applyBorder="1"/>
    <xf numFmtId="217" fontId="18" fillId="0" borderId="11" xfId="6" applyNumberFormat="1" applyFont="1" applyBorder="1"/>
    <xf numFmtId="0" fontId="15" fillId="0" borderId="14" xfId="0" applyFont="1" applyBorder="1"/>
    <xf numFmtId="4" fontId="21" fillId="0" borderId="27" xfId="0" applyNumberFormat="1" applyFont="1" applyBorder="1"/>
    <xf numFmtId="4" fontId="21" fillId="0" borderId="28" xfId="0" applyNumberFormat="1" applyFont="1" applyBorder="1"/>
    <xf numFmtId="4" fontId="21" fillId="0" borderId="29" xfId="0" applyNumberFormat="1" applyFont="1" applyBorder="1"/>
    <xf numFmtId="4" fontId="21" fillId="0" borderId="30" xfId="0" applyNumberFormat="1" applyFont="1" applyBorder="1"/>
    <xf numFmtId="217" fontId="21" fillId="0" borderId="30" xfId="6" applyNumberFormat="1" applyFont="1" applyBorder="1"/>
    <xf numFmtId="4" fontId="21" fillId="0" borderId="27" xfId="0" quotePrefix="1" applyNumberFormat="1" applyFont="1" applyBorder="1"/>
    <xf numFmtId="4" fontId="21" fillId="0" borderId="28" xfId="0" quotePrefix="1" applyNumberFormat="1" applyFont="1" applyBorder="1"/>
    <xf numFmtId="4" fontId="21" fillId="0" borderId="29" xfId="0" quotePrefix="1" applyNumberFormat="1" applyFont="1" applyBorder="1"/>
    <xf numFmtId="213" fontId="21" fillId="0" borderId="31" xfId="0" applyNumberFormat="1" applyFont="1" applyBorder="1"/>
    <xf numFmtId="213" fontId="21" fillId="0" borderId="32" xfId="0" applyNumberFormat="1" applyFont="1" applyBorder="1"/>
    <xf numFmtId="4" fontId="21" fillId="0" borderId="15" xfId="0" applyNumberFormat="1" applyFont="1" applyBorder="1"/>
    <xf numFmtId="217" fontId="21" fillId="0" borderId="17" xfId="6" applyNumberFormat="1" applyFont="1" applyBorder="1"/>
    <xf numFmtId="4" fontId="21" fillId="0" borderId="33" xfId="0" applyNumberFormat="1" applyFont="1" applyBorder="1"/>
    <xf numFmtId="4" fontId="21" fillId="0" borderId="31" xfId="0" applyNumberFormat="1" applyFont="1" applyBorder="1"/>
    <xf numFmtId="4" fontId="21" fillId="0" borderId="32" xfId="0" applyNumberFormat="1" applyFont="1" applyBorder="1"/>
    <xf numFmtId="213" fontId="18" fillId="0" borderId="14" xfId="0" applyNumberFormat="1" applyFont="1" applyBorder="1"/>
    <xf numFmtId="217" fontId="21" fillId="0" borderId="14" xfId="6" applyNumberFormat="1" applyFont="1" applyBorder="1"/>
    <xf numFmtId="213" fontId="21" fillId="0" borderId="31" xfId="0" quotePrefix="1" applyNumberFormat="1" applyFont="1" applyBorder="1"/>
    <xf numFmtId="213" fontId="21" fillId="0" borderId="32" xfId="0" quotePrefix="1" applyNumberFormat="1" applyFont="1" applyBorder="1"/>
    <xf numFmtId="4" fontId="21" fillId="0" borderId="33" xfId="0" quotePrefix="1" applyNumberFormat="1" applyFont="1" applyBorder="1"/>
    <xf numFmtId="4" fontId="21" fillId="0" borderId="31" xfId="0" quotePrefix="1" applyNumberFormat="1" applyFont="1" applyBorder="1"/>
    <xf numFmtId="4" fontId="21" fillId="0" borderId="32" xfId="0" quotePrefix="1" applyNumberFormat="1" applyFont="1" applyBorder="1"/>
    <xf numFmtId="0" fontId="18" fillId="0" borderId="18" xfId="0" applyFont="1" applyBorder="1" applyAlignment="1">
      <alignment horizontal="center"/>
    </xf>
    <xf numFmtId="213" fontId="18" fillId="0" borderId="18" xfId="0" applyNumberFormat="1" applyFont="1" applyBorder="1"/>
    <xf numFmtId="0" fontId="18" fillId="0" borderId="17" xfId="0" applyFont="1" applyBorder="1" applyAlignment="1">
      <alignment horizontal="center"/>
    </xf>
    <xf numFmtId="213" fontId="18" fillId="0" borderId="34" xfId="0" applyNumberFormat="1" applyFont="1" applyBorder="1"/>
    <xf numFmtId="213" fontId="18" fillId="0" borderId="35" xfId="0" applyNumberFormat="1" applyFont="1" applyBorder="1"/>
    <xf numFmtId="213" fontId="18" fillId="0" borderId="4" xfId="0" applyNumberFormat="1" applyFont="1" applyBorder="1"/>
    <xf numFmtId="213" fontId="18" fillId="0" borderId="19" xfId="0" applyNumberFormat="1" applyFont="1" applyBorder="1"/>
    <xf numFmtId="213" fontId="18" fillId="0" borderId="34" xfId="0" quotePrefix="1" applyNumberFormat="1" applyFont="1" applyBorder="1"/>
    <xf numFmtId="213" fontId="18" fillId="0" borderId="35" xfId="0" quotePrefix="1" applyNumberFormat="1" applyFont="1" applyBorder="1"/>
    <xf numFmtId="213" fontId="18" fillId="0" borderId="4" xfId="0" quotePrefix="1" applyNumberFormat="1" applyFont="1" applyBorder="1"/>
    <xf numFmtId="213" fontId="21" fillId="0" borderId="36" xfId="0" applyNumberFormat="1" applyFont="1" applyBorder="1"/>
    <xf numFmtId="213" fontId="21" fillId="0" borderId="36" xfId="0" quotePrefix="1" applyNumberFormat="1" applyFont="1" applyBorder="1"/>
    <xf numFmtId="3" fontId="21" fillId="0" borderId="10" xfId="0" applyNumberFormat="1" applyFont="1" applyBorder="1" applyAlignment="1" applyProtection="1">
      <alignment horizontal="left" indent="1"/>
      <protection locked="0"/>
    </xf>
    <xf numFmtId="3" fontId="20" fillId="0" borderId="11" xfId="0" applyNumberFormat="1" applyFont="1" applyBorder="1" applyAlignment="1" applyProtection="1">
      <alignment horizontal="right"/>
    </xf>
    <xf numFmtId="3" fontId="21" fillId="0" borderId="12" xfId="0" applyNumberFormat="1" applyFont="1" applyBorder="1" applyAlignment="1" applyProtection="1">
      <alignment horizontal="left" indent="1"/>
    </xf>
    <xf numFmtId="218" fontId="18" fillId="0" borderId="11" xfId="0" applyNumberFormat="1" applyFont="1" applyBorder="1"/>
    <xf numFmtId="3" fontId="21" fillId="0" borderId="11" xfId="0" applyNumberFormat="1" applyFont="1" applyBorder="1" applyAlignment="1" applyProtection="1">
      <alignment horizontal="left" indent="1"/>
    </xf>
    <xf numFmtId="3" fontId="21" fillId="0" borderId="15" xfId="0" applyNumberFormat="1" applyFont="1" applyBorder="1" applyAlignment="1" applyProtection="1">
      <alignment horizontal="left" indent="1"/>
    </xf>
    <xf numFmtId="3" fontId="20" fillId="0" borderId="11" xfId="0" applyNumberFormat="1" applyFont="1" applyBorder="1" applyAlignment="1" applyProtection="1">
      <alignment horizontal="center"/>
    </xf>
    <xf numFmtId="216" fontId="21" fillId="0" borderId="20" xfId="0" applyNumberFormat="1" applyFont="1" applyBorder="1"/>
    <xf numFmtId="216" fontId="21" fillId="0" borderId="21" xfId="0" applyNumberFormat="1" applyFont="1" applyBorder="1"/>
    <xf numFmtId="216" fontId="21" fillId="0" borderId="22" xfId="0" applyNumberFormat="1" applyFont="1" applyBorder="1"/>
    <xf numFmtId="216" fontId="21" fillId="0" borderId="20" xfId="0" quotePrefix="1" applyNumberFormat="1" applyFont="1" applyBorder="1"/>
    <xf numFmtId="216" fontId="21" fillId="0" borderId="21" xfId="0" quotePrefix="1" applyNumberFormat="1" applyFont="1" applyBorder="1"/>
    <xf numFmtId="216" fontId="21" fillId="0" borderId="22" xfId="0" quotePrefix="1" applyNumberFormat="1" applyFont="1" applyBorder="1"/>
    <xf numFmtId="216" fontId="21" fillId="0" borderId="18" xfId="0" applyNumberFormat="1" applyFont="1" applyBorder="1"/>
    <xf numFmtId="216" fontId="21" fillId="0" borderId="12" xfId="0" applyNumberFormat="1" applyFont="1" applyBorder="1"/>
    <xf numFmtId="3" fontId="18" fillId="0" borderId="37" xfId="0" applyNumberFormat="1" applyFont="1" applyBorder="1" applyAlignment="1">
      <alignment horizontal="center"/>
    </xf>
    <xf numFmtId="3" fontId="18" fillId="0" borderId="36" xfId="0" applyNumberFormat="1" applyFont="1" applyBorder="1" applyAlignment="1">
      <alignment horizontal="center"/>
    </xf>
    <xf numFmtId="3" fontId="18" fillId="0" borderId="25" xfId="0" applyNumberFormat="1" applyFont="1" applyBorder="1" applyAlignment="1">
      <alignment horizontal="center"/>
    </xf>
    <xf numFmtId="216" fontId="21" fillId="0" borderId="18" xfId="0" applyNumberFormat="1" applyFont="1" applyBorder="1" applyProtection="1">
      <protection locked="0"/>
    </xf>
    <xf numFmtId="3" fontId="19" fillId="0" borderId="0" xfId="0" applyNumberFormat="1" applyFont="1" applyProtection="1"/>
    <xf numFmtId="3" fontId="15" fillId="0" borderId="0" xfId="0" applyNumberFormat="1" applyFont="1" applyAlignment="1" applyProtection="1">
      <alignment horizontal="left" vertical="center"/>
    </xf>
    <xf numFmtId="1" fontId="12" fillId="0" borderId="0" xfId="0" applyNumberFormat="1" applyFont="1" applyAlignment="1" applyProtection="1">
      <alignment horizontal="center" vertical="center"/>
    </xf>
    <xf numFmtId="3" fontId="25" fillId="0" borderId="0" xfId="0" applyNumberFormat="1" applyFont="1" applyProtection="1"/>
    <xf numFmtId="3" fontId="33" fillId="0" borderId="0" xfId="0" applyNumberFormat="1" applyFont="1" applyAlignment="1" applyProtection="1">
      <alignment horizontal="center"/>
    </xf>
    <xf numFmtId="3" fontId="34" fillId="0" borderId="0" xfId="0" applyNumberFormat="1" applyFont="1" applyProtection="1"/>
    <xf numFmtId="3" fontId="15" fillId="0" borderId="11" xfId="0" applyNumberFormat="1" applyFont="1" applyBorder="1" applyAlignment="1" applyProtection="1">
      <alignment horizontal="center" vertical="center"/>
    </xf>
    <xf numFmtId="3" fontId="15" fillId="0" borderId="39" xfId="0" applyNumberFormat="1" applyFont="1" applyBorder="1" applyAlignment="1" applyProtection="1">
      <alignment horizontal="center" vertical="center"/>
    </xf>
    <xf numFmtId="3" fontId="15" fillId="0" borderId="36" xfId="0" applyNumberFormat="1" applyFont="1" applyBorder="1" applyAlignment="1" applyProtection="1">
      <alignment horizontal="center" vertical="center"/>
    </xf>
    <xf numFmtId="3" fontId="15" fillId="0" borderId="25" xfId="0" applyNumberFormat="1" applyFont="1" applyBorder="1" applyAlignment="1" applyProtection="1">
      <alignment horizontal="center" vertical="center"/>
    </xf>
    <xf numFmtId="3" fontId="15" fillId="0" borderId="40" xfId="0" applyNumberFormat="1" applyFont="1" applyBorder="1" applyAlignment="1" applyProtection="1">
      <alignment horizontal="center" vertical="center"/>
    </xf>
    <xf numFmtId="3" fontId="15" fillId="0" borderId="18" xfId="0" applyNumberFormat="1" applyFont="1" applyBorder="1" applyAlignment="1" applyProtection="1">
      <alignment horizontal="center" vertical="center"/>
    </xf>
    <xf numFmtId="207" fontId="19" fillId="0" borderId="41" xfId="0" applyNumberFormat="1" applyFont="1" applyBorder="1" applyAlignment="1" applyProtection="1">
      <alignment vertical="center"/>
    </xf>
    <xf numFmtId="207" fontId="19" fillId="0" borderId="21" xfId="0" applyNumberFormat="1" applyFont="1" applyBorder="1" applyAlignment="1" applyProtection="1">
      <alignment vertical="center"/>
    </xf>
    <xf numFmtId="207" fontId="19" fillId="0" borderId="22" xfId="0" applyNumberFormat="1" applyFont="1" applyBorder="1" applyAlignment="1" applyProtection="1">
      <alignment vertical="center"/>
    </xf>
    <xf numFmtId="200" fontId="19" fillId="0" borderId="42" xfId="0" applyNumberFormat="1" applyFont="1" applyBorder="1" applyAlignment="1" applyProtection="1">
      <alignment vertical="center"/>
    </xf>
    <xf numFmtId="3" fontId="15" fillId="0" borderId="12" xfId="0" applyNumberFormat="1" applyFont="1" applyBorder="1" applyAlignment="1" applyProtection="1">
      <alignment horizontal="center" vertical="center"/>
    </xf>
    <xf numFmtId="207" fontId="19" fillId="0" borderId="2" xfId="0" applyNumberFormat="1" applyFont="1" applyBorder="1" applyAlignment="1" applyProtection="1">
      <alignment vertical="center"/>
    </xf>
    <xf numFmtId="207" fontId="19" fillId="0" borderId="24" xfId="0" applyNumberFormat="1" applyFont="1" applyBorder="1" applyAlignment="1" applyProtection="1">
      <alignment vertical="center"/>
    </xf>
    <xf numFmtId="200" fontId="19" fillId="0" borderId="43" xfId="0" applyNumberFormat="1" applyFont="1" applyBorder="1" applyAlignment="1" applyProtection="1">
      <alignment vertical="center"/>
    </xf>
    <xf numFmtId="200" fontId="19" fillId="0" borderId="44" xfId="0" applyNumberFormat="1" applyFont="1" applyBorder="1" applyAlignment="1" applyProtection="1">
      <alignment vertical="center"/>
    </xf>
    <xf numFmtId="3" fontId="15" fillId="0" borderId="19" xfId="0" applyNumberFormat="1" applyFont="1" applyBorder="1" applyAlignment="1" applyProtection="1">
      <alignment horizontal="center" vertical="center"/>
    </xf>
    <xf numFmtId="0" fontId="15" fillId="0" borderId="9" xfId="0" applyFont="1" applyBorder="1" applyAlignment="1">
      <alignment horizontal="right"/>
    </xf>
    <xf numFmtId="0" fontId="35" fillId="0" borderId="6" xfId="2" applyFont="1" applyFill="1" applyBorder="1" applyAlignment="1" applyProtection="1">
      <alignment horizontal="right"/>
    </xf>
    <xf numFmtId="178" fontId="15" fillId="0" borderId="6" xfId="0" applyNumberFormat="1" applyFont="1" applyBorder="1" applyAlignment="1">
      <alignment horizontal="centerContinuous"/>
    </xf>
    <xf numFmtId="3" fontId="15" fillId="0" borderId="6" xfId="0" applyNumberFormat="1" applyFont="1" applyBorder="1" applyAlignment="1">
      <alignment horizontal="centerContinuous"/>
    </xf>
    <xf numFmtId="0" fontId="15" fillId="0" borderId="6" xfId="0" applyFont="1" applyBorder="1" applyAlignment="1">
      <alignment horizontal="left"/>
    </xf>
    <xf numFmtId="205" fontId="19" fillId="3" borderId="18" xfId="0" applyNumberFormat="1" applyFont="1" applyFill="1" applyBorder="1" applyAlignment="1" applyProtection="1">
      <alignment horizontal="center"/>
      <protection locked="0"/>
    </xf>
    <xf numFmtId="205" fontId="19" fillId="2" borderId="20" xfId="0" applyNumberFormat="1" applyFont="1" applyFill="1" applyBorder="1" applyAlignment="1" applyProtection="1">
      <alignment horizontal="center"/>
      <protection locked="0"/>
    </xf>
    <xf numFmtId="205" fontId="19" fillId="2" borderId="21" xfId="0" applyNumberFormat="1" applyFont="1" applyFill="1" applyBorder="1" applyAlignment="1" applyProtection="1">
      <alignment horizontal="center"/>
      <protection locked="0"/>
    </xf>
    <xf numFmtId="205" fontId="19" fillId="2" borderId="22" xfId="0" applyNumberFormat="1" applyFont="1" applyFill="1" applyBorder="1" applyAlignment="1" applyProtection="1">
      <alignment horizontal="center"/>
      <protection locked="0"/>
    </xf>
    <xf numFmtId="185" fontId="19" fillId="0" borderId="18" xfId="0" applyNumberFormat="1" applyFont="1" applyBorder="1" applyAlignment="1">
      <alignment horizontal="center"/>
    </xf>
    <xf numFmtId="205" fontId="19" fillId="3" borderId="12" xfId="0" applyNumberFormat="1" applyFont="1" applyFill="1" applyBorder="1" applyAlignment="1" applyProtection="1">
      <alignment horizontal="center"/>
      <protection locked="0"/>
    </xf>
    <xf numFmtId="205" fontId="19" fillId="2" borderId="45" xfId="0" applyNumberFormat="1" applyFont="1" applyFill="1" applyBorder="1" applyAlignment="1" applyProtection="1">
      <alignment horizontal="center"/>
      <protection locked="0"/>
    </xf>
    <xf numFmtId="205" fontId="19" fillId="2" borderId="46" xfId="0" applyNumberFormat="1" applyFont="1" applyFill="1" applyBorder="1" applyAlignment="1" applyProtection="1">
      <alignment horizontal="center"/>
      <protection locked="0"/>
    </xf>
    <xf numFmtId="205" fontId="19" fillId="2" borderId="47" xfId="0" applyNumberFormat="1" applyFont="1" applyFill="1" applyBorder="1" applyAlignment="1" applyProtection="1">
      <alignment horizontal="center"/>
      <protection locked="0"/>
    </xf>
    <xf numFmtId="185" fontId="19" fillId="0" borderId="38" xfId="0" applyNumberFormat="1" applyFont="1" applyBorder="1" applyAlignment="1">
      <alignment horizontal="center"/>
    </xf>
    <xf numFmtId="3" fontId="15" fillId="0" borderId="37" xfId="0" applyNumberFormat="1" applyFont="1" applyBorder="1" applyAlignment="1">
      <alignment horizontal="center"/>
    </xf>
    <xf numFmtId="3" fontId="15" fillId="0" borderId="36" xfId="0" applyNumberFormat="1" applyFont="1" applyBorder="1" applyAlignment="1">
      <alignment horizontal="center"/>
    </xf>
    <xf numFmtId="3" fontId="15" fillId="0" borderId="25" xfId="0" applyNumberFormat="1" applyFont="1" applyBorder="1" applyAlignment="1">
      <alignment horizontal="center"/>
    </xf>
    <xf numFmtId="214" fontId="15" fillId="0" borderId="1" xfId="0" applyNumberFormat="1" applyFont="1" applyBorder="1" applyAlignment="1">
      <alignment horizontal="center"/>
    </xf>
    <xf numFmtId="0" fontId="19" fillId="0" borderId="42" xfId="0" applyFont="1" applyBorder="1"/>
    <xf numFmtId="187" fontId="15" fillId="0" borderId="48" xfId="0" applyNumberFormat="1" applyFont="1" applyBorder="1" applyAlignment="1" applyProtection="1">
      <alignment horizontal="center"/>
    </xf>
    <xf numFmtId="187" fontId="15" fillId="0" borderId="3" xfId="0" applyNumberFormat="1" applyFont="1" applyBorder="1" applyAlignment="1" applyProtection="1">
      <alignment horizontal="center"/>
    </xf>
    <xf numFmtId="187" fontId="15" fillId="0" borderId="5" xfId="0" applyNumberFormat="1" applyFont="1" applyBorder="1" applyAlignment="1" applyProtection="1">
      <alignment horizontal="center"/>
    </xf>
    <xf numFmtId="185" fontId="15" fillId="0" borderId="15" xfId="0" applyNumberFormat="1" applyFont="1" applyBorder="1" applyAlignment="1">
      <alignment horizontal="center"/>
    </xf>
    <xf numFmtId="0" fontId="19" fillId="0" borderId="43" xfId="0" applyFont="1" applyBorder="1"/>
    <xf numFmtId="0" fontId="19" fillId="0" borderId="44" xfId="0" applyFont="1" applyBorder="1"/>
    <xf numFmtId="187" fontId="15" fillId="0" borderId="34" xfId="0" applyNumberFormat="1" applyFont="1" applyBorder="1" applyAlignment="1" applyProtection="1">
      <alignment horizontal="center"/>
    </xf>
    <xf numFmtId="187" fontId="15" fillId="0" borderId="35" xfId="0" applyNumberFormat="1" applyFont="1" applyBorder="1" applyAlignment="1" applyProtection="1">
      <alignment horizontal="center"/>
    </xf>
    <xf numFmtId="187" fontId="15" fillId="0" borderId="4" xfId="0" applyNumberFormat="1" applyFont="1" applyBorder="1" applyAlignment="1" applyProtection="1">
      <alignment horizontal="center"/>
    </xf>
    <xf numFmtId="185" fontId="15" fillId="0" borderId="19" xfId="0" applyNumberFormat="1" applyFont="1" applyBorder="1" applyAlignment="1">
      <alignment horizontal="center"/>
    </xf>
    <xf numFmtId="3" fontId="15" fillId="0" borderId="0" xfId="0" applyNumberFormat="1" applyFont="1"/>
    <xf numFmtId="1" fontId="15" fillId="0" borderId="0" xfId="0" applyNumberFormat="1" applyFont="1" applyAlignment="1">
      <alignment horizontal="center"/>
    </xf>
    <xf numFmtId="3" fontId="15" fillId="0" borderId="11" xfId="0" applyNumberFormat="1" applyFont="1" applyBorder="1" applyAlignment="1">
      <alignment horizontal="center" vertical="center" shrinkToFit="1"/>
    </xf>
    <xf numFmtId="178" fontId="15" fillId="0" borderId="30" xfId="0" applyNumberFormat="1" applyFont="1" applyBorder="1" applyAlignment="1">
      <alignment horizontal="center" vertical="center" shrinkToFit="1"/>
    </xf>
    <xf numFmtId="178" fontId="15" fillId="0" borderId="27" xfId="0" applyNumberFormat="1" applyFont="1" applyBorder="1" applyAlignment="1">
      <alignment horizontal="center" vertical="center" shrinkToFit="1"/>
    </xf>
    <xf numFmtId="178" fontId="15" fillId="0" borderId="28" xfId="0" applyNumberFormat="1" applyFont="1" applyBorder="1" applyAlignment="1">
      <alignment horizontal="center" vertical="center" shrinkToFit="1"/>
    </xf>
    <xf numFmtId="178" fontId="15" fillId="0" borderId="29" xfId="0" applyNumberFormat="1" applyFont="1" applyBorder="1" applyAlignment="1">
      <alignment horizontal="center" vertical="center" shrinkToFit="1"/>
    </xf>
    <xf numFmtId="0" fontId="15" fillId="0" borderId="30" xfId="0" applyFont="1" applyBorder="1" applyAlignment="1">
      <alignment horizontal="center" vertical="center" shrinkToFit="1"/>
    </xf>
    <xf numFmtId="0" fontId="19" fillId="0" borderId="0" xfId="0" applyFont="1" applyAlignment="1">
      <alignment shrinkToFit="1"/>
    </xf>
    <xf numFmtId="0" fontId="36" fillId="0" borderId="18" xfId="0" applyFont="1" applyBorder="1" applyAlignment="1">
      <alignment horizontal="left" indent="1"/>
    </xf>
    <xf numFmtId="0" fontId="36" fillId="0" borderId="12" xfId="0" applyFont="1" applyBorder="1" applyAlignment="1">
      <alignment horizontal="left" indent="1"/>
    </xf>
    <xf numFmtId="0" fontId="36" fillId="0" borderId="49" xfId="0" applyFont="1" applyBorder="1" applyAlignment="1">
      <alignment horizontal="left" indent="1"/>
    </xf>
    <xf numFmtId="0" fontId="36" fillId="0" borderId="16" xfId="0" applyFont="1" applyBorder="1" applyAlignment="1">
      <alignment horizontal="left" indent="1"/>
    </xf>
    <xf numFmtId="3" fontId="15" fillId="0" borderId="9" xfId="0" applyNumberFormat="1" applyFont="1" applyBorder="1" applyAlignment="1">
      <alignment horizontal="center" shrinkToFit="1"/>
    </xf>
    <xf numFmtId="3" fontId="15" fillId="0" borderId="1" xfId="0" applyNumberFormat="1" applyFont="1" applyBorder="1" applyAlignment="1">
      <alignment horizontal="center" shrinkToFit="1"/>
    </xf>
    <xf numFmtId="178" fontId="15" fillId="0" borderId="37" xfId="0" applyNumberFormat="1" applyFont="1" applyBorder="1" applyAlignment="1">
      <alignment horizontal="center" vertical="center" shrinkToFit="1"/>
    </xf>
    <xf numFmtId="178" fontId="15" fillId="0" borderId="36" xfId="0" applyNumberFormat="1" applyFont="1" applyBorder="1" applyAlignment="1">
      <alignment horizontal="center" vertical="center" shrinkToFit="1"/>
    </xf>
    <xf numFmtId="178" fontId="15" fillId="0" borderId="25" xfId="0" applyNumberFormat="1" applyFont="1" applyBorder="1" applyAlignment="1">
      <alignment horizontal="center" vertical="center" shrinkToFit="1"/>
    </xf>
    <xf numFmtId="0" fontId="15" fillId="0" borderId="11" xfId="0" applyFont="1" applyBorder="1" applyAlignment="1">
      <alignment horizontal="center" vertical="center" shrinkToFit="1"/>
    </xf>
    <xf numFmtId="3" fontId="18" fillId="0" borderId="0" xfId="0" applyNumberFormat="1" applyFont="1"/>
    <xf numFmtId="210" fontId="33" fillId="0" borderId="0" xfId="0" applyNumberFormat="1" applyFont="1" applyAlignment="1">
      <alignment horizontal="right"/>
    </xf>
    <xf numFmtId="1" fontId="33" fillId="0" borderId="0" xfId="0" applyNumberFormat="1" applyFont="1" applyAlignment="1">
      <alignment horizontal="center"/>
    </xf>
    <xf numFmtId="3" fontId="33" fillId="0" borderId="0" xfId="0" applyNumberFormat="1" applyFont="1" applyAlignment="1">
      <alignment horizontal="left" indent="1"/>
    </xf>
    <xf numFmtId="200" fontId="21" fillId="2" borderId="2" xfId="0" applyNumberFormat="1" applyFont="1" applyFill="1" applyBorder="1" applyProtection="1">
      <protection locked="0"/>
    </xf>
    <xf numFmtId="1" fontId="24" fillId="0" borderId="0" xfId="0" applyNumberFormat="1" applyFont="1" applyAlignment="1">
      <alignment horizontal="center"/>
    </xf>
    <xf numFmtId="1" fontId="24" fillId="0" borderId="0" xfId="0" quotePrefix="1" applyNumberFormat="1" applyFont="1" applyAlignment="1">
      <alignment horizontal="center"/>
    </xf>
    <xf numFmtId="3" fontId="18" fillId="0" borderId="11" xfId="0" applyNumberFormat="1" applyFont="1" applyBorder="1" applyAlignment="1">
      <alignment horizontal="center" wrapText="1"/>
    </xf>
    <xf numFmtId="3" fontId="18" fillId="0" borderId="39" xfId="0" applyNumberFormat="1" applyFont="1" applyBorder="1" applyAlignment="1">
      <alignment horizontal="center" wrapText="1"/>
    </xf>
    <xf numFmtId="3" fontId="18" fillId="0" borderId="6" xfId="0" applyNumberFormat="1" applyFont="1" applyBorder="1" applyAlignment="1">
      <alignment horizontal="center" wrapText="1"/>
    </xf>
    <xf numFmtId="3" fontId="18" fillId="0" borderId="11" xfId="0" applyNumberFormat="1" applyFont="1" applyBorder="1" applyAlignment="1">
      <alignment horizontal="centerContinuous" vertical="center"/>
    </xf>
    <xf numFmtId="3" fontId="24" fillId="0" borderId="0" xfId="0" applyNumberFormat="1" applyFont="1" applyAlignment="1">
      <alignment horizontal="left" indent="1"/>
    </xf>
    <xf numFmtId="0" fontId="21" fillId="0" borderId="8" xfId="0" applyFont="1" applyBorder="1" applyAlignment="1">
      <alignment horizontal="left" indent="1"/>
    </xf>
    <xf numFmtId="0" fontId="19" fillId="0" borderId="8" xfId="0" applyFont="1" applyBorder="1" applyAlignment="1">
      <alignment horizontal="left" indent="1"/>
    </xf>
    <xf numFmtId="3" fontId="21" fillId="0" borderId="0" xfId="0" applyNumberFormat="1" applyFont="1" applyAlignment="1" applyProtection="1">
      <alignment horizontal="left" indent="1"/>
      <protection locked="0"/>
    </xf>
    <xf numFmtId="0" fontId="21" fillId="0" borderId="10" xfId="0" applyFont="1" applyBorder="1" applyAlignment="1">
      <alignment horizontal="left" indent="1"/>
    </xf>
    <xf numFmtId="0" fontId="18" fillId="0" borderId="11" xfId="0" applyFont="1" applyBorder="1" applyAlignment="1">
      <alignment horizontal="center"/>
    </xf>
    <xf numFmtId="0" fontId="15" fillId="0" borderId="9" xfId="0" applyFont="1" applyBorder="1"/>
    <xf numFmtId="0" fontId="20" fillId="0" borderId="30" xfId="0" applyFont="1" applyBorder="1" applyAlignment="1">
      <alignment horizontal="center"/>
    </xf>
    <xf numFmtId="0" fontId="19" fillId="0" borderId="56" xfId="0" applyFont="1" applyBorder="1"/>
    <xf numFmtId="0" fontId="18" fillId="0" borderId="9" xfId="0" applyFont="1" applyBorder="1" applyAlignment="1">
      <alignment horizontal="center"/>
    </xf>
    <xf numFmtId="3" fontId="33" fillId="0" borderId="0" xfId="0" applyNumberFormat="1" applyFont="1" applyAlignment="1">
      <alignment horizontal="center"/>
    </xf>
    <xf numFmtId="0" fontId="20" fillId="0" borderId="57" xfId="0" applyFont="1" applyBorder="1" applyAlignment="1">
      <alignment vertical="center"/>
    </xf>
    <xf numFmtId="1" fontId="18" fillId="0" borderId="6" xfId="0" applyNumberFormat="1" applyFont="1" applyBorder="1" applyAlignment="1">
      <alignment horizontal="center"/>
    </xf>
    <xf numFmtId="3" fontId="20" fillId="0" borderId="9" xfId="0" applyNumberFormat="1" applyFont="1" applyBorder="1" applyAlignment="1" applyProtection="1">
      <alignment horizontal="right"/>
    </xf>
    <xf numFmtId="0" fontId="19" fillId="0" borderId="0" xfId="0" applyFont="1" applyAlignment="1">
      <alignment horizontal="right"/>
    </xf>
    <xf numFmtId="0" fontId="18" fillId="0" borderId="0" xfId="0" applyFont="1" applyAlignment="1">
      <alignment horizontal="right"/>
    </xf>
    <xf numFmtId="0" fontId="38" fillId="0" borderId="0" xfId="0" applyFont="1"/>
    <xf numFmtId="0" fontId="19" fillId="0" borderId="17" xfId="0" applyFont="1" applyBorder="1"/>
    <xf numFmtId="3" fontId="21" fillId="0" borderId="38" xfId="0" applyNumberFormat="1" applyFont="1" applyBorder="1" applyProtection="1">
      <protection locked="0"/>
    </xf>
    <xf numFmtId="0" fontId="18" fillId="0" borderId="17" xfId="0" applyFont="1" applyBorder="1" applyAlignment="1">
      <alignment horizontal="right"/>
    </xf>
    <xf numFmtId="3" fontId="18" fillId="0" borderId="30" xfId="0" applyNumberFormat="1" applyFont="1" applyBorder="1" applyAlignment="1">
      <alignment horizontal="center"/>
    </xf>
    <xf numFmtId="3" fontId="21" fillId="0" borderId="14" xfId="0" applyNumberFormat="1" applyFont="1" applyBorder="1" applyProtection="1">
      <protection locked="0"/>
    </xf>
    <xf numFmtId="3" fontId="21" fillId="0" borderId="58" xfId="0" applyNumberFormat="1" applyFont="1" applyBorder="1" applyProtection="1">
      <protection locked="0"/>
    </xf>
    <xf numFmtId="3" fontId="21" fillId="0" borderId="31" xfId="0" applyNumberFormat="1" applyFont="1" applyBorder="1" applyProtection="1">
      <protection locked="0"/>
    </xf>
    <xf numFmtId="3" fontId="21" fillId="0" borderId="59" xfId="0" applyNumberFormat="1" applyFont="1" applyBorder="1" applyProtection="1">
      <protection locked="0"/>
    </xf>
    <xf numFmtId="4" fontId="21" fillId="0" borderId="34" xfId="0" applyNumberFormat="1" applyFont="1" applyBorder="1" applyProtection="1">
      <protection locked="0"/>
    </xf>
    <xf numFmtId="4" fontId="21" fillId="0" borderId="35" xfId="0" applyNumberFormat="1" applyFont="1" applyBorder="1" applyProtection="1">
      <protection locked="0"/>
    </xf>
    <xf numFmtId="3" fontId="21" fillId="0" borderId="18" xfId="0" applyNumberFormat="1" applyFont="1" applyBorder="1" applyAlignment="1" applyProtection="1">
      <alignment horizontal="left" indent="1"/>
    </xf>
    <xf numFmtId="3" fontId="21" fillId="0" borderId="19" xfId="0" applyNumberFormat="1" applyFont="1" applyBorder="1" applyAlignment="1" applyProtection="1">
      <alignment horizontal="left" indent="1"/>
    </xf>
    <xf numFmtId="4" fontId="21" fillId="0" borderId="60" xfId="0" applyNumberFormat="1" applyFont="1" applyBorder="1" applyProtection="1">
      <protection locked="0"/>
    </xf>
    <xf numFmtId="166" fontId="21" fillId="2" borderId="61" xfId="6" applyNumberFormat="1" applyFont="1" applyFill="1" applyBorder="1" applyAlignment="1" applyProtection="1">
      <alignment horizontal="center"/>
      <protection locked="0"/>
    </xf>
    <xf numFmtId="3" fontId="21" fillId="0" borderId="62" xfId="0" applyNumberFormat="1" applyFont="1" applyBorder="1" applyProtection="1">
      <protection locked="0"/>
    </xf>
    <xf numFmtId="3" fontId="23" fillId="0" borderId="0" xfId="0" applyNumberFormat="1" applyFont="1" applyAlignment="1" applyProtection="1">
      <alignment horizontal="left"/>
      <protection locked="0"/>
    </xf>
    <xf numFmtId="3" fontId="13" fillId="0" borderId="0" xfId="0" applyNumberFormat="1" applyFont="1" applyAlignment="1" applyProtection="1">
      <alignment horizontal="center"/>
    </xf>
    <xf numFmtId="1" fontId="13" fillId="0" borderId="0" xfId="0" applyNumberFormat="1" applyFont="1" applyAlignment="1" applyProtection="1">
      <alignment horizontal="center"/>
    </xf>
    <xf numFmtId="3" fontId="15" fillId="0" borderId="0" xfId="0" applyNumberFormat="1" applyFont="1" applyProtection="1"/>
    <xf numFmtId="9" fontId="15" fillId="0" borderId="0" xfId="6" applyFont="1" applyFill="1" applyBorder="1" applyAlignment="1" applyProtection="1">
      <alignment horizontal="center"/>
    </xf>
    <xf numFmtId="3" fontId="18" fillId="0" borderId="0" xfId="0" applyNumberFormat="1" applyFont="1" applyProtection="1"/>
    <xf numFmtId="3" fontId="23" fillId="0" borderId="0" xfId="0" applyNumberFormat="1" applyFont="1" applyProtection="1"/>
    <xf numFmtId="3" fontId="18" fillId="0" borderId="0" xfId="0" applyNumberFormat="1" applyFont="1" applyAlignment="1" applyProtection="1">
      <alignment horizontal="center"/>
    </xf>
    <xf numFmtId="3" fontId="18" fillId="0" borderId="58" xfId="0" applyNumberFormat="1" applyFont="1" applyBorder="1" applyAlignment="1" applyProtection="1">
      <alignment horizontal="center"/>
    </xf>
    <xf numFmtId="3" fontId="21" fillId="0" borderId="54" xfId="0" applyNumberFormat="1" applyFont="1" applyBorder="1" applyProtection="1"/>
    <xf numFmtId="3" fontId="18" fillId="0" borderId="63" xfId="0" applyNumberFormat="1" applyFont="1" applyBorder="1" applyProtection="1"/>
    <xf numFmtId="3" fontId="18" fillId="0" borderId="26" xfId="0" applyNumberFormat="1" applyFont="1" applyBorder="1" applyProtection="1"/>
    <xf numFmtId="3" fontId="18" fillId="0" borderId="64" xfId="0" applyNumberFormat="1" applyFont="1" applyBorder="1" applyAlignment="1" applyProtection="1">
      <alignment horizontal="center"/>
    </xf>
    <xf numFmtId="3" fontId="18" fillId="0" borderId="65" xfId="0" applyNumberFormat="1" applyFont="1" applyBorder="1" applyProtection="1"/>
    <xf numFmtId="3" fontId="18" fillId="0" borderId="58" xfId="0" applyNumberFormat="1" applyFont="1" applyBorder="1" applyProtection="1"/>
    <xf numFmtId="3" fontId="18" fillId="0" borderId="39" xfId="0" applyNumberFormat="1" applyFont="1" applyBorder="1" applyProtection="1"/>
    <xf numFmtId="168" fontId="18" fillId="0" borderId="58" xfId="0" applyNumberFormat="1" applyFont="1" applyBorder="1" applyProtection="1"/>
    <xf numFmtId="0" fontId="21" fillId="0" borderId="50" xfId="0" applyFont="1" applyBorder="1" applyAlignment="1">
      <alignment vertical="center"/>
    </xf>
    <xf numFmtId="3" fontId="21" fillId="0" borderId="0" xfId="0" applyNumberFormat="1" applyFont="1" applyAlignment="1" applyProtection="1">
      <alignment vertical="center"/>
    </xf>
    <xf numFmtId="3" fontId="18" fillId="0" borderId="0" xfId="0" applyNumberFormat="1" applyFont="1" applyAlignment="1" applyProtection="1">
      <alignment vertical="center"/>
    </xf>
    <xf numFmtId="3" fontId="33" fillId="0" borderId="0" xfId="0" applyNumberFormat="1" applyFont="1" applyAlignment="1" applyProtection="1">
      <alignment horizontal="left" indent="1"/>
      <protection locked="0"/>
    </xf>
    <xf numFmtId="3" fontId="33" fillId="0" borderId="0" xfId="0" applyNumberFormat="1" applyFont="1" applyAlignment="1" applyProtection="1">
      <alignment horizontal="left" indent="1"/>
    </xf>
    <xf numFmtId="1" fontId="33" fillId="0" borderId="0" xfId="0" applyNumberFormat="1" applyFont="1" applyAlignment="1" applyProtection="1">
      <alignment horizontal="center"/>
    </xf>
    <xf numFmtId="3" fontId="18" fillId="0" borderId="39" xfId="0" applyNumberFormat="1" applyFont="1" applyBorder="1" applyAlignment="1" applyProtection="1">
      <alignment horizontal="center"/>
    </xf>
    <xf numFmtId="3" fontId="15" fillId="0" borderId="39" xfId="0" applyNumberFormat="1" applyFont="1" applyBorder="1" applyAlignment="1" applyProtection="1">
      <alignment horizontal="center" shrinkToFit="1"/>
    </xf>
    <xf numFmtId="3" fontId="18" fillId="0" borderId="10" xfId="0" applyNumberFormat="1" applyFont="1" applyBorder="1" applyProtection="1"/>
    <xf numFmtId="3" fontId="18" fillId="0" borderId="40" xfId="0" applyNumberFormat="1" applyFont="1" applyBorder="1" applyProtection="1"/>
    <xf numFmtId="3" fontId="18" fillId="0" borderId="10" xfId="0" applyNumberFormat="1" applyFont="1" applyBorder="1" applyAlignment="1" applyProtection="1">
      <alignment horizontal="center"/>
    </xf>
    <xf numFmtId="3" fontId="15" fillId="0" borderId="6" xfId="0" applyNumberFormat="1" applyFont="1" applyBorder="1" applyAlignment="1" applyProtection="1">
      <alignment horizontal="center" shrinkToFit="1"/>
    </xf>
    <xf numFmtId="3" fontId="15" fillId="0" borderId="11" xfId="0" applyNumberFormat="1" applyFont="1" applyBorder="1" applyAlignment="1" applyProtection="1">
      <alignment horizontal="center" shrinkToFit="1"/>
    </xf>
    <xf numFmtId="3" fontId="18" fillId="0" borderId="14" xfId="0" applyNumberFormat="1" applyFont="1" applyBorder="1" applyAlignment="1" applyProtection="1">
      <alignment horizontal="center"/>
    </xf>
    <xf numFmtId="3" fontId="18" fillId="0" borderId="30" xfId="0" applyNumberFormat="1" applyFont="1" applyBorder="1" applyProtection="1"/>
    <xf numFmtId="3" fontId="18" fillId="0" borderId="17" xfId="0" applyNumberFormat="1" applyFont="1" applyBorder="1" applyAlignment="1" applyProtection="1">
      <alignment horizontal="center"/>
    </xf>
    <xf numFmtId="3" fontId="18" fillId="0" borderId="14" xfId="0" applyNumberFormat="1" applyFont="1" applyBorder="1" applyProtection="1"/>
    <xf numFmtId="0" fontId="18" fillId="0" borderId="13" xfId="0" applyFont="1" applyBorder="1" applyAlignment="1">
      <alignment horizontal="right" vertical="center" indent="1"/>
    </xf>
    <xf numFmtId="0" fontId="18" fillId="0" borderId="13" xfId="0" applyFont="1" applyBorder="1" applyAlignment="1">
      <alignment horizontal="right" vertical="center" indent="2"/>
    </xf>
    <xf numFmtId="3" fontId="18" fillId="0" borderId="2" xfId="0" applyNumberFormat="1" applyFont="1" applyBorder="1" applyAlignment="1" applyProtection="1">
      <alignment horizontal="center" vertical="center"/>
    </xf>
    <xf numFmtId="3" fontId="20" fillId="0" borderId="2" xfId="0" applyNumberFormat="1" applyFont="1" applyBorder="1" applyAlignment="1" applyProtection="1">
      <alignment horizontal="center" vertical="center"/>
    </xf>
    <xf numFmtId="0" fontId="21" fillId="0" borderId="50" xfId="0" applyFont="1" applyBorder="1"/>
    <xf numFmtId="0" fontId="21" fillId="0" borderId="51" xfId="0" applyFont="1" applyBorder="1"/>
    <xf numFmtId="3" fontId="18" fillId="0" borderId="9" xfId="0" applyNumberFormat="1" applyFont="1" applyBorder="1" applyAlignment="1" applyProtection="1">
      <alignment horizontal="center"/>
    </xf>
    <xf numFmtId="3" fontId="21" fillId="0" borderId="49" xfId="0" applyNumberFormat="1" applyFont="1" applyBorder="1" applyAlignment="1" applyProtection="1">
      <alignment horizontal="left" indent="1"/>
    </xf>
    <xf numFmtId="3" fontId="21" fillId="0" borderId="7" xfId="0" applyNumberFormat="1" applyFont="1" applyBorder="1" applyAlignment="1" applyProtection="1">
      <alignment horizontal="left" indent="1"/>
    </xf>
    <xf numFmtId="3" fontId="18" fillId="0" borderId="16" xfId="0" applyNumberFormat="1" applyFont="1" applyBorder="1" applyAlignment="1" applyProtection="1">
      <alignment horizontal="right"/>
    </xf>
    <xf numFmtId="3" fontId="21" fillId="0" borderId="41" xfId="0" applyNumberFormat="1" applyFont="1" applyBorder="1" applyProtection="1"/>
    <xf numFmtId="3" fontId="21" fillId="0" borderId="51" xfId="0" applyNumberFormat="1" applyFont="1" applyBorder="1" applyProtection="1"/>
    <xf numFmtId="3" fontId="15" fillId="0" borderId="9" xfId="0" applyNumberFormat="1" applyFont="1" applyBorder="1" applyAlignment="1" applyProtection="1">
      <alignment horizontal="center"/>
    </xf>
    <xf numFmtId="3" fontId="20" fillId="0" borderId="16" xfId="0" applyNumberFormat="1" applyFont="1" applyBorder="1" applyAlignment="1" applyProtection="1">
      <alignment horizontal="left" indent="2"/>
    </xf>
    <xf numFmtId="3" fontId="20" fillId="0" borderId="9" xfId="0" applyNumberFormat="1" applyFont="1" applyBorder="1" applyAlignment="1" applyProtection="1">
      <alignment horizontal="left" indent="2"/>
    </xf>
    <xf numFmtId="3" fontId="18" fillId="0" borderId="66" xfId="0" applyNumberFormat="1" applyFont="1" applyBorder="1" applyProtection="1"/>
    <xf numFmtId="3" fontId="18" fillId="0" borderId="10" xfId="0" applyNumberFormat="1" applyFont="1" applyBorder="1" applyAlignment="1" applyProtection="1">
      <alignment horizontal="left" indent="1"/>
    </xf>
    <xf numFmtId="3" fontId="33" fillId="0" borderId="0" xfId="0" applyNumberFormat="1" applyFont="1" applyAlignment="1" applyProtection="1">
      <alignment horizontal="left"/>
      <protection locked="0"/>
    </xf>
    <xf numFmtId="3" fontId="33" fillId="0" borderId="0" xfId="0" applyNumberFormat="1" applyFont="1" applyProtection="1"/>
    <xf numFmtId="0" fontId="21" fillId="0" borderId="49" xfId="0" applyFont="1" applyBorder="1" applyAlignment="1">
      <alignment vertical="center"/>
    </xf>
    <xf numFmtId="0" fontId="21" fillId="0" borderId="7" xfId="0" applyFont="1" applyBorder="1" applyAlignment="1">
      <alignment vertical="center"/>
    </xf>
    <xf numFmtId="0" fontId="21" fillId="0" borderId="16" xfId="0" applyFont="1" applyBorder="1" applyAlignment="1">
      <alignment vertical="center"/>
    </xf>
    <xf numFmtId="0" fontId="18" fillId="0" borderId="62" xfId="0" applyFont="1" applyBorder="1" applyAlignment="1">
      <alignment horizontal="right" vertical="center" indent="1"/>
    </xf>
    <xf numFmtId="3" fontId="18" fillId="0" borderId="56" xfId="0" applyNumberFormat="1" applyFont="1" applyBorder="1" applyProtection="1"/>
    <xf numFmtId="3" fontId="20" fillId="0" borderId="11" xfId="0" applyNumberFormat="1" applyFont="1" applyBorder="1" applyAlignment="1" applyProtection="1">
      <alignment horizontal="center" vertical="center"/>
    </xf>
    <xf numFmtId="204" fontId="18" fillId="0" borderId="11" xfId="0" applyNumberFormat="1" applyFont="1" applyBorder="1" applyAlignment="1" applyProtection="1">
      <alignment vertical="center"/>
    </xf>
    <xf numFmtId="195" fontId="18" fillId="0" borderId="7" xfId="0" applyNumberFormat="1" applyFont="1" applyBorder="1" applyAlignment="1" applyProtection="1">
      <alignment vertical="center"/>
      <protection locked="0"/>
    </xf>
    <xf numFmtId="195" fontId="18" fillId="0" borderId="16" xfId="0" applyNumberFormat="1" applyFont="1" applyBorder="1" applyAlignment="1" applyProtection="1">
      <alignment horizontal="center" vertical="center"/>
      <protection locked="0"/>
    </xf>
    <xf numFmtId="195" fontId="18" fillId="0" borderId="13" xfId="0" applyNumberFormat="1" applyFont="1" applyBorder="1" applyAlignment="1" applyProtection="1">
      <alignment vertical="center"/>
      <protection locked="0"/>
    </xf>
    <xf numFmtId="195" fontId="18" fillId="0" borderId="62" xfId="0" applyNumberFormat="1" applyFont="1" applyBorder="1" applyAlignment="1" applyProtection="1">
      <alignment horizontal="center" vertical="center"/>
      <protection locked="0"/>
    </xf>
    <xf numFmtId="195" fontId="18" fillId="0" borderId="43" xfId="0" applyNumberFormat="1" applyFont="1" applyBorder="1" applyAlignment="1" applyProtection="1">
      <alignment vertical="center"/>
      <protection locked="0"/>
    </xf>
    <xf numFmtId="195" fontId="18" fillId="0" borderId="44" xfId="0" applyNumberFormat="1" applyFont="1" applyBorder="1" applyAlignment="1" applyProtection="1">
      <alignment horizontal="center" vertical="center"/>
      <protection locked="0"/>
    </xf>
    <xf numFmtId="195" fontId="18" fillId="0" borderId="12" xfId="0" applyNumberFormat="1" applyFont="1" applyBorder="1" applyAlignment="1" applyProtection="1">
      <alignment vertical="center"/>
      <protection locked="0"/>
    </xf>
    <xf numFmtId="195" fontId="18" fillId="0" borderId="19" xfId="0" applyNumberFormat="1" applyFont="1" applyBorder="1" applyAlignment="1" applyProtection="1">
      <alignment horizontal="center" vertical="center"/>
      <protection locked="0"/>
    </xf>
    <xf numFmtId="3" fontId="18" fillId="0" borderId="9" xfId="0" applyNumberFormat="1" applyFont="1" applyBorder="1" applyAlignment="1" applyProtection="1">
      <alignment horizontal="centerContinuous" vertical="center"/>
    </xf>
    <xf numFmtId="3" fontId="18" fillId="0" borderId="6" xfId="0" applyNumberFormat="1" applyFont="1" applyBorder="1" applyAlignment="1" applyProtection="1">
      <alignment horizontal="centerContinuous" vertical="center"/>
    </xf>
    <xf numFmtId="3" fontId="18" fillId="0" borderId="64" xfId="0" applyNumberFormat="1" applyFont="1" applyBorder="1" applyProtection="1"/>
    <xf numFmtId="204" fontId="18" fillId="2" borderId="9" xfId="0" applyNumberFormat="1" applyFont="1" applyFill="1" applyBorder="1" applyAlignment="1" applyProtection="1">
      <alignment vertical="center"/>
    </xf>
    <xf numFmtId="204" fontId="18" fillId="0" borderId="6" xfId="0" applyNumberFormat="1" applyFont="1" applyBorder="1" applyAlignment="1" applyProtection="1">
      <alignment vertical="center"/>
    </xf>
    <xf numFmtId="204" fontId="18" fillId="0" borderId="9" xfId="0" applyNumberFormat="1" applyFont="1" applyBorder="1" applyAlignment="1" applyProtection="1">
      <alignment vertical="center"/>
    </xf>
    <xf numFmtId="0" fontId="19" fillId="0" borderId="0" xfId="0" applyFont="1" applyAlignment="1">
      <alignment horizontal="centerContinuous"/>
    </xf>
    <xf numFmtId="200" fontId="19" fillId="0" borderId="30" xfId="0" applyNumberFormat="1" applyFont="1" applyBorder="1"/>
    <xf numFmtId="200" fontId="19" fillId="0" borderId="26" xfId="0" applyNumberFormat="1" applyFont="1" applyBorder="1"/>
    <xf numFmtId="0" fontId="19" fillId="0" borderId="26" xfId="0" applyFont="1" applyBorder="1" applyAlignment="1">
      <alignment horizontal="left" indent="1"/>
    </xf>
    <xf numFmtId="0" fontId="19" fillId="0" borderId="26" xfId="0" applyFont="1" applyBorder="1"/>
    <xf numFmtId="0" fontId="19" fillId="0" borderId="67" xfId="0" applyFont="1" applyBorder="1"/>
    <xf numFmtId="200" fontId="19" fillId="0" borderId="38" xfId="0" applyNumberFormat="1" applyFont="1" applyBorder="1"/>
    <xf numFmtId="200" fontId="19" fillId="0" borderId="67" xfId="0" applyNumberFormat="1" applyFont="1" applyBorder="1"/>
    <xf numFmtId="0" fontId="19" fillId="0" borderId="67" xfId="0" applyFont="1" applyBorder="1" applyAlignment="1">
      <alignment horizontal="left" indent="2"/>
    </xf>
    <xf numFmtId="0" fontId="19" fillId="0" borderId="13" xfId="0" applyFont="1" applyBorder="1"/>
    <xf numFmtId="200" fontId="19" fillId="0" borderId="12" xfId="0" applyNumberFormat="1" applyFont="1" applyBorder="1"/>
    <xf numFmtId="200" fontId="19" fillId="0" borderId="13" xfId="0" applyNumberFormat="1" applyFont="1" applyBorder="1"/>
    <xf numFmtId="0" fontId="19" fillId="0" borderId="13" xfId="0" applyFont="1" applyBorder="1" applyAlignment="1">
      <alignment horizontal="left" indent="2"/>
    </xf>
    <xf numFmtId="200" fontId="15" fillId="0" borderId="14" xfId="0" applyNumberFormat="1" applyFont="1" applyBorder="1"/>
    <xf numFmtId="200" fontId="15" fillId="0" borderId="0" xfId="0" applyNumberFormat="1" applyFont="1"/>
    <xf numFmtId="0" fontId="15" fillId="0" borderId="0" xfId="0" applyFont="1" applyAlignment="1">
      <alignment horizontal="left" indent="2"/>
    </xf>
    <xf numFmtId="0" fontId="19" fillId="0" borderId="14" xfId="0" applyFont="1" applyBorder="1"/>
    <xf numFmtId="201" fontId="15" fillId="0" borderId="11" xfId="0" applyNumberFormat="1" applyFont="1" applyBorder="1"/>
    <xf numFmtId="201" fontId="15" fillId="0" borderId="6" xfId="0" applyNumberFormat="1" applyFont="1" applyBorder="1"/>
    <xf numFmtId="0" fontId="19" fillId="0" borderId="6" xfId="0" applyFont="1" applyBorder="1"/>
    <xf numFmtId="3" fontId="39" fillId="0" borderId="14" xfId="0" applyNumberFormat="1" applyFont="1" applyBorder="1"/>
    <xf numFmtId="3" fontId="39" fillId="0" borderId="0" xfId="0" applyNumberFormat="1" applyFont="1"/>
    <xf numFmtId="0" fontId="39" fillId="0" borderId="0" xfId="0" applyFont="1" applyAlignment="1">
      <alignment horizontal="left" indent="1"/>
    </xf>
    <xf numFmtId="3" fontId="15" fillId="0" borderId="0" xfId="0" applyNumberFormat="1" applyFont="1" applyAlignment="1">
      <alignment vertical="center"/>
    </xf>
    <xf numFmtId="0" fontId="19" fillId="0" borderId="38" xfId="0" applyFont="1" applyBorder="1"/>
    <xf numFmtId="0" fontId="19" fillId="0" borderId="6" xfId="0" applyFont="1" applyBorder="1" applyAlignment="1">
      <alignment horizontal="left" indent="1"/>
    </xf>
    <xf numFmtId="3" fontId="33" fillId="0" borderId="9" xfId="0" applyNumberFormat="1" applyFont="1" applyBorder="1" applyAlignment="1">
      <alignment horizontal="centerContinuous"/>
    </xf>
    <xf numFmtId="3" fontId="23" fillId="0" borderId="10" xfId="0" applyNumberFormat="1" applyFont="1" applyBorder="1" applyAlignment="1">
      <alignment horizontal="centerContinuous"/>
    </xf>
    <xf numFmtId="0" fontId="19" fillId="0" borderId="68" xfId="0" applyFont="1" applyBorder="1" applyAlignment="1">
      <alignment horizontal="centerContinuous"/>
    </xf>
    <xf numFmtId="0" fontId="19" fillId="0" borderId="40" xfId="0" applyFont="1" applyBorder="1"/>
    <xf numFmtId="0" fontId="19" fillId="0" borderId="69" xfId="0" applyFont="1" applyBorder="1"/>
    <xf numFmtId="0" fontId="19" fillId="0" borderId="70" xfId="0" applyFont="1" applyBorder="1"/>
    <xf numFmtId="0" fontId="19" fillId="0" borderId="7" xfId="0" applyFont="1" applyBorder="1"/>
    <xf numFmtId="0" fontId="19" fillId="0" borderId="68" xfId="0" applyFont="1" applyBorder="1"/>
    <xf numFmtId="0" fontId="19" fillId="0" borderId="1" xfId="0" applyFont="1" applyBorder="1"/>
    <xf numFmtId="0" fontId="19" fillId="0" borderId="26" xfId="0" applyFont="1" applyBorder="1" applyAlignment="1">
      <alignment horizontal="right" indent="1"/>
    </xf>
    <xf numFmtId="0" fontId="19" fillId="0" borderId="67" xfId="0" applyFont="1" applyBorder="1" applyAlignment="1">
      <alignment horizontal="right" indent="1"/>
    </xf>
    <xf numFmtId="0" fontId="19" fillId="0" borderId="13" xfId="0" applyFont="1" applyBorder="1" applyAlignment="1">
      <alignment horizontal="right" indent="1"/>
    </xf>
    <xf numFmtId="0" fontId="15" fillId="0" borderId="0" xfId="0" applyFont="1" applyAlignment="1">
      <alignment horizontal="right" indent="1"/>
    </xf>
    <xf numFmtId="0" fontId="19" fillId="0" borderId="6" xfId="0" applyFont="1" applyBorder="1" applyAlignment="1">
      <alignment horizontal="right" indent="1"/>
    </xf>
    <xf numFmtId="3" fontId="23" fillId="0" borderId="0" xfId="0" applyNumberFormat="1" applyFont="1" applyAlignment="1">
      <alignment horizontal="center" vertical="center"/>
    </xf>
    <xf numFmtId="0" fontId="15" fillId="0" borderId="9" xfId="0" applyFont="1" applyBorder="1" applyAlignment="1">
      <alignment horizontal="centerContinuous" vertical="center" wrapText="1"/>
    </xf>
    <xf numFmtId="3" fontId="12" fillId="0" borderId="11" xfId="0" applyNumberFormat="1" applyFont="1" applyBorder="1" applyAlignment="1">
      <alignment horizontal="center" vertical="center"/>
    </xf>
    <xf numFmtId="0" fontId="15" fillId="0" borderId="9" xfId="0" applyFont="1" applyBorder="1" applyAlignment="1">
      <alignment horizontal="centerContinuous" wrapText="1"/>
    </xf>
    <xf numFmtId="179" fontId="18" fillId="0" borderId="11" xfId="0" applyNumberFormat="1" applyFont="1" applyBorder="1" applyAlignment="1">
      <alignment horizontal="center" vertical="center" wrapText="1"/>
    </xf>
    <xf numFmtId="0" fontId="15" fillId="0" borderId="30" xfId="0" applyFont="1" applyBorder="1" applyAlignment="1">
      <alignment horizontal="center" vertical="center" wrapText="1"/>
    </xf>
    <xf numFmtId="166" fontId="36" fillId="0" borderId="15" xfId="6" applyNumberFormat="1" applyFont="1" applyFill="1" applyBorder="1" applyAlignment="1" applyProtection="1">
      <alignment horizontal="center"/>
    </xf>
    <xf numFmtId="166" fontId="36" fillId="0" borderId="23" xfId="6" applyNumberFormat="1" applyFont="1" applyFill="1" applyBorder="1" applyAlignment="1" applyProtection="1">
      <alignment horizontal="center"/>
    </xf>
    <xf numFmtId="166" fontId="36" fillId="0" borderId="17" xfId="6" applyNumberFormat="1" applyFont="1" applyFill="1" applyBorder="1" applyAlignment="1" applyProtection="1">
      <alignment horizontal="center"/>
    </xf>
    <xf numFmtId="166" fontId="36" fillId="0" borderId="34" xfId="6" applyNumberFormat="1" applyFont="1" applyFill="1" applyBorder="1" applyAlignment="1" applyProtection="1">
      <alignment horizontal="center"/>
    </xf>
    <xf numFmtId="3" fontId="24" fillId="0" borderId="0" xfId="0" applyNumberFormat="1" applyFont="1"/>
    <xf numFmtId="3" fontId="15" fillId="0" borderId="56" xfId="0" applyNumberFormat="1" applyFont="1" applyBorder="1" applyAlignment="1">
      <alignment horizontal="centerContinuous" vertical="center"/>
    </xf>
    <xf numFmtId="0" fontId="19" fillId="0" borderId="40" xfId="0" applyFont="1" applyBorder="1" applyAlignment="1">
      <alignment horizontal="centerContinuous" vertical="center"/>
    </xf>
    <xf numFmtId="0" fontId="19" fillId="0" borderId="1" xfId="0" applyFont="1" applyBorder="1" applyAlignment="1">
      <alignment horizontal="centerContinuous" vertical="center"/>
    </xf>
    <xf numFmtId="3" fontId="15" fillId="0" borderId="9" xfId="0" applyNumberFormat="1" applyFont="1" applyBorder="1" applyAlignment="1">
      <alignment horizontal="centerContinuous" vertical="center" wrapText="1"/>
    </xf>
    <xf numFmtId="166" fontId="19" fillId="2" borderId="18" xfId="0" applyNumberFormat="1" applyFont="1" applyFill="1" applyBorder="1" applyAlignment="1" applyProtection="1">
      <alignment horizontal="center" vertical="center"/>
      <protection locked="0"/>
    </xf>
    <xf numFmtId="166" fontId="19" fillId="2" borderId="12" xfId="0" applyNumberFormat="1" applyFont="1" applyFill="1" applyBorder="1" applyAlignment="1" applyProtection="1">
      <alignment horizontal="center" vertical="center"/>
      <protection locked="0"/>
    </xf>
    <xf numFmtId="166" fontId="19" fillId="2" borderId="19" xfId="0" applyNumberFormat="1" applyFont="1" applyFill="1" applyBorder="1" applyAlignment="1" applyProtection="1">
      <alignment horizontal="center" vertical="center"/>
      <protection locked="0"/>
    </xf>
    <xf numFmtId="4" fontId="36" fillId="0" borderId="15" xfId="0" applyNumberFormat="1" applyFont="1" applyBorder="1" applyAlignment="1" applyProtection="1">
      <alignment horizontal="center" vertical="center"/>
    </xf>
    <xf numFmtId="4" fontId="36" fillId="0" borderId="17" xfId="0" applyNumberFormat="1" applyFont="1" applyBorder="1" applyAlignment="1" applyProtection="1">
      <alignment horizontal="center" vertical="center"/>
    </xf>
    <xf numFmtId="4" fontId="36" fillId="0" borderId="18" xfId="0" applyNumberFormat="1" applyFont="1" applyBorder="1" applyAlignment="1" applyProtection="1">
      <alignment horizontal="center" vertical="center"/>
    </xf>
    <xf numFmtId="0" fontId="33" fillId="0" borderId="0" xfId="0" applyFont="1" applyProtection="1"/>
    <xf numFmtId="9" fontId="18" fillId="0" borderId="0" xfId="0" applyNumberFormat="1" applyFont="1"/>
    <xf numFmtId="3" fontId="41" fillId="0" borderId="0" xfId="0" applyNumberFormat="1" applyFont="1"/>
    <xf numFmtId="3" fontId="32" fillId="0" borderId="0" xfId="0" applyNumberFormat="1" applyFont="1" applyAlignment="1" applyProtection="1">
      <alignment horizontal="left"/>
      <protection locked="0"/>
    </xf>
    <xf numFmtId="3" fontId="32" fillId="0" borderId="0" xfId="0" applyNumberFormat="1" applyFont="1"/>
    <xf numFmtId="3" fontId="32" fillId="0" borderId="0" xfId="0" applyNumberFormat="1" applyFont="1" applyAlignment="1">
      <alignment horizontal="center"/>
    </xf>
    <xf numFmtId="195" fontId="32" fillId="0" borderId="15" xfId="0" applyNumberFormat="1" applyFont="1" applyBorder="1" applyAlignment="1">
      <alignment shrinkToFit="1"/>
    </xf>
    <xf numFmtId="3" fontId="32" fillId="0" borderId="0" xfId="0" applyNumberFormat="1" applyFont="1" applyAlignment="1">
      <alignment vertical="center"/>
    </xf>
    <xf numFmtId="3" fontId="20" fillId="0" borderId="11" xfId="0" applyNumberFormat="1" applyFont="1" applyBorder="1" applyAlignment="1">
      <alignment horizontal="center" vertical="center"/>
    </xf>
    <xf numFmtId="3" fontId="15" fillId="0" borderId="11" xfId="0" applyNumberFormat="1" applyFont="1" applyBorder="1" applyAlignment="1">
      <alignment horizontal="center" shrinkToFit="1"/>
    </xf>
    <xf numFmtId="3" fontId="20" fillId="0" borderId="18" xfId="0" applyNumberFormat="1" applyFont="1" applyBorder="1" applyAlignment="1">
      <alignment horizontal="left" indent="1"/>
    </xf>
    <xf numFmtId="3" fontId="36" fillId="0" borderId="12" xfId="0" applyNumberFormat="1" applyFont="1" applyBorder="1" applyAlignment="1">
      <alignment horizontal="left" indent="1"/>
    </xf>
    <xf numFmtId="3" fontId="20" fillId="0" borderId="12" xfId="0" applyNumberFormat="1" applyFont="1" applyBorder="1" applyAlignment="1">
      <alignment horizontal="left" indent="1"/>
    </xf>
    <xf numFmtId="3" fontId="20" fillId="0" borderId="11" xfId="0" applyNumberFormat="1" applyFont="1" applyBorder="1" applyAlignment="1">
      <alignment horizontal="left" vertical="center" indent="2"/>
    </xf>
    <xf numFmtId="204" fontId="42" fillId="0" borderId="11" xfId="0" applyNumberFormat="1" applyFont="1" applyBorder="1" applyAlignment="1">
      <alignment vertical="center" shrinkToFit="1"/>
    </xf>
    <xf numFmtId="1" fontId="33" fillId="0" borderId="0" xfId="0" applyNumberFormat="1" applyFont="1"/>
    <xf numFmtId="3" fontId="27" fillId="0" borderId="0" xfId="0" applyNumberFormat="1" applyFont="1"/>
    <xf numFmtId="200" fontId="18" fillId="0" borderId="18" xfId="0" applyNumberFormat="1" applyFont="1" applyBorder="1"/>
    <xf numFmtId="200" fontId="18" fillId="0" borderId="12" xfId="0" applyNumberFormat="1" applyFont="1" applyBorder="1"/>
    <xf numFmtId="200" fontId="18" fillId="0" borderId="38" xfId="0" applyNumberFormat="1" applyFont="1" applyBorder="1"/>
    <xf numFmtId="200" fontId="18" fillId="0" borderId="11" xfId="0" applyNumberFormat="1" applyFont="1" applyBorder="1"/>
    <xf numFmtId="3" fontId="18" fillId="0" borderId="39" xfId="0" applyNumberFormat="1" applyFont="1" applyBorder="1" applyAlignment="1">
      <alignment horizontal="center"/>
    </xf>
    <xf numFmtId="3" fontId="18" fillId="0" borderId="11" xfId="0" applyNumberFormat="1" applyFont="1" applyBorder="1" applyAlignment="1">
      <alignment horizontal="right"/>
    </xf>
    <xf numFmtId="200" fontId="18" fillId="0" borderId="19" xfId="0" applyNumberFormat="1" applyFont="1" applyBorder="1"/>
    <xf numFmtId="215" fontId="21" fillId="0" borderId="21" xfId="6" applyNumberFormat="1" applyFont="1" applyFill="1" applyBorder="1" applyAlignment="1"/>
    <xf numFmtId="215" fontId="21" fillId="0" borderId="71" xfId="6" applyNumberFormat="1" applyFont="1" applyFill="1" applyBorder="1" applyAlignment="1"/>
    <xf numFmtId="215" fontId="21" fillId="0" borderId="2" xfId="6" applyNumberFormat="1" applyFont="1" applyFill="1" applyBorder="1" applyAlignment="1"/>
    <xf numFmtId="215" fontId="21" fillId="0" borderId="50" xfId="6" applyNumberFormat="1" applyFont="1" applyFill="1" applyBorder="1" applyAlignment="1"/>
    <xf numFmtId="215" fontId="21" fillId="0" borderId="35" xfId="6" applyNumberFormat="1" applyFont="1" applyFill="1" applyBorder="1" applyAlignment="1"/>
    <xf numFmtId="215" fontId="21" fillId="0" borderId="60" xfId="6" applyNumberFormat="1" applyFont="1" applyFill="1" applyBorder="1" applyAlignment="1"/>
    <xf numFmtId="215" fontId="21" fillId="0" borderId="72" xfId="0" applyNumberFormat="1" applyFont="1" applyBorder="1"/>
    <xf numFmtId="215" fontId="18" fillId="0" borderId="11" xfId="0" applyNumberFormat="1" applyFont="1" applyBorder="1"/>
    <xf numFmtId="3" fontId="20" fillId="0" borderId="11" xfId="0" applyNumberFormat="1" applyFont="1" applyBorder="1" applyAlignment="1">
      <alignment horizontal="center" vertical="center" shrinkToFit="1"/>
    </xf>
    <xf numFmtId="3" fontId="20" fillId="0" borderId="37" xfId="0" applyNumberFormat="1" applyFont="1" applyBorder="1" applyAlignment="1">
      <alignment horizontal="center" vertical="center" shrinkToFit="1"/>
    </xf>
    <xf numFmtId="3" fontId="20" fillId="0" borderId="36" xfId="0" applyNumberFormat="1" applyFont="1" applyBorder="1" applyAlignment="1">
      <alignment horizontal="center" vertical="center" shrinkToFit="1"/>
    </xf>
    <xf numFmtId="3" fontId="20" fillId="0" borderId="72" xfId="0" applyNumberFormat="1" applyFont="1" applyBorder="1" applyAlignment="1">
      <alignment horizontal="center" vertical="center" shrinkToFit="1"/>
    </xf>
    <xf numFmtId="3" fontId="15" fillId="0" borderId="0" xfId="0" applyNumberFormat="1" applyFont="1" applyAlignment="1">
      <alignment vertical="center" shrinkToFit="1"/>
    </xf>
    <xf numFmtId="3" fontId="19" fillId="0" borderId="0" xfId="0" applyNumberFormat="1" applyFont="1" applyAlignment="1">
      <alignment vertical="center" shrinkToFit="1"/>
    </xf>
    <xf numFmtId="3" fontId="20" fillId="0" borderId="39" xfId="0" applyNumberFormat="1" applyFont="1" applyBorder="1" applyAlignment="1">
      <alignment horizontal="center" vertical="center" shrinkToFit="1"/>
    </xf>
    <xf numFmtId="3" fontId="36" fillId="0" borderId="0" xfId="0" applyNumberFormat="1" applyFont="1" applyAlignment="1">
      <alignment vertical="center" shrinkToFit="1"/>
    </xf>
    <xf numFmtId="3" fontId="20" fillId="0" borderId="11" xfId="0" applyNumberFormat="1" applyFont="1" applyBorder="1" applyAlignment="1">
      <alignment horizontal="centerContinuous" vertical="center" shrinkToFit="1"/>
    </xf>
    <xf numFmtId="3" fontId="20" fillId="0" borderId="0" xfId="0" applyNumberFormat="1" applyFont="1" applyAlignment="1">
      <alignment horizontal="center" vertical="center" shrinkToFit="1"/>
    </xf>
    <xf numFmtId="3" fontId="20" fillId="0" borderId="9" xfId="0" applyNumberFormat="1" applyFont="1" applyBorder="1" applyAlignment="1">
      <alignment horizontal="center" vertical="center" shrinkToFit="1"/>
    </xf>
    <xf numFmtId="3" fontId="23" fillId="0" borderId="0" xfId="0" applyNumberFormat="1" applyFont="1" applyAlignment="1" applyProtection="1">
      <alignment horizontal="left"/>
    </xf>
    <xf numFmtId="3" fontId="33" fillId="0" borderId="0" xfId="0" applyNumberFormat="1" applyFont="1" applyAlignment="1" applyProtection="1">
      <alignment horizontal="left"/>
    </xf>
    <xf numFmtId="0" fontId="15" fillId="0" borderId="73" xfId="0" applyFont="1" applyBorder="1" applyAlignment="1" applyProtection="1">
      <alignment horizontal="center" vertical="center"/>
    </xf>
    <xf numFmtId="0" fontId="15" fillId="0" borderId="0" xfId="0" applyFont="1" applyAlignment="1" applyProtection="1">
      <alignment horizontal="center" vertical="center"/>
    </xf>
    <xf numFmtId="192" fontId="15" fillId="0" borderId="74" xfId="0" applyNumberFormat="1" applyFont="1" applyBorder="1" applyAlignment="1" applyProtection="1">
      <alignment vertical="center"/>
    </xf>
    <xf numFmtId="189" fontId="15" fillId="0" borderId="50" xfId="0" applyNumberFormat="1" applyFont="1" applyBorder="1" applyAlignment="1" applyProtection="1">
      <alignment vertical="center"/>
    </xf>
    <xf numFmtId="190" fontId="15" fillId="0" borderId="23" xfId="0" applyNumberFormat="1" applyFont="1" applyBorder="1" applyAlignment="1" applyProtection="1">
      <alignment vertical="center"/>
    </xf>
    <xf numFmtId="189" fontId="15" fillId="0" borderId="75" xfId="0" applyNumberFormat="1" applyFont="1" applyBorder="1" applyAlignment="1" applyProtection="1">
      <alignment vertical="center"/>
    </xf>
    <xf numFmtId="0" fontId="15" fillId="0" borderId="9" xfId="0" applyFont="1" applyBorder="1" applyAlignment="1" applyProtection="1">
      <alignment horizontal="center" vertical="center"/>
    </xf>
    <xf numFmtId="0" fontId="15" fillId="0" borderId="6" xfId="0" applyFont="1" applyBorder="1" applyAlignment="1" applyProtection="1">
      <alignment horizontal="center" vertical="center"/>
    </xf>
    <xf numFmtId="0" fontId="15" fillId="0" borderId="76" xfId="0" applyFont="1" applyBorder="1" applyAlignment="1" applyProtection="1">
      <alignment horizontal="center" vertical="center"/>
    </xf>
    <xf numFmtId="1" fontId="15" fillId="0" borderId="9" xfId="0" applyNumberFormat="1" applyFont="1" applyBorder="1" applyAlignment="1" applyProtection="1">
      <alignment horizontal="centerContinuous" vertical="center"/>
    </xf>
    <xf numFmtId="0" fontId="15" fillId="0" borderId="25" xfId="0" applyFont="1" applyBorder="1" applyAlignment="1" applyProtection="1">
      <alignment horizontal="centerContinuous" vertical="center"/>
    </xf>
    <xf numFmtId="3" fontId="15" fillId="0" borderId="16" xfId="0" applyNumberFormat="1" applyFont="1" applyBorder="1" applyAlignment="1" applyProtection="1">
      <alignment horizontal="left" vertical="center" indent="1"/>
    </xf>
    <xf numFmtId="189" fontId="15" fillId="0" borderId="13" xfId="0" applyNumberFormat="1" applyFont="1" applyBorder="1" applyAlignment="1" applyProtection="1">
      <alignment vertical="center"/>
    </xf>
    <xf numFmtId="190" fontId="15" fillId="0" borderId="48" xfId="0" applyNumberFormat="1" applyFont="1" applyBorder="1" applyAlignment="1" applyProtection="1">
      <alignment vertical="center"/>
    </xf>
    <xf numFmtId="190" fontId="15" fillId="0" borderId="54" xfId="0" applyNumberFormat="1" applyFont="1" applyBorder="1" applyAlignment="1" applyProtection="1">
      <alignment vertical="center"/>
    </xf>
    <xf numFmtId="189" fontId="15" fillId="0" borderId="55" xfId="0" applyNumberFormat="1" applyFont="1" applyBorder="1" applyAlignment="1" applyProtection="1">
      <alignment vertical="center"/>
    </xf>
    <xf numFmtId="189" fontId="15" fillId="0" borderId="77" xfId="0" applyNumberFormat="1" applyFont="1" applyBorder="1" applyAlignment="1" applyProtection="1">
      <alignment vertical="center"/>
    </xf>
    <xf numFmtId="189" fontId="15" fillId="0" borderId="78" xfId="0" applyNumberFormat="1" applyFont="1" applyBorder="1" applyAlignment="1" applyProtection="1">
      <alignment vertical="center"/>
    </xf>
    <xf numFmtId="189" fontId="15" fillId="0" borderId="79" xfId="0" applyNumberFormat="1" applyFont="1" applyBorder="1" applyAlignment="1" applyProtection="1">
      <alignment vertical="center"/>
    </xf>
    <xf numFmtId="190" fontId="19" fillId="0" borderId="23" xfId="0" applyNumberFormat="1" applyFont="1" applyBorder="1" applyAlignment="1" applyProtection="1">
      <alignment vertical="center"/>
    </xf>
    <xf numFmtId="190" fontId="19" fillId="0" borderId="51" xfId="0" applyNumberFormat="1" applyFont="1" applyBorder="1" applyAlignment="1" applyProtection="1">
      <alignment vertical="center"/>
    </xf>
    <xf numFmtId="189" fontId="19" fillId="0" borderId="50" xfId="0" applyNumberFormat="1" applyFont="1" applyBorder="1" applyAlignment="1" applyProtection="1">
      <alignment vertical="center"/>
    </xf>
    <xf numFmtId="189" fontId="19" fillId="0" borderId="13" xfId="0" applyNumberFormat="1" applyFont="1" applyBorder="1" applyAlignment="1" applyProtection="1">
      <alignment vertical="center"/>
    </xf>
    <xf numFmtId="189" fontId="19" fillId="0" borderId="75" xfId="0" applyNumberFormat="1" applyFont="1" applyBorder="1" applyAlignment="1" applyProtection="1">
      <alignment vertical="center"/>
    </xf>
    <xf numFmtId="190" fontId="19" fillId="0" borderId="45" xfId="0" applyNumberFormat="1" applyFont="1" applyBorder="1" applyAlignment="1" applyProtection="1">
      <alignment vertical="center"/>
    </xf>
    <xf numFmtId="190" fontId="19" fillId="0" borderId="52" xfId="0" applyNumberFormat="1" applyFont="1" applyBorder="1" applyAlignment="1" applyProtection="1">
      <alignment vertical="center"/>
    </xf>
    <xf numFmtId="189" fontId="15" fillId="0" borderId="53" xfId="0" applyNumberFormat="1" applyFont="1" applyBorder="1" applyAlignment="1" applyProtection="1">
      <alignment vertical="center"/>
    </xf>
    <xf numFmtId="189" fontId="19" fillId="0" borderId="67" xfId="0" applyNumberFormat="1" applyFont="1" applyBorder="1" applyAlignment="1" applyProtection="1">
      <alignment vertical="center"/>
    </xf>
    <xf numFmtId="189" fontId="19" fillId="0" borderId="80" xfId="0" applyNumberFormat="1" applyFont="1" applyBorder="1" applyAlignment="1" applyProtection="1">
      <alignment vertical="center"/>
    </xf>
    <xf numFmtId="192" fontId="15" fillId="0" borderId="24" xfId="0" applyNumberFormat="1" applyFont="1" applyBorder="1" applyAlignment="1" applyProtection="1">
      <alignment vertical="center"/>
    </xf>
    <xf numFmtId="192" fontId="15" fillId="0" borderId="13" xfId="0" applyNumberFormat="1" applyFont="1" applyBorder="1" applyAlignment="1" applyProtection="1">
      <alignment vertical="center"/>
    </xf>
    <xf numFmtId="192" fontId="15" fillId="0" borderId="75" xfId="0" applyNumberFormat="1" applyFont="1" applyBorder="1" applyAlignment="1" applyProtection="1">
      <alignment vertical="center"/>
    </xf>
    <xf numFmtId="204" fontId="15" fillId="0" borderId="23" xfId="0" applyNumberFormat="1" applyFont="1" applyBorder="1" applyAlignment="1" applyProtection="1">
      <alignment vertical="center"/>
    </xf>
    <xf numFmtId="204" fontId="15" fillId="0" borderId="51" xfId="0" applyNumberFormat="1" applyFont="1" applyBorder="1" applyAlignment="1" applyProtection="1">
      <alignment vertical="center"/>
    </xf>
    <xf numFmtId="192" fontId="19" fillId="0" borderId="75" xfId="0" applyNumberFormat="1" applyFont="1" applyBorder="1" applyAlignment="1" applyProtection="1">
      <alignment vertical="center"/>
    </xf>
    <xf numFmtId="190" fontId="15" fillId="0" borderId="45" xfId="0" applyNumberFormat="1" applyFont="1" applyBorder="1" applyAlignment="1" applyProtection="1">
      <alignment vertical="center"/>
    </xf>
    <xf numFmtId="190" fontId="15" fillId="0" borderId="52" xfId="0" applyNumberFormat="1" applyFont="1" applyBorder="1" applyAlignment="1" applyProtection="1">
      <alignment vertical="center"/>
    </xf>
    <xf numFmtId="189" fontId="15" fillId="0" borderId="67" xfId="0" applyNumberFormat="1" applyFont="1" applyBorder="1" applyAlignment="1" applyProtection="1">
      <alignment vertical="center"/>
    </xf>
    <xf numFmtId="189" fontId="15" fillId="0" borderId="80" xfId="0" applyNumberFormat="1" applyFont="1" applyBorder="1" applyAlignment="1" applyProtection="1">
      <alignment vertical="center"/>
    </xf>
    <xf numFmtId="190" fontId="19" fillId="0" borderId="20" xfId="0" applyNumberFormat="1" applyFont="1" applyBorder="1" applyAlignment="1" applyProtection="1">
      <alignment vertical="center"/>
    </xf>
    <xf numFmtId="190" fontId="19" fillId="0" borderId="41" xfId="0" applyNumberFormat="1" applyFont="1" applyBorder="1" applyAlignment="1" applyProtection="1">
      <alignment vertical="center"/>
    </xf>
    <xf numFmtId="189" fontId="19" fillId="0" borderId="71" xfId="0" applyNumberFormat="1" applyFont="1" applyBorder="1" applyAlignment="1" applyProtection="1">
      <alignment vertical="center"/>
    </xf>
    <xf numFmtId="189" fontId="19" fillId="0" borderId="61" xfId="0" applyNumberFormat="1" applyFont="1" applyBorder="1" applyAlignment="1" applyProtection="1">
      <alignment vertical="center"/>
    </xf>
    <xf numFmtId="189" fontId="19" fillId="0" borderId="81" xfId="0" applyNumberFormat="1" applyFont="1" applyBorder="1" applyAlignment="1" applyProtection="1">
      <alignment vertical="center"/>
    </xf>
    <xf numFmtId="190" fontId="15" fillId="0" borderId="34" xfId="0" applyNumberFormat="1" applyFont="1" applyBorder="1" applyAlignment="1" applyProtection="1">
      <alignment vertical="center"/>
    </xf>
    <xf numFmtId="190" fontId="15" fillId="0" borderId="63" xfId="0" applyNumberFormat="1" applyFont="1" applyBorder="1" applyAlignment="1" applyProtection="1">
      <alignment vertical="center"/>
    </xf>
    <xf numFmtId="189" fontId="15" fillId="0" borderId="60" xfId="0" applyNumberFormat="1" applyFont="1" applyBorder="1" applyAlignment="1" applyProtection="1">
      <alignment vertical="center"/>
    </xf>
    <xf numFmtId="189" fontId="15" fillId="0" borderId="62" xfId="0" applyNumberFormat="1" applyFont="1" applyBorder="1" applyAlignment="1" applyProtection="1">
      <alignment vertical="center"/>
    </xf>
    <xf numFmtId="189" fontId="15" fillId="0" borderId="82" xfId="0" applyNumberFormat="1" applyFont="1" applyBorder="1" applyAlignment="1" applyProtection="1">
      <alignment vertical="center"/>
    </xf>
    <xf numFmtId="190" fontId="15" fillId="0" borderId="33" xfId="0" applyNumberFormat="1" applyFont="1" applyBorder="1" applyAlignment="1" applyProtection="1">
      <alignment vertical="center"/>
    </xf>
    <xf numFmtId="190" fontId="15" fillId="0" borderId="58" xfId="0" applyNumberFormat="1" applyFont="1" applyBorder="1" applyAlignment="1" applyProtection="1">
      <alignment vertical="center"/>
    </xf>
    <xf numFmtId="189" fontId="15" fillId="0" borderId="59" xfId="0" applyNumberFormat="1" applyFont="1" applyBorder="1" applyAlignment="1" applyProtection="1">
      <alignment vertical="center"/>
    </xf>
    <xf numFmtId="189" fontId="15" fillId="0" borderId="0" xfId="0" applyNumberFormat="1" applyFont="1" applyAlignment="1" applyProtection="1">
      <alignment vertical="center"/>
    </xf>
    <xf numFmtId="189" fontId="15" fillId="0" borderId="83" xfId="0" applyNumberFormat="1" applyFont="1" applyBorder="1" applyAlignment="1" applyProtection="1">
      <alignment vertical="center"/>
    </xf>
    <xf numFmtId="191" fontId="15" fillId="0" borderId="48" xfId="0" applyNumberFormat="1" applyFont="1" applyBorder="1" applyAlignment="1" applyProtection="1">
      <alignment vertical="center"/>
    </xf>
    <xf numFmtId="192" fontId="15" fillId="0" borderId="5" xfId="0" applyNumberFormat="1" applyFont="1" applyBorder="1" applyAlignment="1" applyProtection="1">
      <alignment vertical="center"/>
    </xf>
    <xf numFmtId="191" fontId="15" fillId="0" borderId="54" xfId="0" applyNumberFormat="1" applyFont="1" applyBorder="1" applyAlignment="1" applyProtection="1">
      <alignment vertical="center"/>
    </xf>
    <xf numFmtId="192" fontId="15" fillId="0" borderId="77" xfId="0" applyNumberFormat="1" applyFont="1" applyBorder="1" applyAlignment="1" applyProtection="1">
      <alignment vertical="center"/>
    </xf>
    <xf numFmtId="192" fontId="15" fillId="0" borderId="78" xfId="0" applyNumberFormat="1" applyFont="1" applyBorder="1" applyAlignment="1" applyProtection="1">
      <alignment vertical="center"/>
    </xf>
    <xf numFmtId="192" fontId="15" fillId="0" borderId="25" xfId="0" applyNumberFormat="1" applyFont="1" applyBorder="1" applyAlignment="1" applyProtection="1">
      <alignment vertical="center"/>
    </xf>
    <xf numFmtId="192" fontId="15" fillId="0" borderId="6" xfId="0" applyNumberFormat="1" applyFont="1" applyBorder="1" applyAlignment="1" applyProtection="1">
      <alignment vertical="center"/>
    </xf>
    <xf numFmtId="192" fontId="15" fillId="0" borderId="76" xfId="0" applyNumberFormat="1" applyFont="1" applyBorder="1" applyAlignment="1" applyProtection="1">
      <alignment vertical="center"/>
    </xf>
    <xf numFmtId="191" fontId="19" fillId="0" borderId="45" xfId="0" applyNumberFormat="1" applyFont="1" applyBorder="1" applyAlignment="1" applyProtection="1">
      <alignment vertical="center"/>
    </xf>
    <xf numFmtId="192" fontId="19" fillId="0" borderId="47" xfId="0" applyNumberFormat="1" applyFont="1" applyBorder="1" applyAlignment="1" applyProtection="1">
      <alignment vertical="center"/>
    </xf>
    <xf numFmtId="191" fontId="19" fillId="0" borderId="52" xfId="0" applyNumberFormat="1" applyFont="1" applyBorder="1" applyAlignment="1" applyProtection="1">
      <alignment vertical="center"/>
    </xf>
    <xf numFmtId="192" fontId="19" fillId="0" borderId="67" xfId="0" applyNumberFormat="1" applyFont="1" applyBorder="1" applyAlignment="1" applyProtection="1">
      <alignment vertical="center"/>
    </xf>
    <xf numFmtId="192" fontId="19" fillId="0" borderId="80" xfId="0" applyNumberFormat="1" applyFont="1" applyBorder="1" applyAlignment="1" applyProtection="1">
      <alignment vertical="center"/>
    </xf>
    <xf numFmtId="219" fontId="15" fillId="0" borderId="37" xfId="0" applyNumberFormat="1" applyFont="1" applyBorder="1" applyAlignment="1" applyProtection="1">
      <alignment vertical="center"/>
    </xf>
    <xf numFmtId="219" fontId="15" fillId="0" borderId="39" xfId="0" applyNumberFormat="1" applyFont="1" applyBorder="1" applyAlignment="1" applyProtection="1">
      <alignment vertical="center"/>
    </xf>
    <xf numFmtId="210" fontId="33" fillId="0" borderId="0" xfId="0" applyNumberFormat="1" applyFont="1" applyAlignment="1" applyProtection="1">
      <alignment horizontal="center"/>
    </xf>
    <xf numFmtId="210" fontId="33" fillId="0" borderId="0" xfId="0" applyNumberFormat="1" applyFont="1" applyAlignment="1">
      <alignment horizontal="center"/>
    </xf>
    <xf numFmtId="220" fontId="33" fillId="0" borderId="0" xfId="0" applyNumberFormat="1" applyFont="1" applyAlignment="1" applyProtection="1">
      <alignment horizontal="center"/>
    </xf>
    <xf numFmtId="220" fontId="33" fillId="0" borderId="0" xfId="0" applyNumberFormat="1" applyFont="1" applyProtection="1"/>
    <xf numFmtId="208" fontId="18" fillId="0" borderId="9" xfId="0" applyNumberFormat="1" applyFont="1" applyBorder="1" applyAlignment="1">
      <alignment horizontal="center" vertical="center"/>
    </xf>
    <xf numFmtId="208" fontId="18" fillId="0" borderId="11" xfId="0" applyNumberFormat="1" applyFont="1" applyBorder="1" applyAlignment="1">
      <alignment horizontal="center" vertical="center"/>
    </xf>
    <xf numFmtId="208" fontId="18" fillId="0" borderId="6" xfId="0" applyNumberFormat="1" applyFont="1" applyBorder="1" applyAlignment="1">
      <alignment horizontal="center" vertical="center"/>
    </xf>
    <xf numFmtId="208" fontId="18" fillId="0" borderId="1" xfId="0" applyNumberFormat="1" applyFont="1" applyBorder="1" applyAlignment="1">
      <alignment horizontal="center" vertical="center"/>
    </xf>
    <xf numFmtId="3" fontId="19" fillId="0" borderId="7" xfId="0" applyNumberFormat="1" applyFont="1" applyBorder="1" applyAlignment="1" applyProtection="1">
      <alignment horizontal="left" vertical="center" indent="1"/>
    </xf>
    <xf numFmtId="3" fontId="15" fillId="0" borderId="10" xfId="0" applyNumberFormat="1" applyFont="1" applyBorder="1" applyAlignment="1" applyProtection="1">
      <alignment horizontal="left" vertical="center" indent="1"/>
    </xf>
    <xf numFmtId="3" fontId="15" fillId="0" borderId="8" xfId="0" applyNumberFormat="1" applyFont="1" applyBorder="1" applyAlignment="1" applyProtection="1">
      <alignment horizontal="left" vertical="center" indent="1"/>
    </xf>
    <xf numFmtId="3" fontId="15" fillId="0" borderId="69" xfId="0" applyNumberFormat="1" applyFont="1" applyBorder="1" applyAlignment="1" applyProtection="1">
      <alignment horizontal="left" vertical="center" indent="1"/>
    </xf>
    <xf numFmtId="3" fontId="15" fillId="0" borderId="9" xfId="0" applyNumberFormat="1" applyFont="1" applyBorder="1" applyAlignment="1" applyProtection="1">
      <alignment horizontal="left" vertical="center" indent="1"/>
    </xf>
    <xf numFmtId="0" fontId="15" fillId="0" borderId="8" xfId="0" applyFont="1" applyBorder="1" applyAlignment="1" applyProtection="1">
      <alignment horizontal="left" vertical="center" indent="1"/>
    </xf>
    <xf numFmtId="0" fontId="19" fillId="0" borderId="69" xfId="0" applyFont="1" applyBorder="1" applyAlignment="1" applyProtection="1">
      <alignment horizontal="left" vertical="center" indent="1"/>
    </xf>
    <xf numFmtId="205" fontId="19" fillId="0" borderId="0" xfId="0" applyNumberFormat="1" applyFont="1"/>
    <xf numFmtId="0" fontId="15" fillId="0" borderId="11" xfId="0" applyFont="1" applyBorder="1" applyAlignment="1">
      <alignment horizontal="center"/>
    </xf>
    <xf numFmtId="0" fontId="19" fillId="0" borderId="9" xfId="0" applyFont="1" applyBorder="1" applyAlignment="1">
      <alignment horizontal="left" indent="1"/>
    </xf>
    <xf numFmtId="205" fontId="19" fillId="0" borderId="37" xfId="0" applyNumberFormat="1" applyFont="1" applyBorder="1" applyAlignment="1">
      <alignment horizontal="center"/>
    </xf>
    <xf numFmtId="205" fontId="19" fillId="0" borderId="36" xfId="0" applyNumberFormat="1" applyFont="1" applyBorder="1" applyAlignment="1">
      <alignment horizontal="center"/>
    </xf>
    <xf numFmtId="205" fontId="19" fillId="0" borderId="25" xfId="0" applyNumberFormat="1" applyFont="1" applyBorder="1" applyAlignment="1">
      <alignment horizontal="center"/>
    </xf>
    <xf numFmtId="208" fontId="24" fillId="0" borderId="0" xfId="0" applyNumberFormat="1" applyFont="1" applyAlignment="1">
      <alignment horizontal="center"/>
    </xf>
    <xf numFmtId="0" fontId="24" fillId="0" borderId="0" xfId="0" applyFont="1"/>
    <xf numFmtId="3" fontId="41" fillId="0" borderId="0" xfId="0" applyNumberFormat="1" applyFont="1" applyProtection="1"/>
    <xf numFmtId="181" fontId="21" fillId="0" borderId="15" xfId="6" applyNumberFormat="1" applyFont="1" applyFill="1" applyBorder="1" applyAlignment="1" applyProtection="1">
      <alignment horizontal="center"/>
    </xf>
    <xf numFmtId="181" fontId="21" fillId="2" borderId="15" xfId="6" applyNumberFormat="1" applyFont="1" applyFill="1" applyBorder="1" applyAlignment="1" applyProtection="1">
      <alignment horizontal="center"/>
      <protection locked="0"/>
    </xf>
    <xf numFmtId="3" fontId="23" fillId="0" borderId="0" xfId="0" applyNumberFormat="1" applyFont="1" applyAlignment="1" applyProtection="1">
      <alignment horizontal="center"/>
    </xf>
    <xf numFmtId="3" fontId="32" fillId="0" borderId="0" xfId="0" applyNumberFormat="1" applyFont="1" applyAlignment="1" applyProtection="1">
      <alignment horizontal="left"/>
    </xf>
    <xf numFmtId="3" fontId="27" fillId="0" borderId="0" xfId="0" applyNumberFormat="1" applyFont="1" applyAlignment="1" applyProtection="1">
      <alignment horizontal="center"/>
    </xf>
    <xf numFmtId="0" fontId="43" fillId="0" borderId="0" xfId="0" applyFont="1" applyProtection="1"/>
    <xf numFmtId="3" fontId="32" fillId="0" borderId="0" xfId="0" applyNumberFormat="1" applyFont="1" applyProtection="1"/>
    <xf numFmtId="9" fontId="32" fillId="0" borderId="15" xfId="6" applyFont="1" applyBorder="1" applyAlignment="1" applyProtection="1">
      <alignment horizontal="center"/>
    </xf>
    <xf numFmtId="181" fontId="21" fillId="0" borderId="17" xfId="6" applyNumberFormat="1" applyFont="1" applyFill="1" applyBorder="1" applyAlignment="1" applyProtection="1">
      <alignment horizontal="center"/>
    </xf>
    <xf numFmtId="181" fontId="21" fillId="2" borderId="17" xfId="6" applyNumberFormat="1" applyFont="1" applyFill="1" applyBorder="1" applyAlignment="1" applyProtection="1">
      <alignment horizontal="center"/>
      <protection locked="0"/>
    </xf>
    <xf numFmtId="9" fontId="32" fillId="0" borderId="17" xfId="6" applyFont="1" applyBorder="1" applyAlignment="1" applyProtection="1">
      <alignment horizontal="center"/>
    </xf>
    <xf numFmtId="3" fontId="32" fillId="0" borderId="1" xfId="0" applyNumberFormat="1" applyFont="1" applyBorder="1" applyAlignment="1" applyProtection="1">
      <alignment horizontal="center" vertical="center"/>
    </xf>
    <xf numFmtId="172" fontId="32" fillId="0" borderId="1" xfId="0" applyNumberFormat="1" applyFont="1" applyBorder="1" applyAlignment="1" applyProtection="1">
      <alignment horizontal="center" vertical="center"/>
    </xf>
    <xf numFmtId="0" fontId="18" fillId="0" borderId="11" xfId="0" applyFont="1" applyBorder="1" applyAlignment="1">
      <alignment horizontal="center" vertical="center" wrapText="1"/>
    </xf>
    <xf numFmtId="200" fontId="21" fillId="0" borderId="57" xfId="0" applyNumberFormat="1" applyFont="1" applyBorder="1"/>
    <xf numFmtId="200" fontId="21" fillId="2" borderId="15" xfId="0" applyNumberFormat="1" applyFont="1" applyFill="1" applyBorder="1" applyProtection="1">
      <protection locked="0"/>
    </xf>
    <xf numFmtId="200" fontId="21" fillId="0" borderId="17" xfId="0" applyNumberFormat="1" applyFont="1" applyBorder="1"/>
    <xf numFmtId="0" fontId="25" fillId="0" borderId="0" xfId="0" applyFont="1" applyProtection="1"/>
    <xf numFmtId="3" fontId="25" fillId="0" borderId="0" xfId="0" applyNumberFormat="1" applyFont="1" applyAlignment="1" applyProtection="1">
      <alignment horizontal="right"/>
    </xf>
    <xf numFmtId="213" fontId="21" fillId="0" borderId="41" xfId="0" applyNumberFormat="1" applyFont="1" applyBorder="1"/>
    <xf numFmtId="213" fontId="21" fillId="0" borderId="21" xfId="0" applyNumberFormat="1" applyFont="1" applyBorder="1"/>
    <xf numFmtId="213" fontId="21" fillId="0" borderId="51" xfId="0" applyNumberFormat="1" applyFont="1" applyBorder="1"/>
    <xf numFmtId="213" fontId="21" fillId="0" borderId="63" xfId="0" applyNumberFormat="1" applyFont="1" applyBorder="1"/>
    <xf numFmtId="213" fontId="21" fillId="0" borderId="35" xfId="0" applyNumberFormat="1" applyFont="1" applyBorder="1"/>
    <xf numFmtId="213" fontId="21" fillId="0" borderId="52" xfId="0" applyNumberFormat="1" applyFont="1" applyBorder="1"/>
    <xf numFmtId="213" fontId="21" fillId="0" borderId="46" xfId="0" applyNumberFormat="1" applyFont="1" applyBorder="1"/>
    <xf numFmtId="213" fontId="21" fillId="0" borderId="39" xfId="0" applyNumberFormat="1" applyFont="1" applyBorder="1"/>
    <xf numFmtId="213" fontId="21" fillId="0" borderId="25" xfId="0" applyNumberFormat="1" applyFont="1" applyBorder="1"/>
    <xf numFmtId="221" fontId="21" fillId="0" borderId="18" xfId="6" applyNumberFormat="1" applyFont="1" applyFill="1" applyBorder="1" applyAlignment="1"/>
    <xf numFmtId="221" fontId="21" fillId="0" borderId="12" xfId="6" applyNumberFormat="1" applyFont="1" applyFill="1" applyBorder="1" applyAlignment="1"/>
    <xf numFmtId="221" fontId="21" fillId="0" borderId="19" xfId="6" applyNumberFormat="1" applyFont="1" applyFill="1" applyBorder="1" applyAlignment="1"/>
    <xf numFmtId="222" fontId="21" fillId="0" borderId="18" xfId="6" applyNumberFormat="1" applyFont="1" applyFill="1" applyBorder="1" applyAlignment="1"/>
    <xf numFmtId="222" fontId="21" fillId="0" borderId="12" xfId="6" applyNumberFormat="1" applyFont="1" applyFill="1" applyBorder="1" applyAlignment="1"/>
    <xf numFmtId="222" fontId="21" fillId="0" borderId="19" xfId="6" applyNumberFormat="1" applyFont="1" applyFill="1" applyBorder="1" applyAlignment="1"/>
    <xf numFmtId="206" fontId="21" fillId="0" borderId="41" xfId="0" applyNumberFormat="1" applyFont="1" applyBorder="1" applyProtection="1"/>
    <xf numFmtId="206" fontId="21" fillId="0" borderId="21" xfId="0" applyNumberFormat="1" applyFont="1" applyBorder="1" applyProtection="1"/>
    <xf numFmtId="206" fontId="18" fillId="0" borderId="18" xfId="0" applyNumberFormat="1" applyFont="1" applyBorder="1"/>
    <xf numFmtId="206" fontId="21" fillId="0" borderId="51" xfId="0" applyNumberFormat="1" applyFont="1" applyBorder="1" applyProtection="1"/>
    <xf numFmtId="206" fontId="21" fillId="0" borderId="2" xfId="0" applyNumberFormat="1" applyFont="1" applyBorder="1" applyProtection="1"/>
    <xf numFmtId="206" fontId="18" fillId="0" borderId="12" xfId="0" applyNumberFormat="1" applyFont="1" applyBorder="1"/>
    <xf numFmtId="206" fontId="21" fillId="0" borderId="63" xfId="0" applyNumberFormat="1" applyFont="1" applyBorder="1" applyProtection="1"/>
    <xf numFmtId="206" fontId="21" fillId="0" borderId="35" xfId="0" applyNumberFormat="1" applyFont="1" applyBorder="1" applyProtection="1"/>
    <xf numFmtId="206" fontId="18" fillId="0" borderId="19" xfId="0" applyNumberFormat="1" applyFont="1" applyBorder="1"/>
    <xf numFmtId="206" fontId="21" fillId="0" borderId="41" xfId="0" applyNumberFormat="1" applyFont="1" applyBorder="1"/>
    <xf numFmtId="206" fontId="21" fillId="0" borderId="21" xfId="0" applyNumberFormat="1" applyFont="1" applyBorder="1"/>
    <xf numFmtId="206" fontId="21" fillId="0" borderId="51" xfId="0" applyNumberFormat="1" applyFont="1" applyBorder="1"/>
    <xf numFmtId="206" fontId="21" fillId="0" borderId="2" xfId="0" applyNumberFormat="1" applyFont="1" applyBorder="1"/>
    <xf numFmtId="206" fontId="21" fillId="0" borderId="52" xfId="0" applyNumberFormat="1" applyFont="1" applyBorder="1"/>
    <xf numFmtId="206" fontId="21" fillId="0" borderId="46" xfId="0" applyNumberFormat="1" applyFont="1" applyBorder="1"/>
    <xf numFmtId="206" fontId="18" fillId="0" borderId="38" xfId="0" applyNumberFormat="1" applyFont="1" applyBorder="1"/>
    <xf numFmtId="206" fontId="18" fillId="0" borderId="11" xfId="0" applyNumberFormat="1" applyFont="1" applyBorder="1"/>
    <xf numFmtId="206" fontId="21" fillId="0" borderId="37" xfId="0" applyNumberFormat="1" applyFont="1" applyBorder="1"/>
    <xf numFmtId="206" fontId="21" fillId="0" borderId="36" xfId="0" applyNumberFormat="1" applyFont="1" applyBorder="1"/>
    <xf numFmtId="206" fontId="21" fillId="0" borderId="72" xfId="0" applyNumberFormat="1" applyFont="1" applyBorder="1"/>
    <xf numFmtId="206" fontId="21" fillId="0" borderId="71" xfId="0" applyNumberFormat="1" applyFont="1" applyBorder="1"/>
    <xf numFmtId="206" fontId="21" fillId="0" borderId="50" xfId="0" applyNumberFormat="1" applyFont="1" applyBorder="1"/>
    <xf numFmtId="206" fontId="21" fillId="0" borderId="53" xfId="0" applyNumberFormat="1" applyFont="1" applyBorder="1"/>
    <xf numFmtId="206" fontId="21" fillId="0" borderId="71" xfId="0" applyNumberFormat="1" applyFont="1" applyBorder="1" applyProtection="1"/>
    <xf numFmtId="206" fontId="21" fillId="0" borderId="50" xfId="0" applyNumberFormat="1" applyFont="1" applyBorder="1" applyProtection="1"/>
    <xf numFmtId="206" fontId="21" fillId="0" borderId="60" xfId="0" applyNumberFormat="1" applyFont="1" applyBorder="1" applyProtection="1"/>
    <xf numFmtId="223" fontId="32" fillId="0" borderId="15" xfId="0" applyNumberFormat="1" applyFont="1" applyBorder="1" applyAlignment="1">
      <alignment shrinkToFit="1"/>
    </xf>
    <xf numFmtId="223" fontId="41" fillId="0" borderId="15" xfId="0" applyNumberFormat="1" applyFont="1" applyBorder="1" applyAlignment="1">
      <alignment shrinkToFit="1"/>
    </xf>
    <xf numFmtId="223" fontId="42" fillId="0" borderId="15" xfId="0" applyNumberFormat="1" applyFont="1" applyBorder="1" applyAlignment="1">
      <alignment shrinkToFit="1"/>
    </xf>
    <xf numFmtId="224" fontId="41" fillId="0" borderId="15" xfId="0" applyNumberFormat="1" applyFont="1" applyBorder="1" applyAlignment="1">
      <alignment shrinkToFit="1"/>
    </xf>
    <xf numFmtId="224" fontId="42" fillId="0" borderId="15" xfId="0" applyNumberFormat="1" applyFont="1" applyBorder="1" applyAlignment="1">
      <alignment shrinkToFit="1"/>
    </xf>
    <xf numFmtId="224" fontId="41" fillId="0" borderId="15" xfId="0" applyNumberFormat="1" applyFont="1" applyBorder="1" applyAlignment="1" applyProtection="1">
      <alignment shrinkToFit="1"/>
      <protection locked="0"/>
    </xf>
    <xf numFmtId="225" fontId="42" fillId="0" borderId="11" xfId="0" applyNumberFormat="1" applyFont="1" applyBorder="1" applyAlignment="1">
      <alignment vertical="center" shrinkToFit="1"/>
    </xf>
    <xf numFmtId="227" fontId="21" fillId="0" borderId="21" xfId="0" applyNumberFormat="1" applyFont="1" applyBorder="1" applyProtection="1">
      <protection locked="0"/>
    </xf>
    <xf numFmtId="227" fontId="21" fillId="0" borderId="71" xfId="0" applyNumberFormat="1" applyFont="1" applyBorder="1" applyProtection="1">
      <protection locked="0"/>
    </xf>
    <xf numFmtId="206" fontId="18" fillId="0" borderId="17" xfId="0" applyNumberFormat="1" applyFont="1" applyBorder="1"/>
    <xf numFmtId="206" fontId="21" fillId="0" borderId="18" xfId="0" applyNumberFormat="1" applyFont="1" applyBorder="1"/>
    <xf numFmtId="206" fontId="21" fillId="0" borderId="12" xfId="0" applyNumberFormat="1" applyFont="1" applyBorder="1"/>
    <xf numFmtId="227" fontId="21" fillId="0" borderId="20" xfId="0" applyNumberFormat="1" applyFont="1" applyBorder="1" applyProtection="1">
      <protection locked="0"/>
    </xf>
    <xf numFmtId="206" fontId="21" fillId="0" borderId="19" xfId="0" applyNumberFormat="1" applyFont="1" applyBorder="1" applyProtection="1"/>
    <xf numFmtId="206" fontId="18" fillId="0" borderId="17" xfId="0" applyNumberFormat="1" applyFont="1" applyBorder="1" applyProtection="1"/>
    <xf numFmtId="229" fontId="36" fillId="0" borderId="63" xfId="0" applyNumberFormat="1" applyFont="1" applyBorder="1" applyProtection="1"/>
    <xf numFmtId="229" fontId="36" fillId="0" borderId="62" xfId="0" applyNumberFormat="1" applyFont="1" applyBorder="1" applyProtection="1"/>
    <xf numFmtId="229" fontId="36" fillId="0" borderId="19" xfId="0" applyNumberFormat="1" applyFont="1" applyBorder="1" applyProtection="1"/>
    <xf numFmtId="229" fontId="36" fillId="0" borderId="65" xfId="0" applyNumberFormat="1" applyFont="1" applyBorder="1" applyProtection="1"/>
    <xf numFmtId="229" fontId="36" fillId="0" borderId="64" xfId="0" applyNumberFormat="1" applyFont="1" applyBorder="1" applyProtection="1"/>
    <xf numFmtId="229" fontId="36" fillId="0" borderId="39" xfId="0" applyNumberFormat="1" applyFont="1" applyBorder="1" applyProtection="1"/>
    <xf numFmtId="229" fontId="36" fillId="0" borderId="6" xfId="0" applyNumberFormat="1" applyFont="1" applyBorder="1" applyProtection="1"/>
    <xf numFmtId="229" fontId="36" fillId="0" borderId="11" xfId="0" applyNumberFormat="1" applyFont="1" applyBorder="1" applyProtection="1"/>
    <xf numFmtId="168" fontId="18" fillId="0" borderId="0" xfId="0" applyNumberFormat="1" applyFont="1" applyProtection="1"/>
    <xf numFmtId="168" fontId="36" fillId="0" borderId="30" xfId="0" applyNumberFormat="1" applyFont="1" applyBorder="1" applyProtection="1"/>
    <xf numFmtId="3" fontId="42" fillId="0" borderId="0" xfId="0" applyNumberFormat="1" applyFont="1" applyAlignment="1">
      <alignment horizontal="center"/>
    </xf>
    <xf numFmtId="167" fontId="15" fillId="0" borderId="0" xfId="0" applyNumberFormat="1" applyFont="1" applyAlignment="1">
      <alignment horizontal="centerContinuous"/>
    </xf>
    <xf numFmtId="167" fontId="18" fillId="0" borderId="0" xfId="0" applyNumberFormat="1" applyFont="1" applyAlignment="1">
      <alignment horizontal="left"/>
    </xf>
    <xf numFmtId="3" fontId="18" fillId="0" borderId="0" xfId="0" quotePrefix="1" applyNumberFormat="1" applyFont="1"/>
    <xf numFmtId="167" fontId="21" fillId="0" borderId="0" xfId="0" applyNumberFormat="1" applyFont="1"/>
    <xf numFmtId="198" fontId="19" fillId="0" borderId="0" xfId="0" applyNumberFormat="1" applyFont="1" applyAlignment="1">
      <alignment vertical="center"/>
    </xf>
    <xf numFmtId="0" fontId="12" fillId="0" borderId="0" xfId="0" applyFont="1"/>
    <xf numFmtId="2" fontId="19" fillId="0" borderId="0" xfId="0" applyNumberFormat="1" applyFont="1"/>
    <xf numFmtId="231" fontId="21" fillId="0" borderId="24" xfId="6" applyNumberFormat="1" applyFont="1" applyBorder="1" applyAlignment="1">
      <alignment horizontal="center"/>
    </xf>
    <xf numFmtId="231" fontId="21" fillId="0" borderId="5" xfId="6" applyNumberFormat="1" applyFont="1" applyBorder="1" applyAlignment="1">
      <alignment horizontal="center"/>
    </xf>
    <xf numFmtId="206" fontId="21" fillId="0" borderId="16" xfId="0" applyNumberFormat="1" applyFont="1" applyBorder="1"/>
    <xf numFmtId="213" fontId="21" fillId="0" borderId="16" xfId="0" applyNumberFormat="1" applyFont="1" applyBorder="1"/>
    <xf numFmtId="206" fontId="21" fillId="2" borderId="7" xfId="0" applyNumberFormat="1" applyFont="1" applyFill="1" applyBorder="1" applyProtection="1">
      <protection locked="0"/>
    </xf>
    <xf numFmtId="213" fontId="21" fillId="2" borderId="7" xfId="0" applyNumberFormat="1" applyFont="1" applyFill="1" applyBorder="1" applyProtection="1">
      <protection locked="0"/>
    </xf>
    <xf numFmtId="213" fontId="21" fillId="2" borderId="8" xfId="0" applyNumberFormat="1" applyFont="1" applyFill="1" applyBorder="1" applyProtection="1">
      <protection locked="0"/>
    </xf>
    <xf numFmtId="232" fontId="21" fillId="2" borderId="7" xfId="0" applyNumberFormat="1" applyFont="1" applyFill="1" applyBorder="1" applyAlignment="1" applyProtection="1">
      <alignment horizontal="right" indent="2"/>
      <protection locked="0"/>
    </xf>
    <xf numFmtId="232" fontId="21" fillId="2" borderId="48" xfId="0" applyNumberFormat="1" applyFont="1" applyFill="1" applyBorder="1" applyAlignment="1" applyProtection="1">
      <alignment horizontal="right" indent="2"/>
      <protection locked="0"/>
    </xf>
    <xf numFmtId="0" fontId="18" fillId="0" borderId="10" xfId="0" applyFont="1" applyBorder="1" applyAlignment="1">
      <alignment horizontal="center" vertical="center" wrapText="1"/>
    </xf>
    <xf numFmtId="213" fontId="21" fillId="0" borderId="10" xfId="0" applyNumberFormat="1" applyFont="1" applyBorder="1" applyAlignment="1" applyProtection="1">
      <alignment horizontal="right"/>
      <protection locked="0"/>
    </xf>
    <xf numFmtId="0" fontId="32" fillId="0" borderId="10" xfId="0" applyFont="1" applyBorder="1" applyAlignment="1">
      <alignment horizontal="center" wrapText="1"/>
    </xf>
    <xf numFmtId="213" fontId="21" fillId="0" borderId="10" xfId="0" applyNumberFormat="1" applyFont="1" applyBorder="1"/>
    <xf numFmtId="206" fontId="21" fillId="0" borderId="10" xfId="0" applyNumberFormat="1" applyFont="1" applyBorder="1" applyAlignment="1" applyProtection="1">
      <alignment horizontal="right"/>
      <protection locked="0"/>
    </xf>
    <xf numFmtId="206" fontId="21" fillId="0" borderId="10" xfId="0" applyNumberFormat="1" applyFont="1" applyBorder="1"/>
    <xf numFmtId="206" fontId="21" fillId="0" borderId="10" xfId="0" applyNumberFormat="1" applyFont="1" applyBorder="1" applyProtection="1">
      <protection locked="0"/>
    </xf>
    <xf numFmtId="200" fontId="21" fillId="0" borderId="8" xfId="0" applyNumberFormat="1" applyFont="1" applyBorder="1" applyProtection="1"/>
    <xf numFmtId="200" fontId="21" fillId="0" borderId="16" xfId="0" applyNumberFormat="1" applyFont="1" applyBorder="1" applyProtection="1"/>
    <xf numFmtId="0" fontId="21" fillId="0" borderId="6" xfId="0" applyFont="1" applyBorder="1" applyProtection="1"/>
    <xf numFmtId="0" fontId="44" fillId="0" borderId="0" xfId="0" applyFont="1" applyProtection="1"/>
    <xf numFmtId="0" fontId="12" fillId="0" borderId="0" xfId="0" applyFont="1" applyProtection="1"/>
    <xf numFmtId="3" fontId="12" fillId="0" borderId="0" xfId="0" applyNumberFormat="1" applyFont="1" applyProtection="1"/>
    <xf numFmtId="9" fontId="12" fillId="0" borderId="0" xfId="0" applyNumberFormat="1" applyFont="1" applyProtection="1"/>
    <xf numFmtId="0" fontId="45" fillId="0" borderId="0" xfId="0" applyFont="1" applyProtection="1"/>
    <xf numFmtId="164" fontId="19" fillId="0" borderId="12" xfId="4" applyFont="1" applyFill="1" applyBorder="1" applyProtection="1"/>
    <xf numFmtId="164" fontId="15" fillId="0" borderId="18" xfId="4" applyFont="1" applyFill="1" applyBorder="1" applyAlignment="1" applyProtection="1">
      <alignment vertical="center"/>
    </xf>
    <xf numFmtId="9" fontId="15" fillId="1" borderId="7" xfId="6" applyFont="1" applyFill="1" applyBorder="1" applyAlignment="1" applyProtection="1">
      <alignment horizontal="right"/>
    </xf>
    <xf numFmtId="164" fontId="19" fillId="0" borderId="10" xfId="4" applyFont="1" applyFill="1" applyBorder="1" applyProtection="1"/>
    <xf numFmtId="206" fontId="21" fillId="0" borderId="24" xfId="0" applyNumberFormat="1" applyFont="1" applyBorder="1" applyAlignment="1" applyProtection="1">
      <alignment horizontal="right"/>
    </xf>
    <xf numFmtId="0" fontId="21" fillId="0" borderId="0" xfId="0" applyFont="1" applyProtection="1"/>
    <xf numFmtId="0" fontId="0" fillId="0" borderId="0" xfId="0" applyAlignment="1" applyProtection="1">
      <alignment horizontal="right"/>
    </xf>
    <xf numFmtId="233" fontId="15" fillId="0" borderId="14" xfId="0" applyNumberFormat="1" applyFont="1" applyBorder="1" applyAlignment="1" applyProtection="1">
      <alignment horizontal="center" wrapText="1"/>
    </xf>
    <xf numFmtId="233" fontId="15" fillId="0" borderId="11" xfId="0" applyNumberFormat="1" applyFont="1" applyBorder="1" applyAlignment="1" applyProtection="1">
      <alignment horizontal="center" wrapText="1"/>
    </xf>
    <xf numFmtId="233" fontId="19" fillId="2" borderId="38" xfId="0" applyNumberFormat="1" applyFont="1" applyFill="1" applyBorder="1" applyAlignment="1" applyProtection="1">
      <alignment vertical="center"/>
      <protection locked="0"/>
    </xf>
    <xf numFmtId="3" fontId="15" fillId="0" borderId="11" xfId="0" applyNumberFormat="1" applyFont="1" applyBorder="1" applyAlignment="1" applyProtection="1">
      <alignment horizontal="center" vertical="center" wrapText="1"/>
    </xf>
    <xf numFmtId="9" fontId="19" fillId="0" borderId="0" xfId="6" applyFont="1" applyFill="1" applyBorder="1" applyAlignment="1" applyProtection="1">
      <alignment horizontal="centerContinuous" vertical="center" shrinkToFit="1"/>
    </xf>
    <xf numFmtId="0" fontId="15" fillId="0" borderId="0" xfId="0" applyFont="1" applyAlignment="1" applyProtection="1">
      <alignment horizontal="centerContinuous" vertical="center" shrinkToFit="1"/>
    </xf>
    <xf numFmtId="0" fontId="19" fillId="0" borderId="0" xfId="0" applyFont="1" applyAlignment="1" applyProtection="1">
      <alignment horizontal="centerContinuous" vertical="center" shrinkToFit="1"/>
    </xf>
    <xf numFmtId="233" fontId="19" fillId="2" borderId="12" xfId="0" applyNumberFormat="1" applyFont="1" applyFill="1" applyBorder="1" applyAlignment="1" applyProtection="1">
      <alignment vertical="center"/>
      <protection locked="0"/>
    </xf>
    <xf numFmtId="200" fontId="18" fillId="0" borderId="16" xfId="0" applyNumberFormat="1" applyFont="1" applyBorder="1"/>
    <xf numFmtId="206" fontId="18" fillId="0" borderId="4" xfId="0" applyNumberFormat="1" applyFont="1" applyBorder="1" applyProtection="1"/>
    <xf numFmtId="0" fontId="18" fillId="0" borderId="84" xfId="0" applyFont="1" applyBorder="1" applyAlignment="1">
      <alignment horizontal="center"/>
    </xf>
    <xf numFmtId="232" fontId="18" fillId="0" borderId="57" xfId="0" applyNumberFormat="1" applyFont="1" applyBorder="1" applyAlignment="1">
      <alignment horizontal="center"/>
    </xf>
    <xf numFmtId="3" fontId="15" fillId="0" borderId="0" xfId="0" applyNumberFormat="1" applyFont="1" applyAlignment="1">
      <alignment horizontal="centerContinuous"/>
    </xf>
    <xf numFmtId="3" fontId="15" fillId="0" borderId="0" xfId="0" applyNumberFormat="1" applyFont="1" applyAlignment="1">
      <alignment horizontal="left"/>
    </xf>
    <xf numFmtId="3" fontId="15" fillId="0" borderId="0" xfId="0" applyNumberFormat="1" applyFont="1" applyAlignment="1">
      <alignment horizontal="right"/>
    </xf>
    <xf numFmtId="0" fontId="15" fillId="0" borderId="0" xfId="0" applyFont="1"/>
    <xf numFmtId="3" fontId="19" fillId="0" borderId="12" xfId="0" applyNumberFormat="1" applyFont="1" applyBorder="1"/>
    <xf numFmtId="3" fontId="19" fillId="0" borderId="19" xfId="0" applyNumberFormat="1" applyFont="1" applyBorder="1"/>
    <xf numFmtId="3" fontId="19" fillId="0" borderId="6" xfId="0" applyNumberFormat="1" applyFont="1" applyBorder="1"/>
    <xf numFmtId="166" fontId="19" fillId="0" borderId="0" xfId="0" applyNumberFormat="1" applyFont="1"/>
    <xf numFmtId="170" fontId="15" fillId="0" borderId="0" xfId="0" applyNumberFormat="1" applyFont="1"/>
    <xf numFmtId="170" fontId="19" fillId="0" borderId="0" xfId="0" applyNumberFormat="1" applyFont="1"/>
    <xf numFmtId="190" fontId="21" fillId="0" borderId="48" xfId="0" applyNumberFormat="1" applyFont="1" applyBorder="1"/>
    <xf numFmtId="189" fontId="21" fillId="0" borderId="85" xfId="0" applyNumberFormat="1" applyFont="1" applyBorder="1"/>
    <xf numFmtId="190" fontId="21" fillId="0" borderId="6" xfId="0" applyNumberFormat="1" applyFont="1" applyBorder="1"/>
    <xf numFmtId="189" fontId="21" fillId="0" borderId="6" xfId="0" applyNumberFormat="1" applyFont="1" applyBorder="1"/>
    <xf numFmtId="190" fontId="21" fillId="0" borderId="0" xfId="0" applyNumberFormat="1" applyFont="1"/>
    <xf numFmtId="189" fontId="21" fillId="0" borderId="0" xfId="0" applyNumberFormat="1" applyFont="1"/>
    <xf numFmtId="3" fontId="19" fillId="0" borderId="86" xfId="0" applyNumberFormat="1" applyFont="1" applyBorder="1" applyAlignment="1">
      <alignment horizontal="center"/>
    </xf>
    <xf numFmtId="3" fontId="19" fillId="0" borderId="84" xfId="0" applyNumberFormat="1" applyFont="1" applyBorder="1" applyAlignment="1">
      <alignment horizontal="center"/>
    </xf>
    <xf numFmtId="3" fontId="19" fillId="0" borderId="87" xfId="0" applyNumberFormat="1" applyFont="1" applyBorder="1" applyAlignment="1">
      <alignment horizontal="center"/>
    </xf>
    <xf numFmtId="230" fontId="21" fillId="0" borderId="48" xfId="0" applyNumberFormat="1" applyFont="1" applyBorder="1"/>
    <xf numFmtId="237" fontId="21" fillId="0" borderId="85" xfId="0" applyNumberFormat="1" applyFont="1" applyBorder="1"/>
    <xf numFmtId="237" fontId="21" fillId="0" borderId="6" xfId="0" applyNumberFormat="1" applyFont="1" applyBorder="1"/>
    <xf numFmtId="237" fontId="21" fillId="0" borderId="0" xfId="0" applyNumberFormat="1" applyFont="1"/>
    <xf numFmtId="0" fontId="15" fillId="0" borderId="56" xfId="0" applyFont="1" applyBorder="1" applyAlignment="1">
      <alignment horizontal="center" vertical="center"/>
    </xf>
    <xf numFmtId="233" fontId="19" fillId="0" borderId="12" xfId="0" applyNumberFormat="1" applyFont="1" applyBorder="1" applyAlignment="1" applyProtection="1">
      <alignment vertical="center"/>
    </xf>
    <xf numFmtId="233" fontId="19" fillId="0" borderId="13" xfId="0" applyNumberFormat="1" applyFont="1" applyBorder="1" applyAlignment="1" applyProtection="1">
      <alignment vertical="center"/>
    </xf>
    <xf numFmtId="0" fontId="18" fillId="0" borderId="0" xfId="0" applyFont="1"/>
    <xf numFmtId="0" fontId="15" fillId="0" borderId="6" xfId="0" applyFont="1" applyBorder="1" applyAlignment="1">
      <alignment horizontal="centerContinuous"/>
    </xf>
    <xf numFmtId="0" fontId="15" fillId="0" borderId="0" xfId="0" applyFont="1" applyAlignment="1">
      <alignment horizontal="right"/>
    </xf>
    <xf numFmtId="0" fontId="15" fillId="0" borderId="49" xfId="0" applyFont="1" applyBorder="1" applyAlignment="1">
      <alignment horizontal="right" vertical="center"/>
    </xf>
    <xf numFmtId="0" fontId="12" fillId="0" borderId="41" xfId="0" applyFont="1" applyBorder="1" applyAlignment="1">
      <alignment vertical="center"/>
    </xf>
    <xf numFmtId="0" fontId="15" fillId="0" borderId="57" xfId="0" applyFont="1" applyBorder="1" applyAlignment="1">
      <alignment horizontal="right" vertical="center"/>
    </xf>
    <xf numFmtId="0" fontId="18" fillId="0" borderId="64" xfId="0" applyFont="1" applyBorder="1" applyAlignment="1">
      <alignment vertical="center"/>
    </xf>
    <xf numFmtId="0" fontId="27" fillId="0" borderId="9" xfId="0" applyFont="1" applyBorder="1" applyAlignment="1">
      <alignment horizontal="centerContinuous"/>
    </xf>
    <xf numFmtId="0" fontId="18" fillId="0" borderId="6" xfId="0" applyFont="1" applyBorder="1" applyAlignment="1">
      <alignment horizontal="centerContinuous"/>
    </xf>
    <xf numFmtId="0" fontId="18" fillId="0" borderId="1" xfId="0" applyFont="1" applyBorder="1" applyAlignment="1">
      <alignment horizontal="centerContinuous"/>
    </xf>
    <xf numFmtId="0" fontId="30" fillId="0" borderId="0" xfId="0" applyFont="1"/>
    <xf numFmtId="9" fontId="44" fillId="2" borderId="15" xfId="0" applyNumberFormat="1" applyFont="1" applyFill="1" applyBorder="1" applyAlignment="1" applyProtection="1">
      <alignment horizontal="center"/>
      <protection locked="0"/>
    </xf>
    <xf numFmtId="9" fontId="44" fillId="2" borderId="12" xfId="0" applyNumberFormat="1" applyFont="1" applyFill="1" applyBorder="1" applyAlignment="1" applyProtection="1">
      <alignment horizontal="center"/>
      <protection locked="0"/>
    </xf>
    <xf numFmtId="9" fontId="44" fillId="2" borderId="19" xfId="0" applyNumberFormat="1" applyFont="1" applyFill="1" applyBorder="1" applyAlignment="1" applyProtection="1">
      <alignment horizontal="center"/>
      <protection locked="0"/>
    </xf>
    <xf numFmtId="9" fontId="44" fillId="2" borderId="2" xfId="0" applyNumberFormat="1" applyFont="1" applyFill="1" applyBorder="1" applyAlignment="1" applyProtection="1">
      <alignment horizontal="center"/>
      <protection locked="0"/>
    </xf>
    <xf numFmtId="0" fontId="36" fillId="0" borderId="22" xfId="0" applyFont="1" applyBorder="1" applyAlignment="1">
      <alignment horizontal="right" vertical="center"/>
    </xf>
    <xf numFmtId="0" fontId="36" fillId="0" borderId="87" xfId="0" applyFont="1" applyBorder="1" applyAlignment="1">
      <alignment horizontal="right" vertical="center"/>
    </xf>
    <xf numFmtId="0" fontId="21" fillId="0" borderId="6" xfId="0" applyFont="1" applyBorder="1" applyAlignment="1">
      <alignment horizontal="centerContinuous" vertical="center"/>
    </xf>
    <xf numFmtId="0" fontId="21" fillId="0" borderId="1" xfId="0" applyFont="1" applyBorder="1" applyAlignment="1">
      <alignment horizontal="centerContinuous" vertical="center"/>
    </xf>
    <xf numFmtId="0" fontId="19" fillId="0" borderId="11" xfId="0" applyFont="1" applyBorder="1" applyAlignment="1">
      <alignment horizontal="centerContinuous"/>
    </xf>
    <xf numFmtId="0" fontId="21" fillId="0" borderId="42" xfId="0" applyFont="1" applyBorder="1" applyAlignment="1">
      <alignment horizontal="centerContinuous" vertical="center"/>
    </xf>
    <xf numFmtId="0" fontId="21" fillId="0" borderId="61" xfId="0" applyFont="1" applyBorder="1" applyAlignment="1">
      <alignment horizontal="centerContinuous" vertical="center"/>
    </xf>
    <xf numFmtId="0" fontId="19" fillId="0" borderId="10" xfId="0" applyFont="1" applyBorder="1" applyAlignment="1">
      <alignment horizontal="centerContinuous" vertical="center"/>
    </xf>
    <xf numFmtId="0" fontId="20" fillId="0" borderId="9" xfId="0" applyFont="1" applyBorder="1" applyAlignment="1">
      <alignment horizontal="centerContinuous" vertical="center"/>
    </xf>
    <xf numFmtId="0" fontId="20" fillId="0" borderId="49" xfId="0" applyFont="1" applyBorder="1" applyAlignment="1">
      <alignment horizontal="centerContinuous" vertical="center"/>
    </xf>
    <xf numFmtId="0" fontId="33" fillId="0" borderId="9" xfId="0" applyFont="1" applyBorder="1" applyAlignment="1">
      <alignment horizontal="centerContinuous" vertical="center"/>
    </xf>
    <xf numFmtId="0" fontId="18" fillId="0" borderId="0" xfId="0" applyFont="1" applyAlignment="1">
      <alignment horizontal="centerContinuous" vertical="center"/>
    </xf>
    <xf numFmtId="0" fontId="15" fillId="0" borderId="56" xfId="0" applyFont="1" applyBorder="1" applyAlignment="1" applyProtection="1">
      <alignment horizontal="centerContinuous" vertical="center"/>
    </xf>
    <xf numFmtId="233" fontId="19" fillId="0" borderId="38" xfId="0" applyNumberFormat="1" applyFont="1" applyBorder="1" applyAlignment="1" applyProtection="1">
      <alignment vertical="center"/>
    </xf>
    <xf numFmtId="0" fontId="13" fillId="0" borderId="0" xfId="0" applyFont="1" applyAlignment="1" applyProtection="1">
      <alignment horizontal="centerContinuous" vertical="center"/>
    </xf>
    <xf numFmtId="0" fontId="12" fillId="0" borderId="0" xfId="0" applyFont="1" applyAlignment="1">
      <alignment horizontal="centerContinuous" vertical="center"/>
    </xf>
    <xf numFmtId="0" fontId="31" fillId="0" borderId="0" xfId="0" applyFont="1" applyAlignment="1">
      <alignment horizontal="left"/>
    </xf>
    <xf numFmtId="0" fontId="18" fillId="0" borderId="0" xfId="0" applyFont="1" applyAlignment="1">
      <alignment horizontal="left"/>
    </xf>
    <xf numFmtId="0" fontId="15" fillId="0" borderId="0" xfId="0" applyFont="1" applyAlignment="1">
      <alignment horizontal="left"/>
    </xf>
    <xf numFmtId="0" fontId="12" fillId="0" borderId="0" xfId="0" applyFont="1" applyAlignment="1">
      <alignment horizontal="left"/>
    </xf>
    <xf numFmtId="0" fontId="12" fillId="0" borderId="0" xfId="0" applyFont="1" applyAlignment="1">
      <alignment horizontal="right"/>
    </xf>
    <xf numFmtId="0" fontId="20" fillId="0" borderId="0" xfId="0" applyFont="1" applyAlignment="1">
      <alignment vertical="center"/>
    </xf>
    <xf numFmtId="0" fontId="20" fillId="0" borderId="0" xfId="0" applyFont="1" applyAlignment="1">
      <alignment horizontal="centerContinuous"/>
    </xf>
    <xf numFmtId="0" fontId="20" fillId="0" borderId="0" xfId="0" applyFont="1"/>
    <xf numFmtId="0" fontId="51" fillId="0" borderId="0" xfId="0" applyFont="1" applyAlignment="1">
      <alignment horizontal="centerContinuous"/>
    </xf>
    <xf numFmtId="174" fontId="52" fillId="0" borderId="0" xfId="0" applyNumberFormat="1" applyFont="1" applyAlignment="1">
      <alignment horizontal="center" vertical="center"/>
    </xf>
    <xf numFmtId="175" fontId="31" fillId="0" borderId="0" xfId="0" applyNumberFormat="1" applyFont="1"/>
    <xf numFmtId="174" fontId="52" fillId="0" borderId="0" xfId="0" applyNumberFormat="1" applyFont="1" applyAlignment="1">
      <alignment vertical="center"/>
    </xf>
    <xf numFmtId="4" fontId="18" fillId="0" borderId="0" xfId="0" applyNumberFormat="1" applyFont="1"/>
    <xf numFmtId="3" fontId="12" fillId="0" borderId="0" xfId="0" applyNumberFormat="1" applyFont="1" applyAlignment="1">
      <alignment horizontal="left"/>
    </xf>
    <xf numFmtId="3" fontId="12" fillId="0" borderId="0" xfId="0" applyNumberFormat="1" applyFont="1" applyAlignment="1">
      <alignment horizontal="right"/>
    </xf>
    <xf numFmtId="0" fontId="12" fillId="0" borderId="9" xfId="0" applyFont="1" applyBorder="1" applyAlignment="1">
      <alignment horizontal="centerContinuous" vertical="center"/>
    </xf>
    <xf numFmtId="0" fontId="48" fillId="0" borderId="0" xfId="0" applyFont="1" applyAlignment="1">
      <alignment horizontal="center"/>
    </xf>
    <xf numFmtId="0" fontId="18" fillId="0" borderId="6" xfId="0" applyFont="1" applyBorder="1" applyAlignment="1">
      <alignment horizontal="centerContinuous" vertical="center"/>
    </xf>
    <xf numFmtId="0" fontId="19" fillId="0" borderId="56" xfId="0" applyFont="1" applyBorder="1" applyAlignment="1">
      <alignment horizontal="left" vertical="center" indent="1"/>
    </xf>
    <xf numFmtId="0" fontId="19" fillId="0" borderId="9" xfId="0" applyFont="1" applyBorder="1" applyAlignment="1">
      <alignment horizontal="left" vertical="center" indent="1"/>
    </xf>
    <xf numFmtId="0" fontId="19" fillId="2" borderId="9" xfId="0" applyFont="1" applyFill="1" applyBorder="1" applyAlignment="1" applyProtection="1">
      <alignment horizontal="left" vertical="center" indent="1"/>
      <protection locked="0"/>
    </xf>
    <xf numFmtId="0" fontId="19" fillId="0" borderId="11" xfId="0" applyFont="1" applyBorder="1" applyAlignment="1">
      <alignment horizontal="left" vertical="center" indent="1"/>
    </xf>
    <xf numFmtId="0" fontId="36" fillId="0" borderId="56" xfId="0" applyFont="1" applyBorder="1"/>
    <xf numFmtId="0" fontId="15" fillId="0" borderId="21" xfId="0" applyFont="1" applyBorder="1" applyAlignment="1" applyProtection="1">
      <alignment horizontal="center"/>
      <protection locked="0"/>
    </xf>
    <xf numFmtId="9" fontId="44" fillId="0" borderId="4" xfId="0" applyNumberFormat="1" applyFont="1" applyBorder="1" applyAlignment="1" applyProtection="1">
      <alignment horizontal="center" vertical="center"/>
    </xf>
    <xf numFmtId="0" fontId="15" fillId="0" borderId="1" xfId="0" applyFont="1" applyBorder="1" applyAlignment="1">
      <alignment horizontal="centerContinuous"/>
    </xf>
    <xf numFmtId="0" fontId="21" fillId="0" borderId="0" xfId="0" applyFont="1" applyAlignment="1">
      <alignment horizontal="centerContinuous"/>
    </xf>
    <xf numFmtId="0" fontId="19" fillId="0" borderId="34" xfId="0" applyFont="1" applyBorder="1" applyAlignment="1">
      <alignment horizontal="centerContinuous" wrapText="1"/>
    </xf>
    <xf numFmtId="0" fontId="19" fillId="0" borderId="62" xfId="0" applyFont="1" applyBorder="1" applyAlignment="1">
      <alignment horizontal="centerContinuous"/>
    </xf>
    <xf numFmtId="0" fontId="19" fillId="0" borderId="0" xfId="0" applyFont="1" applyAlignment="1">
      <alignment horizontal="left" vertical="center" indent="1"/>
    </xf>
    <xf numFmtId="0" fontId="45" fillId="0" borderId="0" xfId="0" applyFont="1" applyAlignment="1">
      <alignment horizontal="centerContinuous" vertical="center"/>
    </xf>
    <xf numFmtId="0" fontId="44" fillId="0" borderId="0" xfId="0" applyFont="1" applyAlignment="1">
      <alignment horizontal="centerContinuous" vertical="center"/>
    </xf>
    <xf numFmtId="0" fontId="33" fillId="0" borderId="0" xfId="0" applyFont="1" applyAlignment="1">
      <alignment horizontal="centerContinuous"/>
    </xf>
    <xf numFmtId="0" fontId="18" fillId="0" borderId="0" xfId="0" applyFont="1" applyAlignment="1">
      <alignment horizontal="center"/>
    </xf>
    <xf numFmtId="0" fontId="18" fillId="0" borderId="9" xfId="0" applyFont="1" applyBorder="1" applyAlignment="1">
      <alignment horizontal="centerContinuous"/>
    </xf>
    <xf numFmtId="0" fontId="18" fillId="0" borderId="1" xfId="0" applyFont="1" applyBorder="1" applyAlignment="1">
      <alignment horizontal="centerContinuous" vertical="center"/>
    </xf>
    <xf numFmtId="0" fontId="18" fillId="0" borderId="37" xfId="0" applyFont="1" applyBorder="1" applyAlignment="1">
      <alignment horizontal="center" vertical="center"/>
    </xf>
    <xf numFmtId="0" fontId="18" fillId="0" borderId="25" xfId="0" applyFont="1" applyBorder="1" applyAlignment="1">
      <alignment horizontal="center" vertical="center"/>
    </xf>
    <xf numFmtId="0" fontId="18" fillId="0" borderId="37" xfId="0" applyFont="1" applyBorder="1" applyAlignment="1">
      <alignment horizontal="center" wrapText="1"/>
    </xf>
    <xf numFmtId="0" fontId="18" fillId="0" borderId="25" xfId="0" applyFont="1" applyBorder="1" applyAlignment="1">
      <alignment horizontal="center" wrapText="1"/>
    </xf>
    <xf numFmtId="0" fontId="30" fillId="0" borderId="0" xfId="0" applyFont="1" applyAlignment="1">
      <alignment horizontal="center"/>
    </xf>
    <xf numFmtId="0" fontId="31" fillId="0" borderId="0" xfId="0" applyFont="1"/>
    <xf numFmtId="0" fontId="34" fillId="0" borderId="0" xfId="0" applyFont="1"/>
    <xf numFmtId="0" fontId="54" fillId="0" borderId="0" xfId="0" applyFont="1" applyAlignment="1">
      <alignment horizontal="center"/>
    </xf>
    <xf numFmtId="0" fontId="31" fillId="0" borderId="0" xfId="0" applyFont="1" applyAlignment="1">
      <alignment horizontal="center"/>
    </xf>
    <xf numFmtId="0" fontId="44" fillId="0" borderId="0" xfId="0" applyFont="1"/>
    <xf numFmtId="0" fontId="15" fillId="0" borderId="6" xfId="0" applyFont="1" applyBorder="1" applyAlignment="1">
      <alignment horizontal="centerContinuous" vertical="center"/>
    </xf>
    <xf numFmtId="0" fontId="15" fillId="0" borderId="9" xfId="0" applyFont="1" applyBorder="1" applyAlignment="1">
      <alignment horizontal="center" vertical="center"/>
    </xf>
    <xf numFmtId="0" fontId="18" fillId="0" borderId="26" xfId="0" applyFont="1" applyBorder="1" applyAlignment="1">
      <alignment vertical="center"/>
    </xf>
    <xf numFmtId="0" fontId="19" fillId="0" borderId="26" xfId="0" applyFont="1" applyBorder="1" applyAlignment="1">
      <alignment vertical="center"/>
    </xf>
    <xf numFmtId="0" fontId="15" fillId="0" borderId="20" xfId="0" applyFont="1" applyBorder="1" applyAlignment="1">
      <alignment horizontal="center" vertical="center"/>
    </xf>
    <xf numFmtId="0" fontId="21" fillId="0" borderId="22" xfId="0" applyFont="1" applyBorder="1" applyAlignment="1">
      <alignment horizontal="center" vertical="center"/>
    </xf>
    <xf numFmtId="0" fontId="18" fillId="0" borderId="48" xfId="0" applyFont="1" applyBorder="1" applyAlignment="1">
      <alignment horizontal="center" vertical="center"/>
    </xf>
    <xf numFmtId="0" fontId="18" fillId="0" borderId="22" xfId="0" applyFont="1" applyBorder="1" applyAlignment="1">
      <alignment horizontal="center" vertical="center"/>
    </xf>
    <xf numFmtId="0" fontId="15" fillId="0" borderId="0" xfId="0" applyFont="1" applyAlignment="1">
      <alignment vertical="center"/>
    </xf>
    <xf numFmtId="0" fontId="15" fillId="0" borderId="7" xfId="0" applyFont="1" applyBorder="1" applyAlignment="1">
      <alignment horizontal="center" vertical="center"/>
    </xf>
    <xf numFmtId="0" fontId="19" fillId="0" borderId="13" xfId="0" applyFont="1" applyBorder="1" applyAlignment="1">
      <alignment vertical="center"/>
    </xf>
    <xf numFmtId="0" fontId="15" fillId="0" borderId="23" xfId="0" applyFont="1" applyBorder="1" applyAlignment="1">
      <alignment horizontal="center" vertical="center"/>
    </xf>
    <xf numFmtId="0" fontId="21"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5" fillId="0" borderId="34" xfId="0" applyFont="1" applyBorder="1" applyAlignment="1">
      <alignment horizontal="center" vertical="center"/>
    </xf>
    <xf numFmtId="0" fontId="21" fillId="0" borderId="4" xfId="0" applyFont="1" applyBorder="1" applyAlignment="1">
      <alignment horizontal="center" vertical="center"/>
    </xf>
    <xf numFmtId="0" fontId="12" fillId="0" borderId="0" xfId="0" applyFont="1" applyAlignment="1">
      <alignment vertical="center"/>
    </xf>
    <xf numFmtId="0" fontId="18" fillId="0" borderId="0" xfId="0" applyFont="1" applyAlignment="1">
      <alignment vertical="center"/>
    </xf>
    <xf numFmtId="0" fontId="18" fillId="0" borderId="56" xfId="0" applyFont="1" applyBorder="1" applyAlignment="1">
      <alignment vertical="center"/>
    </xf>
    <xf numFmtId="0" fontId="18" fillId="0" borderId="40" xfId="0" applyFont="1" applyBorder="1" applyAlignment="1">
      <alignment horizontal="right" vertical="center"/>
    </xf>
    <xf numFmtId="0" fontId="15" fillId="0" borderId="30" xfId="0" applyFont="1" applyBorder="1" applyAlignment="1">
      <alignment horizontal="center" vertical="center"/>
    </xf>
    <xf numFmtId="0" fontId="15" fillId="0" borderId="22" xfId="0" applyFont="1" applyBorder="1" applyAlignment="1">
      <alignment horizontal="center" vertical="center"/>
    </xf>
    <xf numFmtId="0" fontId="18" fillId="0" borderId="16" xfId="0" applyFont="1" applyBorder="1" applyAlignment="1">
      <alignment vertical="center"/>
    </xf>
    <xf numFmtId="0" fontId="18" fillId="0" borderId="62" xfId="0" applyFont="1" applyBorder="1" applyAlignment="1">
      <alignment vertical="center"/>
    </xf>
    <xf numFmtId="0" fontId="18" fillId="0" borderId="44" xfId="0" applyFont="1" applyBorder="1" applyAlignment="1">
      <alignment horizontal="right" vertical="center"/>
    </xf>
    <xf numFmtId="0" fontId="15" fillId="0" borderId="19" xfId="0" applyFont="1" applyBorder="1" applyAlignment="1">
      <alignment horizontal="center" vertical="center"/>
    </xf>
    <xf numFmtId="0" fontId="18" fillId="0" borderId="34" xfId="0" applyFont="1" applyBorder="1" applyAlignment="1">
      <alignment horizontal="center" vertical="center"/>
    </xf>
    <xf numFmtId="0" fontId="18" fillId="0" borderId="4" xfId="0" applyFont="1" applyBorder="1" applyAlignment="1">
      <alignment horizontal="center" vertical="center"/>
    </xf>
    <xf numFmtId="0" fontId="15" fillId="0" borderId="6" xfId="0" applyFont="1" applyBorder="1" applyAlignment="1" applyProtection="1">
      <alignment horizontal="left" indent="1"/>
    </xf>
    <xf numFmtId="233" fontId="19" fillId="0" borderId="19" xfId="0" applyNumberFormat="1" applyFont="1" applyBorder="1" applyAlignment="1" applyProtection="1">
      <alignment vertical="center"/>
    </xf>
    <xf numFmtId="0" fontId="25" fillId="0" borderId="88" xfId="0" applyFont="1" applyBorder="1" applyAlignment="1" applyProtection="1">
      <alignment horizontal="centerContinuous" vertical="center" wrapText="1"/>
    </xf>
    <xf numFmtId="0" fontId="25" fillId="0" borderId="89" xfId="0" applyFont="1" applyBorder="1" applyAlignment="1" applyProtection="1">
      <alignment horizontal="centerContinuous" vertical="center" wrapText="1"/>
    </xf>
    <xf numFmtId="10" fontId="19" fillId="2" borderId="13" xfId="0" applyNumberFormat="1" applyFont="1" applyFill="1" applyBorder="1" applyAlignment="1" applyProtection="1">
      <alignment horizontal="center" vertical="center"/>
      <protection locked="0"/>
    </xf>
    <xf numFmtId="3" fontId="19" fillId="2" borderId="13" xfId="0" applyNumberFormat="1" applyFont="1" applyFill="1" applyBorder="1" applyAlignment="1" applyProtection="1">
      <alignment horizontal="center" vertical="center"/>
      <protection locked="0"/>
    </xf>
    <xf numFmtId="0" fontId="19" fillId="0" borderId="67" xfId="0" applyFont="1" applyBorder="1" applyProtection="1"/>
    <xf numFmtId="10" fontId="19" fillId="2" borderId="43" xfId="0" applyNumberFormat="1" applyFont="1" applyFill="1" applyBorder="1" applyAlignment="1" applyProtection="1">
      <alignment horizontal="center" vertical="center"/>
      <protection locked="0"/>
    </xf>
    <xf numFmtId="0" fontId="19" fillId="0" borderId="43" xfId="0" applyFont="1" applyBorder="1" applyAlignment="1" applyProtection="1">
      <alignment vertical="center"/>
    </xf>
    <xf numFmtId="3" fontId="19" fillId="2" borderId="43" xfId="0" applyNumberFormat="1" applyFont="1" applyFill="1" applyBorder="1" applyAlignment="1" applyProtection="1">
      <alignment horizontal="center" vertical="center"/>
      <protection locked="0"/>
    </xf>
    <xf numFmtId="0" fontId="19" fillId="0" borderId="70" xfId="0" applyFont="1" applyBorder="1" applyProtection="1"/>
    <xf numFmtId="10" fontId="19" fillId="2" borderId="12" xfId="0" applyNumberFormat="1" applyFont="1" applyFill="1" applyBorder="1" applyAlignment="1" applyProtection="1">
      <alignment horizontal="center" vertical="center"/>
      <protection locked="0"/>
    </xf>
    <xf numFmtId="3" fontId="19" fillId="2" borderId="12" xfId="0" applyNumberFormat="1" applyFont="1" applyFill="1" applyBorder="1" applyAlignment="1" applyProtection="1">
      <alignment horizontal="center" vertical="center"/>
      <protection locked="0"/>
    </xf>
    <xf numFmtId="0" fontId="19" fillId="0" borderId="38" xfId="0" applyFont="1" applyBorder="1" applyProtection="1"/>
    <xf numFmtId="235" fontId="19" fillId="0" borderId="19" xfId="4" applyNumberFormat="1" applyFont="1" applyFill="1" applyBorder="1" applyAlignment="1" applyProtection="1">
      <alignment vertical="center"/>
    </xf>
    <xf numFmtId="235" fontId="19" fillId="0" borderId="62" xfId="4" applyNumberFormat="1" applyFont="1" applyFill="1" applyBorder="1" applyAlignment="1" applyProtection="1">
      <alignment vertical="center"/>
    </xf>
    <xf numFmtId="236" fontId="15" fillId="0" borderId="12" xfId="4" applyNumberFormat="1" applyFont="1" applyFill="1" applyBorder="1" applyAlignment="1" applyProtection="1"/>
    <xf numFmtId="235" fontId="19" fillId="0" borderId="12" xfId="4" applyNumberFormat="1" applyFont="1" applyFill="1" applyBorder="1" applyProtection="1"/>
    <xf numFmtId="236" fontId="15" fillId="0" borderId="18" xfId="4" applyNumberFormat="1" applyFont="1" applyFill="1" applyBorder="1" applyAlignment="1" applyProtection="1"/>
    <xf numFmtId="235" fontId="19" fillId="0" borderId="19" xfId="4" applyNumberFormat="1" applyFont="1" applyFill="1" applyBorder="1" applyProtection="1"/>
    <xf numFmtId="0" fontId="44" fillId="0" borderId="0" xfId="0" applyFont="1" applyAlignment="1" applyProtection="1">
      <alignment vertical="center"/>
    </xf>
    <xf numFmtId="0" fontId="19" fillId="0" borderId="56" xfId="0" applyFont="1" applyBorder="1" applyAlignment="1">
      <alignment vertical="center"/>
    </xf>
    <xf numFmtId="0" fontId="19" fillId="0" borderId="40" xfId="0" applyFont="1" applyBorder="1" applyAlignment="1">
      <alignment vertical="center"/>
    </xf>
    <xf numFmtId="0" fontId="19" fillId="0" borderId="16" xfId="0" applyFont="1" applyBorder="1" applyAlignment="1">
      <alignment vertical="center"/>
    </xf>
    <xf numFmtId="0" fontId="19" fillId="0" borderId="62" xfId="0" applyFont="1" applyBorder="1" applyAlignment="1">
      <alignment vertical="center"/>
    </xf>
    <xf numFmtId="0" fontId="19" fillId="0" borderId="44" xfId="0" applyFont="1" applyBorder="1" applyAlignment="1">
      <alignment vertical="center"/>
    </xf>
    <xf numFmtId="0" fontId="15" fillId="0" borderId="26" xfId="0" applyFont="1" applyBorder="1" applyAlignment="1">
      <alignment horizontal="left" vertical="center" indent="1"/>
    </xf>
    <xf numFmtId="0" fontId="39" fillId="0" borderId="62" xfId="0" applyFont="1" applyBorder="1" applyAlignment="1">
      <alignment horizontal="left" vertical="center" indent="1"/>
    </xf>
    <xf numFmtId="0" fontId="19" fillId="0" borderId="49" xfId="0" applyFont="1" applyBorder="1" applyAlignment="1">
      <alignment vertical="center"/>
    </xf>
    <xf numFmtId="0" fontId="20" fillId="0" borderId="61" xfId="0" applyFont="1" applyBorder="1" applyAlignment="1">
      <alignment horizontal="right" vertical="center"/>
    </xf>
    <xf numFmtId="0" fontId="19" fillId="0" borderId="61" xfId="0" applyFont="1" applyBorder="1" applyAlignment="1">
      <alignment vertical="center"/>
    </xf>
    <xf numFmtId="0" fontId="19" fillId="0" borderId="42" xfId="0" applyFont="1" applyBorder="1" applyAlignment="1">
      <alignment vertical="center"/>
    </xf>
    <xf numFmtId="200" fontId="36" fillId="0" borderId="18" xfId="0" applyNumberFormat="1" applyFont="1" applyBorder="1" applyAlignment="1">
      <alignment vertical="center"/>
    </xf>
    <xf numFmtId="200" fontId="36" fillId="0" borderId="61" xfId="0" applyNumberFormat="1" applyFont="1" applyBorder="1" applyAlignment="1">
      <alignment vertical="center"/>
    </xf>
    <xf numFmtId="0" fontId="19" fillId="0" borderId="57" xfId="0" applyFont="1" applyBorder="1" applyAlignment="1">
      <alignment vertical="center"/>
    </xf>
    <xf numFmtId="200" fontId="36" fillId="0" borderId="17" xfId="0" applyNumberFormat="1" applyFont="1" applyBorder="1" applyAlignment="1">
      <alignment vertical="center"/>
    </xf>
    <xf numFmtId="200" fontId="36" fillId="0" borderId="64" xfId="0" applyNumberFormat="1" applyFont="1" applyBorder="1" applyAlignment="1">
      <alignment vertical="center"/>
    </xf>
    <xf numFmtId="0" fontId="19" fillId="0" borderId="64" xfId="0" applyFont="1" applyBorder="1" applyAlignment="1">
      <alignment vertical="center"/>
    </xf>
    <xf numFmtId="0" fontId="19" fillId="0" borderId="90" xfId="0" applyFont="1" applyBorder="1" applyAlignment="1">
      <alignment vertical="center"/>
    </xf>
    <xf numFmtId="2" fontId="15" fillId="0" borderId="18" xfId="0" applyNumberFormat="1" applyFont="1" applyBorder="1" applyAlignment="1">
      <alignment horizontal="center" vertical="center"/>
    </xf>
    <xf numFmtId="2" fontId="15" fillId="0" borderId="61" xfId="0" applyNumberFormat="1" applyFont="1" applyBorder="1" applyAlignment="1">
      <alignment horizontal="center" vertical="center"/>
    </xf>
    <xf numFmtId="0" fontId="15" fillId="0" borderId="26" xfId="0" quotePrefix="1" applyFont="1" applyBorder="1" applyAlignment="1">
      <alignment vertical="center"/>
    </xf>
    <xf numFmtId="0" fontId="20" fillId="0" borderId="64" xfId="0" applyFont="1" applyBorder="1" applyAlignment="1">
      <alignment horizontal="right" vertical="center"/>
    </xf>
    <xf numFmtId="2" fontId="15" fillId="0" borderId="17" xfId="0" applyNumberFormat="1" applyFont="1" applyBorder="1" applyAlignment="1">
      <alignment horizontal="center" vertical="center"/>
    </xf>
    <xf numFmtId="2" fontId="15" fillId="0" borderId="64" xfId="0" applyNumberFormat="1" applyFont="1" applyBorder="1" applyAlignment="1">
      <alignment horizontal="center" vertical="center"/>
    </xf>
    <xf numFmtId="0" fontId="15" fillId="0" borderId="57" xfId="0" quotePrefix="1" applyFont="1" applyBorder="1" applyAlignment="1">
      <alignment vertical="center"/>
    </xf>
    <xf numFmtId="3" fontId="21" fillId="0" borderId="0" xfId="0" applyNumberFormat="1" applyFont="1" applyAlignment="1">
      <alignment vertical="center"/>
    </xf>
    <xf numFmtId="3" fontId="18" fillId="0" borderId="0" xfId="0" applyNumberFormat="1" applyFont="1" applyAlignment="1">
      <alignment vertical="center"/>
    </xf>
    <xf numFmtId="0" fontId="19" fillId="0" borderId="61" xfId="0" applyFont="1" applyBorder="1" applyAlignment="1">
      <alignment horizontal="left" vertical="center" indent="1"/>
    </xf>
    <xf numFmtId="0" fontId="36" fillId="0" borderId="61" xfId="0" applyFont="1" applyBorder="1" applyAlignment="1">
      <alignment horizontal="left" vertical="center" indent="1"/>
    </xf>
    <xf numFmtId="0" fontId="36" fillId="0" borderId="62" xfId="0" applyFont="1" applyBorder="1" applyAlignment="1">
      <alignment horizontal="left" vertical="center" indent="1"/>
    </xf>
    <xf numFmtId="0" fontId="19" fillId="0" borderId="0" xfId="0" applyFont="1" applyAlignment="1">
      <alignment horizontal="left"/>
    </xf>
    <xf numFmtId="3" fontId="12" fillId="0" borderId="14" xfId="0" applyNumberFormat="1" applyFont="1" applyBorder="1" applyAlignment="1" applyProtection="1">
      <alignment horizontal="centerContinuous" vertical="center"/>
    </xf>
    <xf numFmtId="3" fontId="19" fillId="0" borderId="12" xfId="0" applyNumberFormat="1" applyFont="1" applyBorder="1" applyAlignment="1" applyProtection="1">
      <alignment horizontal="left" vertical="center" indent="4"/>
    </xf>
    <xf numFmtId="10" fontId="19" fillId="0" borderId="12" xfId="0" applyNumberFormat="1" applyFont="1" applyBorder="1" applyAlignment="1" applyProtection="1">
      <alignment horizontal="center"/>
      <protection locked="0"/>
    </xf>
    <xf numFmtId="3" fontId="19" fillId="0" borderId="12" xfId="0" applyNumberFormat="1" applyFont="1" applyBorder="1" applyAlignment="1" applyProtection="1">
      <alignment horizontal="center"/>
      <protection locked="0"/>
    </xf>
    <xf numFmtId="3" fontId="15" fillId="0" borderId="9" xfId="0" applyNumberFormat="1" applyFont="1" applyBorder="1" applyAlignment="1" applyProtection="1">
      <alignment horizontal="centerContinuous" vertical="center"/>
    </xf>
    <xf numFmtId="236" fontId="19" fillId="0" borderId="15" xfId="4" applyNumberFormat="1" applyFont="1" applyFill="1" applyBorder="1" applyAlignment="1" applyProtection="1">
      <alignment vertical="center"/>
      <protection locked="0"/>
    </xf>
    <xf numFmtId="3" fontId="19" fillId="0" borderId="15" xfId="0" applyNumberFormat="1" applyFont="1" applyBorder="1" applyAlignment="1" applyProtection="1">
      <alignment horizontal="left" vertical="center" indent="1"/>
    </xf>
    <xf numFmtId="242" fontId="19" fillId="0" borderId="11" xfId="0" applyNumberFormat="1" applyFont="1" applyBorder="1" applyAlignment="1" applyProtection="1">
      <alignment horizontal="right" vertical="center"/>
    </xf>
    <xf numFmtId="3" fontId="19" fillId="0" borderId="11" xfId="0" applyNumberFormat="1" applyFont="1" applyBorder="1" applyAlignment="1" applyProtection="1">
      <alignment horizontal="right" indent="1"/>
    </xf>
    <xf numFmtId="173" fontId="19" fillId="0" borderId="19" xfId="0" applyNumberFormat="1" applyFont="1" applyBorder="1" applyAlignment="1" applyProtection="1">
      <alignment horizontal="center"/>
      <protection locked="0"/>
    </xf>
    <xf numFmtId="243" fontId="19" fillId="0" borderId="11" xfId="0" applyNumberFormat="1" applyFont="1" applyBorder="1" applyAlignment="1" applyProtection="1">
      <alignment horizontal="right" vertical="center"/>
    </xf>
    <xf numFmtId="3" fontId="20" fillId="0" borderId="9" xfId="0" applyNumberFormat="1" applyFont="1" applyBorder="1" applyAlignment="1" applyProtection="1">
      <alignment horizontal="centerContinuous" vertical="center" wrapText="1"/>
    </xf>
    <xf numFmtId="3" fontId="20" fillId="0" borderId="11" xfId="0" applyNumberFormat="1" applyFont="1" applyBorder="1" applyAlignment="1" applyProtection="1">
      <alignment horizontal="centerContinuous" vertical="center" wrapText="1"/>
    </xf>
    <xf numFmtId="207" fontId="19" fillId="0" borderId="23" xfId="0" applyNumberFormat="1" applyFont="1" applyBorder="1" applyAlignment="1" applyProtection="1">
      <alignment vertical="center"/>
    </xf>
    <xf numFmtId="207" fontId="19" fillId="0" borderId="34" xfId="0" applyNumberFormat="1" applyFont="1" applyBorder="1" applyAlignment="1" applyProtection="1">
      <alignment vertical="center"/>
    </xf>
    <xf numFmtId="207" fontId="19" fillId="0" borderId="35" xfId="0" applyNumberFormat="1" applyFont="1" applyBorder="1" applyAlignment="1" applyProtection="1">
      <alignment vertical="center"/>
    </xf>
    <xf numFmtId="207" fontId="19" fillId="0" borderId="4" xfId="0" applyNumberFormat="1" applyFont="1" applyBorder="1" applyAlignment="1" applyProtection="1">
      <alignment vertical="center"/>
    </xf>
    <xf numFmtId="233" fontId="19" fillId="0" borderId="67" xfId="0" applyNumberFormat="1" applyFont="1" applyBorder="1" applyAlignment="1" applyProtection="1">
      <alignment vertical="center"/>
    </xf>
    <xf numFmtId="233" fontId="19" fillId="0" borderId="15" xfId="0" applyNumberFormat="1" applyFont="1" applyBorder="1" applyAlignment="1" applyProtection="1">
      <alignment vertical="center"/>
    </xf>
    <xf numFmtId="233" fontId="19" fillId="0" borderId="77" xfId="0" applyNumberFormat="1" applyFont="1" applyBorder="1" applyAlignment="1" applyProtection="1">
      <alignment vertical="center"/>
    </xf>
    <xf numFmtId="0" fontId="15" fillId="0" borderId="9" xfId="0" applyFont="1" applyBorder="1" applyAlignment="1">
      <alignment vertical="center"/>
    </xf>
    <xf numFmtId="0" fontId="15" fillId="3" borderId="11" xfId="0" applyFont="1" applyFill="1" applyBorder="1" applyAlignment="1" applyProtection="1">
      <alignment horizontal="center" vertical="center"/>
      <protection locked="0"/>
    </xf>
    <xf numFmtId="227" fontId="21" fillId="0" borderId="2" xfId="0" applyNumberFormat="1" applyFont="1" applyBorder="1" applyProtection="1">
      <protection locked="0"/>
    </xf>
    <xf numFmtId="227" fontId="21" fillId="0" borderId="50" xfId="0" applyNumberFormat="1" applyFont="1" applyBorder="1" applyProtection="1">
      <protection locked="0"/>
    </xf>
    <xf numFmtId="0" fontId="19" fillId="0" borderId="25" xfId="0" applyFont="1" applyBorder="1" applyAlignment="1">
      <alignment horizontal="centerContinuous"/>
    </xf>
    <xf numFmtId="2" fontId="19" fillId="0" borderId="24" xfId="0" applyNumberFormat="1" applyFont="1" applyBorder="1" applyAlignment="1">
      <alignment horizontal="center"/>
    </xf>
    <xf numFmtId="2" fontId="19" fillId="0" borderId="4" xfId="0" applyNumberFormat="1" applyFont="1" applyBorder="1" applyAlignment="1">
      <alignment horizontal="center"/>
    </xf>
    <xf numFmtId="0" fontId="33" fillId="0" borderId="0" xfId="0" applyFont="1" applyAlignment="1" applyProtection="1">
      <alignment horizontal="centerContinuous"/>
    </xf>
    <xf numFmtId="0" fontId="36" fillId="0" borderId="0" xfId="0" applyFont="1" applyAlignment="1">
      <alignment vertical="center"/>
    </xf>
    <xf numFmtId="0" fontId="36" fillId="0" borderId="0" xfId="0" applyFont="1"/>
    <xf numFmtId="0" fontId="36" fillId="0" borderId="13" xfId="0" applyFont="1" applyBorder="1"/>
    <xf numFmtId="0" fontId="36" fillId="0" borderId="0" xfId="0" applyFont="1" applyAlignment="1">
      <alignment horizontal="left" indent="1"/>
    </xf>
    <xf numFmtId="0" fontId="36" fillId="0" borderId="0" xfId="0" applyFont="1" applyAlignment="1" applyProtection="1">
      <alignment horizontal="left" indent="2"/>
    </xf>
    <xf numFmtId="3" fontId="36" fillId="0" borderId="0" xfId="0" applyNumberFormat="1" applyFont="1"/>
    <xf numFmtId="190" fontId="19" fillId="0" borderId="2" xfId="0" applyNumberFormat="1" applyFont="1" applyBorder="1"/>
    <xf numFmtId="0" fontId="36" fillId="0" borderId="2" xfId="0" applyFont="1" applyBorder="1"/>
    <xf numFmtId="190" fontId="19" fillId="0" borderId="24" xfId="0" applyNumberFormat="1" applyFont="1" applyBorder="1"/>
    <xf numFmtId="3" fontId="19" fillId="0" borderId="2" xfId="0" applyNumberFormat="1" applyFont="1" applyBorder="1"/>
    <xf numFmtId="3" fontId="19" fillId="0" borderId="24" xfId="0" applyNumberFormat="1" applyFont="1" applyBorder="1"/>
    <xf numFmtId="0" fontId="36" fillId="0" borderId="23" xfId="0" applyFont="1" applyBorder="1" applyAlignment="1">
      <alignment horizontal="right" vertical="center" indent="2"/>
    </xf>
    <xf numFmtId="0" fontId="36" fillId="0" borderId="34" xfId="0" applyFont="1" applyBorder="1" applyAlignment="1">
      <alignment horizontal="right" vertical="center" indent="2"/>
    </xf>
    <xf numFmtId="0" fontId="44" fillId="0" borderId="37" xfId="0" applyFont="1" applyBorder="1" applyAlignment="1">
      <alignment horizontal="centerContinuous"/>
    </xf>
    <xf numFmtId="0" fontId="19" fillId="0" borderId="37" xfId="0" applyFont="1" applyBorder="1" applyAlignment="1">
      <alignment horizontal="centerContinuous"/>
    </xf>
    <xf numFmtId="0" fontId="19" fillId="0" borderId="58" xfId="0" applyFont="1" applyBorder="1" applyAlignment="1">
      <alignment horizontal="center"/>
    </xf>
    <xf numFmtId="0" fontId="19" fillId="0" borderId="32" xfId="0" applyFont="1" applyBorder="1" applyAlignment="1">
      <alignment horizontal="center"/>
    </xf>
    <xf numFmtId="0" fontId="48" fillId="0" borderId="23" xfId="0" applyFont="1" applyBorder="1" applyAlignment="1">
      <alignment horizontal="center"/>
    </xf>
    <xf numFmtId="0" fontId="48" fillId="0" borderId="34" xfId="0" applyFont="1" applyBorder="1" applyAlignment="1">
      <alignment horizontal="center"/>
    </xf>
    <xf numFmtId="0" fontId="19" fillId="0" borderId="56" xfId="0" applyFont="1" applyBorder="1" applyAlignment="1">
      <alignment horizontal="centerContinuous"/>
    </xf>
    <xf numFmtId="0" fontId="48" fillId="0" borderId="20" xfId="0" applyFont="1" applyBorder="1" applyAlignment="1">
      <alignment horizontal="center"/>
    </xf>
    <xf numFmtId="199" fontId="48" fillId="0" borderId="22" xfId="0" applyNumberFormat="1" applyFont="1" applyBorder="1" applyAlignment="1">
      <alignment horizontal="center"/>
    </xf>
    <xf numFmtId="199" fontId="48" fillId="0" borderId="24" xfId="0" applyNumberFormat="1" applyFont="1" applyBorder="1" applyAlignment="1">
      <alignment horizontal="center"/>
    </xf>
    <xf numFmtId="200" fontId="15" fillId="0" borderId="18" xfId="0" applyNumberFormat="1" applyFont="1" applyBorder="1" applyProtection="1"/>
    <xf numFmtId="0" fontId="19" fillId="0" borderId="50" xfId="0" applyFont="1" applyBorder="1" applyAlignment="1" applyProtection="1">
      <alignment vertical="center"/>
    </xf>
    <xf numFmtId="2" fontId="15" fillId="0" borderId="2" xfId="6" applyNumberFormat="1" applyFont="1" applyFill="1" applyBorder="1" applyAlignment="1" applyProtection="1">
      <alignment horizontal="center" vertical="center"/>
    </xf>
    <xf numFmtId="9" fontId="19" fillId="0" borderId="51" xfId="6" applyFont="1" applyFill="1" applyBorder="1" applyAlignment="1" applyProtection="1">
      <alignment horizontal="right" vertical="center" indent="1"/>
    </xf>
    <xf numFmtId="3" fontId="19" fillId="0" borderId="18" xfId="0" applyNumberFormat="1" applyFont="1" applyBorder="1" applyAlignment="1" applyProtection="1">
      <alignment horizontal="left" vertical="center" indent="4"/>
    </xf>
    <xf numFmtId="3" fontId="19" fillId="0" borderId="19" xfId="0" applyNumberFormat="1" applyFont="1" applyBorder="1" applyAlignment="1" applyProtection="1">
      <alignment horizontal="left" vertical="center" indent="4"/>
    </xf>
    <xf numFmtId="241" fontId="19" fillId="0" borderId="13" xfId="0" applyNumberFormat="1" applyFont="1" applyBorder="1" applyAlignment="1" applyProtection="1">
      <alignment horizontal="right" vertical="center"/>
    </xf>
    <xf numFmtId="241" fontId="19" fillId="0" borderId="12" xfId="0" applyNumberFormat="1" applyFont="1" applyBorder="1" applyAlignment="1" applyProtection="1">
      <alignment horizontal="right" vertical="center"/>
    </xf>
    <xf numFmtId="3" fontId="15" fillId="0" borderId="19" xfId="0" applyNumberFormat="1" applyFont="1" applyBorder="1" applyAlignment="1" applyProtection="1">
      <alignment horizontal="right" indent="2"/>
    </xf>
    <xf numFmtId="0" fontId="36" fillId="0" borderId="0" xfId="0" applyFont="1" applyAlignment="1" applyProtection="1">
      <alignment horizontal="left" indent="1"/>
    </xf>
    <xf numFmtId="0" fontId="36" fillId="0" borderId="0" xfId="0" applyFont="1" applyAlignment="1" applyProtection="1">
      <alignment horizontal="left" vertical="center" indent="3"/>
    </xf>
    <xf numFmtId="241" fontId="19" fillId="2" borderId="17" xfId="0" applyNumberFormat="1" applyFont="1" applyFill="1" applyBorder="1" applyAlignment="1" applyProtection="1">
      <alignment vertical="center"/>
      <protection locked="0"/>
    </xf>
    <xf numFmtId="200" fontId="21" fillId="0" borderId="39" xfId="0" applyNumberFormat="1" applyFont="1" applyBorder="1"/>
    <xf numFmtId="200" fontId="21" fillId="0" borderId="36" xfId="0" applyNumberFormat="1" applyFont="1" applyBorder="1"/>
    <xf numFmtId="200" fontId="21" fillId="0" borderId="72" xfId="0" applyNumberFormat="1" applyFont="1" applyBorder="1"/>
    <xf numFmtId="200" fontId="18" fillId="0" borderId="15" xfId="0" applyNumberFormat="1" applyFont="1" applyBorder="1"/>
    <xf numFmtId="0" fontId="19" fillId="0" borderId="0" xfId="0" quotePrefix="1" applyFont="1"/>
    <xf numFmtId="164" fontId="48" fillId="0" borderId="0" xfId="0" applyNumberFormat="1" applyFont="1"/>
    <xf numFmtId="0" fontId="26" fillId="0" borderId="0" xfId="0" applyFont="1" applyAlignment="1" applyProtection="1">
      <alignment horizontal="centerContinuous"/>
    </xf>
    <xf numFmtId="0" fontId="26" fillId="0" borderId="0" xfId="0" applyFont="1" applyAlignment="1">
      <alignment horizontal="centerContinuous"/>
    </xf>
    <xf numFmtId="0" fontId="26" fillId="0" borderId="0" xfId="0" applyFont="1"/>
    <xf numFmtId="0" fontId="25" fillId="0" borderId="0" xfId="0" applyFont="1" applyAlignment="1" applyProtection="1">
      <alignment horizontal="centerContinuous"/>
    </xf>
    <xf numFmtId="3" fontId="36" fillId="0" borderId="12" xfId="0" applyNumberFormat="1" applyFont="1" applyBorder="1" applyAlignment="1">
      <alignment horizontal="left" indent="3"/>
    </xf>
    <xf numFmtId="3" fontId="13" fillId="0" borderId="0" xfId="0" applyNumberFormat="1" applyFont="1"/>
    <xf numFmtId="3" fontId="18" fillId="0" borderId="0" xfId="0" applyNumberFormat="1" applyFont="1" applyAlignment="1">
      <alignment horizontal="center" vertical="center"/>
    </xf>
    <xf numFmtId="196" fontId="21" fillId="0" borderId="22" xfId="6" applyNumberFormat="1" applyFont="1" applyFill="1" applyBorder="1" applyProtection="1"/>
    <xf numFmtId="196" fontId="21" fillId="0" borderId="24" xfId="6" applyNumberFormat="1" applyFont="1" applyFill="1" applyBorder="1" applyProtection="1"/>
    <xf numFmtId="3" fontId="23" fillId="0" borderId="0" xfId="0" applyNumberFormat="1" applyFont="1" applyAlignment="1">
      <alignment horizontal="left" indent="1"/>
    </xf>
    <xf numFmtId="3" fontId="36" fillId="0" borderId="0" xfId="0" applyNumberFormat="1" applyFont="1" applyAlignment="1">
      <alignment vertical="center"/>
    </xf>
    <xf numFmtId="3" fontId="36" fillId="0" borderId="17" xfId="0" applyNumberFormat="1" applyFont="1" applyBorder="1" applyAlignment="1">
      <alignment horizontal="center" vertical="center"/>
    </xf>
    <xf numFmtId="3" fontId="36" fillId="0" borderId="86" xfId="0" applyNumberFormat="1" applyFont="1" applyBorder="1" applyAlignment="1">
      <alignment horizontal="center" vertical="center"/>
    </xf>
    <xf numFmtId="3" fontId="36" fillId="0" borderId="90" xfId="0" applyNumberFormat="1" applyFont="1" applyBorder="1" applyAlignment="1">
      <alignment horizontal="center" vertical="center"/>
    </xf>
    <xf numFmtId="3" fontId="36" fillId="0" borderId="65" xfId="0" applyNumberFormat="1" applyFont="1" applyBorder="1" applyAlignment="1">
      <alignment horizontal="center" vertical="center"/>
    </xf>
    <xf numFmtId="3" fontId="36" fillId="0" borderId="64" xfId="0" applyNumberFormat="1" applyFont="1" applyBorder="1" applyAlignment="1">
      <alignment horizontal="center" vertical="center"/>
    </xf>
    <xf numFmtId="3" fontId="19" fillId="0" borderId="7" xfId="0" applyNumberFormat="1" applyFont="1" applyBorder="1" applyAlignment="1" applyProtection="1">
      <alignment horizontal="left" vertical="center" indent="3"/>
    </xf>
    <xf numFmtId="3" fontId="19" fillId="0" borderId="49" xfId="0" applyNumberFormat="1" applyFont="1" applyBorder="1" applyAlignment="1" applyProtection="1">
      <alignment horizontal="left" vertical="center" indent="3"/>
    </xf>
    <xf numFmtId="3" fontId="55" fillId="0" borderId="0" xfId="0" applyNumberFormat="1" applyFont="1" applyAlignment="1" applyProtection="1">
      <alignment horizontal="center"/>
    </xf>
    <xf numFmtId="3" fontId="56" fillId="0" borderId="0" xfId="0" applyNumberFormat="1" applyFont="1" applyAlignment="1" applyProtection="1">
      <alignment horizontal="center"/>
    </xf>
    <xf numFmtId="3" fontId="25" fillId="0" borderId="0" xfId="0" applyNumberFormat="1" applyFont="1" applyAlignment="1" applyProtection="1">
      <alignment horizontal="left"/>
    </xf>
    <xf numFmtId="3" fontId="36" fillId="0" borderId="7" xfId="0" applyNumberFormat="1" applyFont="1" applyBorder="1" applyAlignment="1" applyProtection="1">
      <alignment horizontal="left" indent="2"/>
    </xf>
    <xf numFmtId="3" fontId="36" fillId="0" borderId="7" xfId="0" applyNumberFormat="1" applyFont="1" applyBorder="1" applyAlignment="1" applyProtection="1">
      <alignment horizontal="left" vertical="center" indent="2"/>
    </xf>
    <xf numFmtId="3" fontId="36" fillId="0" borderId="8" xfId="0" applyNumberFormat="1" applyFont="1" applyBorder="1" applyAlignment="1" applyProtection="1">
      <alignment horizontal="left" vertical="center" indent="2"/>
    </xf>
    <xf numFmtId="3" fontId="20" fillId="0" borderId="7" xfId="0" applyNumberFormat="1" applyFont="1" applyBorder="1" applyAlignment="1" applyProtection="1">
      <alignment horizontal="left" vertical="center" indent="2"/>
    </xf>
    <xf numFmtId="3" fontId="20" fillId="0" borderId="16" xfId="0" applyNumberFormat="1" applyFont="1" applyBorder="1" applyAlignment="1" applyProtection="1">
      <alignment horizontal="left" vertical="center" indent="2"/>
    </xf>
    <xf numFmtId="217" fontId="36" fillId="0" borderId="5" xfId="6" applyNumberFormat="1" applyFont="1" applyBorder="1" applyAlignment="1" applyProtection="1">
      <alignment vertical="center"/>
    </xf>
    <xf numFmtId="168" fontId="20" fillId="0" borderId="54" xfId="0" applyNumberFormat="1" applyFont="1" applyBorder="1" applyAlignment="1" applyProtection="1">
      <alignment vertical="center"/>
    </xf>
    <xf numFmtId="217" fontId="36" fillId="0" borderId="3" xfId="6" applyNumberFormat="1" applyFont="1" applyBorder="1" applyAlignment="1" applyProtection="1">
      <alignment vertical="center"/>
    </xf>
    <xf numFmtId="217" fontId="20" fillId="0" borderId="55" xfId="0" applyNumberFormat="1" applyFont="1" applyBorder="1" applyAlignment="1" applyProtection="1">
      <alignment vertical="center"/>
    </xf>
    <xf numFmtId="168" fontId="20" fillId="0" borderId="48" xfId="0" applyNumberFormat="1" applyFont="1" applyBorder="1" applyAlignment="1" applyProtection="1">
      <alignment vertical="center"/>
    </xf>
    <xf numFmtId="217" fontId="36" fillId="0" borderId="5" xfId="0" applyNumberFormat="1" applyFont="1" applyBorder="1" applyAlignment="1" applyProtection="1">
      <alignment vertical="center"/>
    </xf>
    <xf numFmtId="217" fontId="36" fillId="0" borderId="55" xfId="0" applyNumberFormat="1" applyFont="1" applyBorder="1" applyAlignment="1" applyProtection="1">
      <alignment vertical="center"/>
    </xf>
    <xf numFmtId="168" fontId="20" fillId="0" borderId="23" xfId="0" applyNumberFormat="1" applyFont="1" applyBorder="1" applyProtection="1"/>
    <xf numFmtId="217" fontId="20" fillId="0" borderId="24" xfId="6" applyNumberFormat="1" applyFont="1" applyBorder="1" applyProtection="1"/>
    <xf numFmtId="168" fontId="20" fillId="0" borderId="51" xfId="0" applyNumberFormat="1" applyFont="1" applyBorder="1" applyProtection="1"/>
    <xf numFmtId="217" fontId="20" fillId="0" borderId="2" xfId="6" applyNumberFormat="1" applyFont="1" applyBorder="1" applyProtection="1"/>
    <xf numFmtId="217" fontId="20" fillId="0" borderId="50" xfId="0" applyNumberFormat="1" applyFont="1" applyBorder="1" applyProtection="1"/>
    <xf numFmtId="217" fontId="20" fillId="0" borderId="24" xfId="0" applyNumberFormat="1" applyFont="1" applyBorder="1" applyProtection="1"/>
    <xf numFmtId="219" fontId="20" fillId="0" borderId="23" xfId="0" applyNumberFormat="1" applyFont="1" applyBorder="1" applyAlignment="1" applyProtection="1">
      <alignment vertical="center"/>
    </xf>
    <xf numFmtId="217" fontId="36" fillId="0" borderId="24" xfId="6" applyNumberFormat="1" applyFont="1" applyFill="1" applyBorder="1" applyAlignment="1" applyProtection="1">
      <alignment vertical="center"/>
    </xf>
    <xf numFmtId="217" fontId="36" fillId="0" borderId="2" xfId="6" applyNumberFormat="1" applyFont="1" applyFill="1" applyBorder="1" applyAlignment="1" applyProtection="1">
      <alignment vertical="center"/>
    </xf>
    <xf numFmtId="217" fontId="36" fillId="0" borderId="50" xfId="0" applyNumberFormat="1" applyFont="1" applyBorder="1" applyAlignment="1" applyProtection="1">
      <alignment vertical="center"/>
    </xf>
    <xf numFmtId="217" fontId="20" fillId="0" borderId="24" xfId="0" applyNumberFormat="1" applyFont="1" applyBorder="1" applyAlignment="1" applyProtection="1">
      <alignment vertical="center"/>
    </xf>
    <xf numFmtId="217" fontId="20" fillId="0" borderId="50" xfId="0" applyNumberFormat="1" applyFont="1" applyBorder="1" applyAlignment="1" applyProtection="1">
      <alignment vertical="center"/>
    </xf>
    <xf numFmtId="217" fontId="36" fillId="0" borderId="24" xfId="0" applyNumberFormat="1" applyFont="1" applyBorder="1" applyAlignment="1" applyProtection="1">
      <alignment vertical="center"/>
    </xf>
    <xf numFmtId="217" fontId="36" fillId="0" borderId="24" xfId="6" applyNumberFormat="1" applyFont="1" applyBorder="1" applyAlignment="1" applyProtection="1">
      <alignment vertical="center"/>
    </xf>
    <xf numFmtId="219" fontId="20" fillId="0" borderId="51" xfId="0" applyNumberFormat="1" applyFont="1" applyBorder="1" applyAlignment="1" applyProtection="1">
      <alignment vertical="center"/>
    </xf>
    <xf numFmtId="219" fontId="20" fillId="0" borderId="63" xfId="0" applyNumberFormat="1" applyFont="1" applyBorder="1" applyAlignment="1" applyProtection="1">
      <alignment vertical="center"/>
    </xf>
    <xf numFmtId="217" fontId="20" fillId="0" borderId="60" xfId="0" applyNumberFormat="1" applyFont="1" applyBorder="1" applyAlignment="1" applyProtection="1">
      <alignment vertical="center"/>
    </xf>
    <xf numFmtId="219" fontId="20" fillId="0" borderId="34" xfId="0" applyNumberFormat="1" applyFont="1" applyBorder="1" applyAlignment="1" applyProtection="1">
      <alignment vertical="center"/>
    </xf>
    <xf numFmtId="217" fontId="20" fillId="0" borderId="4" xfId="0" applyNumberFormat="1" applyFont="1" applyBorder="1" applyAlignment="1" applyProtection="1">
      <alignment vertical="center"/>
    </xf>
    <xf numFmtId="0" fontId="15" fillId="0" borderId="9" xfId="0" applyFont="1" applyBorder="1" applyAlignment="1" applyProtection="1">
      <alignment horizontal="left" vertical="center"/>
    </xf>
    <xf numFmtId="1" fontId="15" fillId="0" borderId="9" xfId="0" applyNumberFormat="1" applyFont="1" applyBorder="1" applyAlignment="1" applyProtection="1">
      <alignment horizontal="center" vertical="center"/>
    </xf>
    <xf numFmtId="0" fontId="15" fillId="0" borderId="25" xfId="0"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0" fontId="15" fillId="0" borderId="36" xfId="0" applyFont="1" applyBorder="1" applyAlignment="1" applyProtection="1">
      <alignment horizontal="center" vertical="center"/>
    </xf>
    <xf numFmtId="1" fontId="15" fillId="0" borderId="37" xfId="0" applyNumberFormat="1" applyFont="1" applyBorder="1" applyAlignment="1" applyProtection="1">
      <alignment horizontal="center" vertical="center"/>
    </xf>
    <xf numFmtId="0" fontId="15" fillId="0" borderId="1" xfId="0" applyFont="1" applyBorder="1" applyAlignment="1" applyProtection="1">
      <alignment horizontal="center" vertical="center"/>
    </xf>
    <xf numFmtId="1" fontId="15" fillId="0" borderId="39" xfId="0" applyNumberFormat="1" applyFont="1" applyBorder="1" applyAlignment="1" applyProtection="1">
      <alignment horizontal="center" vertical="center"/>
    </xf>
    <xf numFmtId="0" fontId="15" fillId="0" borderId="11" xfId="0" applyFont="1" applyBorder="1" applyAlignment="1" applyProtection="1">
      <alignment horizontal="center" vertical="center"/>
    </xf>
    <xf numFmtId="10" fontId="19" fillId="0" borderId="0" xfId="0" applyNumberFormat="1" applyFont="1"/>
    <xf numFmtId="0" fontId="21" fillId="0" borderId="13" xfId="0" applyFont="1" applyBorder="1" applyAlignment="1">
      <alignment horizontal="right"/>
    </xf>
    <xf numFmtId="4" fontId="19" fillId="0" borderId="0" xfId="0" applyNumberFormat="1" applyFont="1"/>
    <xf numFmtId="0" fontId="19" fillId="0" borderId="2" xfId="0" applyFont="1" applyBorder="1"/>
    <xf numFmtId="0" fontId="15" fillId="0" borderId="60" xfId="0" applyFont="1" applyBorder="1" applyAlignment="1">
      <alignment horizontal="right"/>
    </xf>
    <xf numFmtId="3" fontId="57" fillId="0" borderId="0" xfId="0" applyNumberFormat="1" applyFont="1" applyAlignment="1" applyProtection="1">
      <alignment horizontal="center"/>
    </xf>
    <xf numFmtId="3" fontId="21" fillId="0" borderId="0" xfId="0" applyNumberFormat="1" applyFont="1" applyAlignment="1">
      <alignment horizontal="center"/>
    </xf>
    <xf numFmtId="0" fontId="36" fillId="0" borderId="30" xfId="0" applyFont="1" applyBorder="1"/>
    <xf numFmtId="0" fontId="36" fillId="0" borderId="26" xfId="0" applyFont="1" applyBorder="1"/>
    <xf numFmtId="190" fontId="36" fillId="0" borderId="12" xfId="0" applyNumberFormat="1" applyFont="1" applyBorder="1"/>
    <xf numFmtId="190" fontId="36" fillId="0" borderId="13" xfId="0" applyNumberFormat="1" applyFont="1" applyBorder="1"/>
    <xf numFmtId="190" fontId="36" fillId="0" borderId="7" xfId="0" applyNumberFormat="1" applyFont="1" applyBorder="1"/>
    <xf numFmtId="0" fontId="36" fillId="0" borderId="12" xfId="0" applyFont="1" applyBorder="1"/>
    <xf numFmtId="0" fontId="36" fillId="0" borderId="7" xfId="0" applyFont="1" applyBorder="1"/>
    <xf numFmtId="219" fontId="20" fillId="0" borderId="14" xfId="0" applyNumberFormat="1" applyFont="1" applyBorder="1"/>
    <xf numFmtId="219" fontId="20" fillId="0" borderId="0" xfId="0" applyNumberFormat="1" applyFont="1"/>
    <xf numFmtId="219" fontId="20" fillId="0" borderId="10" xfId="0" applyNumberFormat="1" applyFont="1" applyBorder="1"/>
    <xf numFmtId="219" fontId="36" fillId="0" borderId="30" xfId="0" applyNumberFormat="1" applyFont="1" applyBorder="1"/>
    <xf numFmtId="219" fontId="36" fillId="0" borderId="26" xfId="0" applyNumberFormat="1" applyFont="1" applyBorder="1"/>
    <xf numFmtId="219" fontId="36" fillId="0" borderId="56" xfId="0" applyNumberFormat="1" applyFont="1" applyBorder="1"/>
    <xf numFmtId="215" fontId="36" fillId="0" borderId="20" xfId="0" applyNumberFormat="1" applyFont="1" applyBorder="1"/>
    <xf numFmtId="215" fontId="36" fillId="0" borderId="21" xfId="0" applyNumberFormat="1" applyFont="1" applyBorder="1"/>
    <xf numFmtId="215" fontId="36" fillId="0" borderId="23" xfId="0" applyNumberFormat="1" applyFont="1" applyBorder="1"/>
    <xf numFmtId="215" fontId="36" fillId="0" borderId="2" xfId="0" applyNumberFormat="1" applyFont="1" applyBorder="1"/>
    <xf numFmtId="0" fontId="19" fillId="0" borderId="91" xfId="0" applyFont="1" applyBorder="1"/>
    <xf numFmtId="0" fontId="19" fillId="0" borderId="92" xfId="0" applyFont="1" applyBorder="1"/>
    <xf numFmtId="0" fontId="19" fillId="0" borderId="93" xfId="0" applyFont="1" applyBorder="1"/>
    <xf numFmtId="3" fontId="15" fillId="0" borderId="94" xfId="0" applyNumberFormat="1" applyFont="1" applyBorder="1" applyAlignment="1">
      <alignment horizontal="left" indent="1"/>
    </xf>
    <xf numFmtId="0" fontId="36" fillId="0" borderId="95" xfId="0" applyFont="1" applyBorder="1"/>
    <xf numFmtId="0" fontId="19" fillId="0" borderId="96" xfId="0" applyFont="1" applyBorder="1"/>
    <xf numFmtId="0" fontId="19" fillId="0" borderId="97" xfId="0" applyFont="1" applyBorder="1"/>
    <xf numFmtId="190" fontId="36" fillId="0" borderId="98" xfId="0" applyNumberFormat="1" applyFont="1" applyBorder="1"/>
    <xf numFmtId="0" fontId="19" fillId="0" borderId="99" xfId="0" applyFont="1" applyBorder="1"/>
    <xf numFmtId="0" fontId="36" fillId="0" borderId="98" xfId="0" applyFont="1" applyBorder="1"/>
    <xf numFmtId="0" fontId="19" fillId="0" borderId="100" xfId="0" applyFont="1" applyBorder="1"/>
    <xf numFmtId="219" fontId="20" fillId="0" borderId="101" xfId="0" applyNumberFormat="1" applyFont="1" applyBorder="1"/>
    <xf numFmtId="3" fontId="20" fillId="0" borderId="94" xfId="0" applyNumberFormat="1" applyFont="1" applyBorder="1" applyAlignment="1">
      <alignment horizontal="left" indent="1"/>
    </xf>
    <xf numFmtId="219" fontId="36" fillId="0" borderId="95" xfId="0" applyNumberFormat="1" applyFont="1" applyBorder="1"/>
    <xf numFmtId="0" fontId="36" fillId="0" borderId="102" xfId="0" applyFont="1" applyBorder="1"/>
    <xf numFmtId="0" fontId="36" fillId="0" borderId="103" xfId="0" applyFont="1" applyBorder="1" applyAlignment="1">
      <alignment horizontal="right"/>
    </xf>
    <xf numFmtId="0" fontId="19" fillId="0" borderId="92" xfId="0" applyFont="1" applyBorder="1" applyAlignment="1">
      <alignment horizontal="centerContinuous"/>
    </xf>
    <xf numFmtId="0" fontId="19" fillId="0" borderId="104" xfId="0" applyFont="1" applyBorder="1" applyAlignment="1">
      <alignment horizontal="centerContinuous"/>
    </xf>
    <xf numFmtId="0" fontId="20" fillId="0" borderId="105" xfId="0" applyFont="1" applyBorder="1" applyAlignment="1">
      <alignment horizontal="centerContinuous"/>
    </xf>
    <xf numFmtId="0" fontId="20" fillId="0" borderId="91" xfId="0" applyFont="1" applyBorder="1" applyAlignment="1">
      <alignment horizontal="centerContinuous" vertical="center"/>
    </xf>
    <xf numFmtId="0" fontId="20" fillId="0" borderId="92" xfId="0" applyFont="1" applyBorder="1" applyAlignment="1">
      <alignment horizontal="centerContinuous" vertical="center"/>
    </xf>
    <xf numFmtId="0" fontId="20" fillId="0" borderId="104" xfId="0" applyFont="1" applyBorder="1" applyAlignment="1">
      <alignment horizontal="centerContinuous" vertical="center"/>
    </xf>
    <xf numFmtId="215" fontId="36" fillId="0" borderId="106" xfId="0" applyNumberFormat="1" applyFont="1" applyBorder="1"/>
    <xf numFmtId="215" fontId="36" fillId="0" borderId="107" xfId="0" applyNumberFormat="1" applyFont="1" applyBorder="1"/>
    <xf numFmtId="0" fontId="36" fillId="0" borderId="103" xfId="0" applyFont="1" applyBorder="1"/>
    <xf numFmtId="215" fontId="36" fillId="0" borderId="108" xfId="0" applyNumberFormat="1" applyFont="1" applyBorder="1"/>
    <xf numFmtId="215" fontId="36" fillId="0" borderId="109" xfId="0" applyNumberFormat="1" applyFont="1" applyBorder="1"/>
    <xf numFmtId="215" fontId="36" fillId="0" borderId="110" xfId="0" applyNumberFormat="1" applyFont="1" applyBorder="1"/>
    <xf numFmtId="3" fontId="21" fillId="0" borderId="111" xfId="0" applyNumberFormat="1" applyFont="1" applyBorder="1"/>
    <xf numFmtId="10" fontId="21" fillId="0" borderId="112" xfId="6" applyNumberFormat="1" applyFont="1" applyFill="1" applyBorder="1" applyAlignment="1">
      <alignment horizontal="center" vertical="center"/>
    </xf>
    <xf numFmtId="0" fontId="15" fillId="0" borderId="91" xfId="0" applyFont="1" applyBorder="1" applyAlignment="1">
      <alignment horizontal="centerContinuous"/>
    </xf>
    <xf numFmtId="0" fontId="15" fillId="0" borderId="92" xfId="0" applyFont="1" applyBorder="1" applyAlignment="1">
      <alignment horizontal="centerContinuous"/>
    </xf>
    <xf numFmtId="0" fontId="15" fillId="0" borderId="113" xfId="0" applyFont="1" applyBorder="1" applyAlignment="1">
      <alignment horizontal="centerContinuous"/>
    </xf>
    <xf numFmtId="0" fontId="19" fillId="0" borderId="114" xfId="0" applyFont="1" applyBorder="1" applyAlignment="1">
      <alignment vertical="center"/>
    </xf>
    <xf numFmtId="3" fontId="15" fillId="0" borderId="115" xfId="0" applyNumberFormat="1" applyFont="1" applyBorder="1" applyAlignment="1">
      <alignment horizontal="center" vertical="center"/>
    </xf>
    <xf numFmtId="3" fontId="32" fillId="0" borderId="0" xfId="0" applyNumberFormat="1" applyFont="1" applyAlignment="1" applyProtection="1">
      <alignment horizontal="center"/>
    </xf>
    <xf numFmtId="206" fontId="41" fillId="0" borderId="15" xfId="0" applyNumberFormat="1" applyFont="1" applyBorder="1" applyProtection="1"/>
    <xf numFmtId="206" fontId="41" fillId="0" borderId="14" xfId="0" applyNumberFormat="1" applyFont="1" applyBorder="1" applyProtection="1"/>
    <xf numFmtId="3" fontId="36" fillId="0" borderId="0" xfId="0" applyNumberFormat="1" applyFont="1" applyAlignment="1" applyProtection="1">
      <alignment horizontal="right"/>
    </xf>
    <xf numFmtId="3" fontId="21" fillId="0" borderId="0" xfId="0" applyNumberFormat="1" applyFont="1" applyAlignment="1" applyProtection="1">
      <alignment horizontal="center"/>
    </xf>
    <xf numFmtId="226" fontId="41" fillId="0" borderId="15" xfId="0" applyNumberFormat="1" applyFont="1" applyBorder="1" applyProtection="1"/>
    <xf numFmtId="226" fontId="41" fillId="2" borderId="15" xfId="0" applyNumberFormat="1" applyFont="1" applyFill="1" applyBorder="1" applyProtection="1"/>
    <xf numFmtId="226" fontId="41" fillId="0" borderId="12" xfId="0" applyNumberFormat="1" applyFont="1" applyBorder="1" applyProtection="1"/>
    <xf numFmtId="9" fontId="32" fillId="0" borderId="0" xfId="6" applyFont="1" applyFill="1" applyBorder="1" applyAlignment="1" applyProtection="1">
      <alignment horizontal="center"/>
    </xf>
    <xf numFmtId="3" fontId="41" fillId="0" borderId="9" xfId="0" applyNumberFormat="1" applyFont="1" applyBorder="1" applyAlignment="1" applyProtection="1">
      <alignment vertical="center"/>
    </xf>
    <xf numFmtId="3" fontId="41" fillId="0" borderId="6" xfId="0" applyNumberFormat="1" applyFont="1" applyBorder="1" applyAlignment="1" applyProtection="1">
      <alignment vertical="center"/>
    </xf>
    <xf numFmtId="206" fontId="41" fillId="0" borderId="11" xfId="0" applyNumberFormat="1" applyFont="1" applyBorder="1" applyAlignment="1" applyProtection="1">
      <alignment vertical="center"/>
    </xf>
    <xf numFmtId="206" fontId="41" fillId="0" borderId="1" xfId="0" applyNumberFormat="1" applyFont="1" applyBorder="1" applyAlignment="1" applyProtection="1">
      <alignment vertical="center"/>
    </xf>
    <xf numFmtId="206" fontId="41" fillId="2" borderId="15" xfId="0" applyNumberFormat="1" applyFont="1" applyFill="1" applyBorder="1" applyProtection="1"/>
    <xf numFmtId="3" fontId="21" fillId="0" borderId="9" xfId="0" applyNumberFormat="1" applyFont="1" applyBorder="1" applyProtection="1"/>
    <xf numFmtId="3" fontId="41" fillId="0" borderId="6" xfId="0" applyNumberFormat="1" applyFont="1" applyBorder="1" applyProtection="1"/>
    <xf numFmtId="1" fontId="21" fillId="0" borderId="0" xfId="0" applyNumberFormat="1" applyFont="1" applyAlignment="1" applyProtection="1">
      <alignment horizontal="center"/>
    </xf>
    <xf numFmtId="3" fontId="25" fillId="0" borderId="0" xfId="0" applyNumberFormat="1" applyFont="1" applyAlignment="1" applyProtection="1">
      <alignment horizontal="center"/>
    </xf>
    <xf numFmtId="9" fontId="21" fillId="0" borderId="0" xfId="0" applyNumberFormat="1" applyFont="1" applyProtection="1"/>
    <xf numFmtId="3" fontId="41" fillId="0" borderId="0" xfId="0" applyNumberFormat="1" applyFont="1" applyAlignment="1" applyProtection="1">
      <alignment horizontal="left"/>
    </xf>
    <xf numFmtId="225" fontId="41" fillId="0" borderId="12" xfId="0" applyNumberFormat="1" applyFont="1" applyBorder="1" applyProtection="1"/>
    <xf numFmtId="1" fontId="21" fillId="0" borderId="0" xfId="0" quotePrefix="1" applyNumberFormat="1" applyFont="1" applyAlignment="1" applyProtection="1">
      <alignment horizontal="center"/>
    </xf>
    <xf numFmtId="3" fontId="21" fillId="0" borderId="6" xfId="0" applyNumberFormat="1" applyFont="1" applyBorder="1" applyAlignment="1" applyProtection="1">
      <alignment horizontal="right" vertical="center" indent="1"/>
    </xf>
    <xf numFmtId="3" fontId="21" fillId="0" borderId="1" xfId="0" applyNumberFormat="1" applyFont="1" applyBorder="1" applyAlignment="1" applyProtection="1">
      <alignment horizontal="right" vertical="center" indent="1"/>
    </xf>
    <xf numFmtId="3" fontId="21" fillId="0" borderId="6" xfId="0" applyNumberFormat="1" applyFont="1" applyBorder="1" applyAlignment="1" applyProtection="1">
      <alignment horizontal="right" indent="1"/>
    </xf>
    <xf numFmtId="206" fontId="18" fillId="0" borderId="11" xfId="0" applyNumberFormat="1" applyFont="1" applyBorder="1" applyProtection="1"/>
    <xf numFmtId="0" fontId="21" fillId="0" borderId="50" xfId="0" applyFont="1" applyBorder="1" applyAlignment="1">
      <alignment horizontal="right" indent="1"/>
    </xf>
    <xf numFmtId="0" fontId="18" fillId="0" borderId="50" xfId="0" applyFont="1" applyBorder="1" applyAlignment="1">
      <alignment horizontal="right" indent="1"/>
    </xf>
    <xf numFmtId="0" fontId="36" fillId="0" borderId="55" xfId="0" applyFont="1" applyBorder="1" applyAlignment="1">
      <alignment horizontal="right" indent="1"/>
    </xf>
    <xf numFmtId="0" fontId="21" fillId="0" borderId="13" xfId="0" applyFont="1" applyBorder="1" applyAlignment="1">
      <alignment horizontal="right" indent="1"/>
    </xf>
    <xf numFmtId="207" fontId="36" fillId="0" borderId="71" xfId="3" applyNumberFormat="1" applyFont="1" applyFill="1" applyBorder="1"/>
    <xf numFmtId="207" fontId="36" fillId="0" borderId="50" xfId="3" applyNumberFormat="1" applyFont="1" applyBorder="1"/>
    <xf numFmtId="207" fontId="36" fillId="0" borderId="116" xfId="3" applyNumberFormat="1" applyFont="1" applyBorder="1"/>
    <xf numFmtId="207" fontId="58" fillId="0" borderId="99" xfId="0" applyNumberFormat="1" applyFont="1" applyBorder="1"/>
    <xf numFmtId="207" fontId="36" fillId="0" borderId="99" xfId="0" applyNumberFormat="1" applyFont="1" applyBorder="1"/>
    <xf numFmtId="207" fontId="36" fillId="0" borderId="102" xfId="0" applyNumberFormat="1" applyFont="1" applyBorder="1"/>
    <xf numFmtId="202" fontId="20" fillId="0" borderId="117" xfId="0" applyNumberFormat="1" applyFont="1" applyBorder="1"/>
    <xf numFmtId="0" fontId="36" fillId="0" borderId="117" xfId="0" applyFont="1" applyBorder="1"/>
    <xf numFmtId="200" fontId="36" fillId="0" borderId="117" xfId="0" applyNumberFormat="1" applyFont="1" applyBorder="1"/>
    <xf numFmtId="202" fontId="20" fillId="0" borderId="118" xfId="0" applyNumberFormat="1" applyFont="1" applyBorder="1"/>
    <xf numFmtId="213" fontId="18" fillId="0" borderId="2" xfId="0" applyNumberFormat="1" applyFont="1" applyBorder="1"/>
    <xf numFmtId="168" fontId="18" fillId="0" borderId="46" xfId="0" applyNumberFormat="1" applyFont="1" applyBorder="1"/>
    <xf numFmtId="0" fontId="20" fillId="0" borderId="0" xfId="0" applyFont="1" applyAlignment="1">
      <alignment horizontal="right"/>
    </xf>
    <xf numFmtId="3" fontId="40" fillId="0" borderId="0" xfId="0" applyNumberFormat="1" applyFont="1" applyAlignment="1" applyProtection="1">
      <alignment horizontal="center"/>
    </xf>
    <xf numFmtId="3" fontId="18" fillId="0" borderId="20" xfId="0" applyNumberFormat="1" applyFont="1" applyBorder="1"/>
    <xf numFmtId="3" fontId="18" fillId="0" borderId="21" xfId="0" applyNumberFormat="1" applyFont="1" applyBorder="1" applyAlignment="1">
      <alignment horizontal="center"/>
    </xf>
    <xf numFmtId="3" fontId="18" fillId="0" borderId="22" xfId="0" applyNumberFormat="1" applyFont="1" applyBorder="1" applyAlignment="1">
      <alignment horizontal="center"/>
    </xf>
    <xf numFmtId="213" fontId="18" fillId="0" borderId="24" xfId="0" applyNumberFormat="1" applyFont="1" applyBorder="1"/>
    <xf numFmtId="168" fontId="18" fillId="0" borderId="47" xfId="0" applyNumberFormat="1" applyFont="1" applyBorder="1"/>
    <xf numFmtId="0" fontId="19" fillId="0" borderId="35" xfId="0" applyFont="1" applyBorder="1"/>
    <xf numFmtId="168" fontId="15" fillId="2" borderId="35" xfId="0" applyNumberFormat="1" applyFont="1" applyFill="1" applyBorder="1"/>
    <xf numFmtId="168" fontId="15" fillId="0" borderId="35" xfId="0" applyNumberFormat="1" applyFont="1" applyBorder="1"/>
    <xf numFmtId="3" fontId="18" fillId="0" borderId="0" xfId="0" applyNumberFormat="1" applyFont="1" applyAlignment="1">
      <alignment horizontal="left" indent="3"/>
    </xf>
    <xf numFmtId="194" fontId="21" fillId="0" borderId="21" xfId="0" applyNumberFormat="1" applyFont="1" applyBorder="1"/>
    <xf numFmtId="194" fontId="21" fillId="0" borderId="2" xfId="0" applyNumberFormat="1" applyFont="1" applyBorder="1"/>
    <xf numFmtId="194" fontId="21" fillId="0" borderId="24" xfId="0" applyNumberFormat="1" applyFont="1" applyBorder="1"/>
    <xf numFmtId="9" fontId="18" fillId="0" borderId="13" xfId="6" applyFont="1" applyFill="1" applyBorder="1" applyAlignment="1">
      <alignment horizontal="center"/>
    </xf>
    <xf numFmtId="3" fontId="18" fillId="0" borderId="13" xfId="6" applyNumberFormat="1" applyFont="1" applyFill="1" applyBorder="1" applyAlignment="1">
      <alignment horizontal="center"/>
    </xf>
    <xf numFmtId="3" fontId="18" fillId="0" borderId="67" xfId="6" applyNumberFormat="1" applyFont="1" applyFill="1" applyBorder="1" applyAlignment="1">
      <alignment horizontal="center"/>
    </xf>
    <xf numFmtId="194" fontId="21" fillId="0" borderId="35" xfId="0" applyNumberFormat="1" applyFont="1" applyBorder="1"/>
    <xf numFmtId="194" fontId="21" fillId="0" borderId="46" xfId="0" applyNumberFormat="1" applyFont="1" applyBorder="1"/>
    <xf numFmtId="194" fontId="21" fillId="0" borderId="47" xfId="0" applyNumberFormat="1" applyFont="1" applyBorder="1"/>
    <xf numFmtId="3" fontId="15" fillId="0" borderId="0" xfId="0" applyNumberFormat="1" applyFont="1" applyAlignment="1">
      <alignment horizontal="left" indent="1"/>
    </xf>
    <xf numFmtId="168" fontId="15" fillId="0" borderId="0" xfId="0" applyNumberFormat="1" applyFont="1"/>
    <xf numFmtId="9" fontId="18" fillId="0" borderId="18" xfId="6" applyFont="1" applyBorder="1" applyAlignment="1">
      <alignment horizontal="center"/>
    </xf>
    <xf numFmtId="3" fontId="21" fillId="0" borderId="21" xfId="0" applyNumberFormat="1" applyFont="1" applyBorder="1"/>
    <xf numFmtId="9" fontId="18" fillId="0" borderId="12" xfId="6" applyFont="1" applyBorder="1" applyAlignment="1">
      <alignment horizontal="center"/>
    </xf>
    <xf numFmtId="3" fontId="21" fillId="0" borderId="2" xfId="0" applyNumberFormat="1" applyFont="1" applyBorder="1"/>
    <xf numFmtId="9" fontId="18" fillId="0" borderId="19" xfId="6" applyFont="1" applyBorder="1" applyAlignment="1">
      <alignment horizontal="center"/>
    </xf>
    <xf numFmtId="3" fontId="21" fillId="0" borderId="35" xfId="0" applyNumberFormat="1" applyFont="1" applyBorder="1"/>
    <xf numFmtId="0" fontId="19" fillId="0" borderId="0" xfId="0" applyFont="1" applyAlignment="1">
      <alignment horizontal="left" indent="3"/>
    </xf>
    <xf numFmtId="186" fontId="18" fillId="0" borderId="49" xfId="0" applyNumberFormat="1" applyFont="1" applyBorder="1"/>
    <xf numFmtId="186" fontId="18" fillId="0" borderId="21" xfId="0" applyNumberFormat="1" applyFont="1" applyBorder="1"/>
    <xf numFmtId="186" fontId="18" fillId="0" borderId="71" xfId="0" applyNumberFormat="1" applyFont="1" applyBorder="1"/>
    <xf numFmtId="186" fontId="18" fillId="0" borderId="7" xfId="0" applyNumberFormat="1" applyFont="1" applyBorder="1"/>
    <xf numFmtId="186" fontId="18" fillId="0" borderId="2" xfId="0" applyNumberFormat="1" applyFont="1" applyBorder="1"/>
    <xf numFmtId="186" fontId="18" fillId="0" borderId="50" xfId="0" applyNumberFormat="1" applyFont="1" applyBorder="1"/>
    <xf numFmtId="190" fontId="18" fillId="0" borderId="24" xfId="0" applyNumberFormat="1" applyFont="1" applyBorder="1"/>
    <xf numFmtId="190" fontId="18" fillId="0" borderId="4" xfId="0" applyNumberFormat="1" applyFont="1" applyBorder="1"/>
    <xf numFmtId="3" fontId="18" fillId="0" borderId="28" xfId="0" applyNumberFormat="1" applyFont="1" applyBorder="1" applyAlignment="1">
      <alignment horizontal="center"/>
    </xf>
    <xf numFmtId="3" fontId="18" fillId="0" borderId="29" xfId="0" applyNumberFormat="1" applyFont="1" applyBorder="1" applyAlignment="1">
      <alignment horizontal="center"/>
    </xf>
    <xf numFmtId="0" fontId="19" fillId="0" borderId="21" xfId="0" applyFont="1" applyBorder="1"/>
    <xf numFmtId="190" fontId="18" fillId="0" borderId="22" xfId="0" applyNumberFormat="1" applyFont="1" applyBorder="1"/>
    <xf numFmtId="190" fontId="36" fillId="0" borderId="24" xfId="0" applyNumberFormat="1" applyFont="1" applyBorder="1"/>
    <xf numFmtId="0" fontId="19" fillId="0" borderId="25" xfId="0" applyFont="1" applyBorder="1" applyAlignment="1">
      <alignment horizontal="center"/>
    </xf>
    <xf numFmtId="3" fontId="15" fillId="0" borderId="9" xfId="0" applyNumberFormat="1" applyFont="1" applyBorder="1" applyAlignment="1">
      <alignment horizontal="left" indent="5"/>
    </xf>
    <xf numFmtId="190" fontId="18" fillId="0" borderId="12" xfId="0" applyNumberFormat="1" applyFont="1" applyBorder="1"/>
    <xf numFmtId="190" fontId="18" fillId="0" borderId="38" xfId="0" applyNumberFormat="1" applyFont="1" applyBorder="1"/>
    <xf numFmtId="3" fontId="36" fillId="0" borderId="8" xfId="0" applyNumberFormat="1" applyFont="1" applyBorder="1" applyAlignment="1">
      <alignment horizontal="left" indent="3"/>
    </xf>
    <xf numFmtId="3" fontId="36" fillId="0" borderId="7" xfId="0" applyNumberFormat="1" applyFont="1" applyBorder="1" applyAlignment="1">
      <alignment horizontal="left" indent="3"/>
    </xf>
    <xf numFmtId="3" fontId="36" fillId="0" borderId="69" xfId="0" applyNumberFormat="1" applyFont="1" applyBorder="1" applyAlignment="1">
      <alignment horizontal="left" indent="3"/>
    </xf>
    <xf numFmtId="3" fontId="18" fillId="0" borderId="9" xfId="0" applyNumberFormat="1" applyFont="1" applyBorder="1" applyAlignment="1">
      <alignment horizontal="center"/>
    </xf>
    <xf numFmtId="3" fontId="18" fillId="0" borderId="18" xfId="0" applyNumberFormat="1" applyFont="1" applyBorder="1"/>
    <xf numFmtId="3" fontId="18" fillId="0" borderId="12" xfId="0" applyNumberFormat="1" applyFont="1" applyBorder="1"/>
    <xf numFmtId="3" fontId="18" fillId="0" borderId="19" xfId="0" applyNumberFormat="1" applyFont="1" applyBorder="1"/>
    <xf numFmtId="0" fontId="19" fillId="0" borderId="49" xfId="0" applyFont="1" applyBorder="1" applyAlignment="1">
      <alignment horizontal="left" indent="1"/>
    </xf>
    <xf numFmtId="0" fontId="19" fillId="0" borderId="7" xfId="0" applyFont="1" applyBorder="1" applyAlignment="1">
      <alignment horizontal="left" indent="1"/>
    </xf>
    <xf numFmtId="0" fontId="19" fillId="0" borderId="16" xfId="0" applyFont="1" applyBorder="1" applyAlignment="1">
      <alignment horizontal="left" indent="1"/>
    </xf>
    <xf numFmtId="3" fontId="19" fillId="0" borderId="11" xfId="0" applyNumberFormat="1" applyFont="1" applyBorder="1" applyAlignment="1">
      <alignment horizontal="center"/>
    </xf>
    <xf numFmtId="0" fontId="19" fillId="0" borderId="11" xfId="0" applyFont="1" applyBorder="1" applyAlignment="1">
      <alignment horizontal="right" indent="1"/>
    </xf>
    <xf numFmtId="0" fontId="19" fillId="0" borderId="0" xfId="0" applyFont="1" applyAlignment="1">
      <alignment horizontal="right" indent="1"/>
    </xf>
    <xf numFmtId="246" fontId="18" fillId="0" borderId="35" xfId="0" applyNumberFormat="1" applyFont="1" applyBorder="1"/>
    <xf numFmtId="190" fontId="36" fillId="0" borderId="5" xfId="0" applyNumberFormat="1" applyFont="1" applyBorder="1"/>
    <xf numFmtId="194" fontId="36" fillId="0" borderId="35" xfId="0" applyNumberFormat="1" applyFont="1" applyBorder="1"/>
    <xf numFmtId="190" fontId="36" fillId="0" borderId="4" xfId="0" applyNumberFormat="1" applyFont="1" applyBorder="1"/>
    <xf numFmtId="194" fontId="18" fillId="0" borderId="39" xfId="0" applyNumberFormat="1" applyFont="1" applyBorder="1"/>
    <xf numFmtId="194" fontId="18" fillId="0" borderId="36" xfId="0" applyNumberFormat="1" applyFont="1" applyBorder="1"/>
    <xf numFmtId="194" fontId="18" fillId="0" borderId="25" xfId="0" applyNumberFormat="1" applyFont="1" applyBorder="1"/>
    <xf numFmtId="190" fontId="18" fillId="0" borderId="11" xfId="0" applyNumberFormat="1" applyFont="1" applyBorder="1"/>
    <xf numFmtId="227" fontId="18" fillId="0" borderId="37" xfId="0" applyNumberFormat="1" applyFont="1" applyBorder="1"/>
    <xf numFmtId="227" fontId="18" fillId="0" borderId="36" xfId="0" applyNumberFormat="1" applyFont="1" applyBorder="1"/>
    <xf numFmtId="227" fontId="18" fillId="0" borderId="25" xfId="0" applyNumberFormat="1" applyFont="1" applyBorder="1"/>
    <xf numFmtId="206" fontId="18" fillId="0" borderId="37" xfId="0" applyNumberFormat="1" applyFont="1" applyBorder="1"/>
    <xf numFmtId="206" fontId="18" fillId="0" borderId="36" xfId="0" applyNumberFormat="1" applyFont="1" applyBorder="1"/>
    <xf numFmtId="206" fontId="18" fillId="0" borderId="25" xfId="0" applyNumberFormat="1" applyFont="1" applyBorder="1"/>
    <xf numFmtId="0" fontId="20" fillId="0" borderId="56" xfId="0" applyFont="1" applyBorder="1" applyAlignment="1">
      <alignment horizontal="center"/>
    </xf>
    <xf numFmtId="0" fontId="12" fillId="0" borderId="10" xfId="0" applyFont="1" applyBorder="1" applyAlignment="1">
      <alignment horizontal="center"/>
    </xf>
    <xf numFmtId="227" fontId="21" fillId="0" borderId="51" xfId="0" applyNumberFormat="1" applyFont="1" applyBorder="1" applyProtection="1">
      <protection locked="0"/>
    </xf>
    <xf numFmtId="227" fontId="21" fillId="0" borderId="41" xfId="0" applyNumberFormat="1" applyFont="1" applyBorder="1" applyProtection="1">
      <protection locked="0"/>
    </xf>
    <xf numFmtId="166" fontId="21" fillId="2" borderId="18" xfId="6" applyNumberFormat="1" applyFont="1" applyFill="1" applyBorder="1" applyAlignment="1" applyProtection="1">
      <alignment horizontal="center"/>
      <protection locked="0"/>
    </xf>
    <xf numFmtId="4" fontId="21" fillId="2" borderId="12" xfId="6" applyNumberFormat="1" applyFont="1" applyFill="1" applyBorder="1" applyAlignment="1" applyProtection="1">
      <alignment horizontal="center"/>
    </xf>
    <xf numFmtId="3" fontId="19" fillId="0" borderId="2" xfId="0" quotePrefix="1" applyNumberFormat="1" applyFont="1" applyBorder="1" applyAlignment="1" applyProtection="1">
      <alignment horizontal="center" vertical="center" shrinkToFit="1"/>
    </xf>
    <xf numFmtId="3" fontId="19" fillId="0" borderId="2" xfId="0" applyNumberFormat="1" applyFont="1" applyBorder="1" applyAlignment="1" applyProtection="1">
      <alignment vertical="center" shrinkToFit="1"/>
    </xf>
    <xf numFmtId="3" fontId="19" fillId="0" borderId="2" xfId="0" applyNumberFormat="1" applyFont="1" applyBorder="1" applyAlignment="1" applyProtection="1">
      <alignment horizontal="center" vertical="center" shrinkToFit="1"/>
    </xf>
    <xf numFmtId="3" fontId="36" fillId="0" borderId="8" xfId="0" applyNumberFormat="1" applyFont="1" applyBorder="1" applyAlignment="1" applyProtection="1">
      <alignment horizontal="left" indent="1"/>
    </xf>
    <xf numFmtId="3" fontId="36" fillId="0" borderId="7" xfId="0" applyNumberFormat="1" applyFont="1" applyBorder="1" applyAlignment="1" applyProtection="1">
      <alignment horizontal="left" indent="1"/>
    </xf>
    <xf numFmtId="3" fontId="36" fillId="0" borderId="49" xfId="0" applyNumberFormat="1" applyFont="1" applyBorder="1" applyAlignment="1" applyProtection="1">
      <alignment horizontal="left" indent="1"/>
    </xf>
    <xf numFmtId="225" fontId="36" fillId="2" borderId="39" xfId="0" applyNumberFormat="1" applyFont="1" applyFill="1" applyBorder="1" applyAlignment="1" applyProtection="1">
      <alignment vertical="center"/>
    </xf>
    <xf numFmtId="225" fontId="36" fillId="0" borderId="36" xfId="0" applyNumberFormat="1" applyFont="1" applyBorder="1" applyAlignment="1" applyProtection="1">
      <alignment vertical="center"/>
      <protection locked="0"/>
    </xf>
    <xf numFmtId="225" fontId="36" fillId="0" borderId="39" xfId="0" applyNumberFormat="1" applyFont="1" applyBorder="1" applyAlignment="1" applyProtection="1">
      <alignment vertical="center"/>
      <protection locked="0"/>
    </xf>
    <xf numFmtId="225" fontId="36" fillId="0" borderId="6" xfId="0" applyNumberFormat="1" applyFont="1" applyBorder="1" applyAlignment="1" applyProtection="1">
      <alignment vertical="center"/>
      <protection locked="0"/>
    </xf>
    <xf numFmtId="168" fontId="36" fillId="0" borderId="11" xfId="0" applyNumberFormat="1" applyFont="1" applyBorder="1" applyAlignment="1" applyProtection="1">
      <alignment vertical="center"/>
    </xf>
    <xf numFmtId="3" fontId="18" fillId="0" borderId="39" xfId="0" applyNumberFormat="1" applyFont="1" applyBorder="1" applyAlignment="1" applyProtection="1">
      <alignment vertical="center"/>
    </xf>
    <xf numFmtId="3" fontId="18" fillId="0" borderId="58" xfId="0" applyNumberFormat="1" applyFont="1" applyBorder="1" applyAlignment="1" applyProtection="1">
      <alignment vertical="center"/>
    </xf>
    <xf numFmtId="3" fontId="36" fillId="0" borderId="14" xfId="0" applyNumberFormat="1" applyFont="1" applyBorder="1" applyAlignment="1" applyProtection="1">
      <alignment vertical="center"/>
    </xf>
    <xf numFmtId="190" fontId="36" fillId="2" borderId="11" xfId="0" applyNumberFormat="1" applyFont="1" applyFill="1" applyBorder="1" applyAlignment="1" applyProtection="1">
      <alignment vertical="center"/>
    </xf>
    <xf numFmtId="230" fontId="36" fillId="0" borderId="37" xfId="0" applyNumberFormat="1" applyFont="1" applyBorder="1" applyAlignment="1" applyProtection="1">
      <alignment vertical="center"/>
    </xf>
    <xf numFmtId="230" fontId="36" fillId="0" borderId="36" xfId="0" applyNumberFormat="1" applyFont="1" applyBorder="1" applyAlignment="1" applyProtection="1">
      <alignment vertical="center"/>
    </xf>
    <xf numFmtId="230" fontId="36" fillId="0" borderId="72" xfId="0" applyNumberFormat="1" applyFont="1" applyBorder="1" applyAlignment="1" applyProtection="1">
      <alignment vertical="center"/>
    </xf>
    <xf numFmtId="3" fontId="18" fillId="0" borderId="11" xfId="0" applyNumberFormat="1" applyFont="1" applyBorder="1" applyAlignment="1" applyProtection="1">
      <alignment vertical="center"/>
    </xf>
    <xf numFmtId="3" fontId="36" fillId="0" borderId="15" xfId="0" applyNumberFormat="1" applyFont="1" applyBorder="1" applyAlignment="1" applyProtection="1">
      <alignment vertical="center"/>
    </xf>
    <xf numFmtId="3" fontId="20" fillId="0" borderId="37" xfId="0" applyNumberFormat="1" applyFont="1" applyBorder="1" applyAlignment="1" applyProtection="1">
      <alignment horizontal="left" vertical="center" indent="1"/>
    </xf>
    <xf numFmtId="3" fontId="18" fillId="0" borderId="10" xfId="0" applyNumberFormat="1" applyFont="1" applyBorder="1" applyAlignment="1" applyProtection="1">
      <alignment horizontal="left" vertical="center" indent="1"/>
    </xf>
    <xf numFmtId="3" fontId="20" fillId="0" borderId="11" xfId="0" applyNumberFormat="1" applyFont="1" applyBorder="1" applyAlignment="1" applyProtection="1">
      <alignment horizontal="left" vertical="center" indent="1"/>
    </xf>
    <xf numFmtId="3" fontId="21" fillId="0" borderId="41" xfId="0" applyNumberFormat="1" applyFont="1" applyBorder="1" applyAlignment="1" applyProtection="1">
      <alignment vertical="center"/>
    </xf>
    <xf numFmtId="3" fontId="21" fillId="0" borderId="51" xfId="0" applyNumberFormat="1" applyFont="1" applyBorder="1" applyAlignment="1" applyProtection="1">
      <alignment vertical="center"/>
    </xf>
    <xf numFmtId="3" fontId="21" fillId="0" borderId="77" xfId="0" applyNumberFormat="1" applyFont="1" applyBorder="1" applyAlignment="1" applyProtection="1">
      <alignment vertical="center"/>
    </xf>
    <xf numFmtId="3" fontId="21" fillId="0" borderId="54" xfId="0" applyNumberFormat="1" applyFont="1" applyBorder="1" applyAlignment="1" applyProtection="1">
      <alignment vertical="center"/>
    </xf>
    <xf numFmtId="3" fontId="18" fillId="0" borderId="16" xfId="0" applyNumberFormat="1" applyFont="1" applyBorder="1" applyAlignment="1" applyProtection="1">
      <alignment horizontal="right" vertical="center"/>
    </xf>
    <xf numFmtId="3" fontId="18" fillId="0" borderId="63" xfId="0" applyNumberFormat="1" applyFont="1" applyBorder="1" applyAlignment="1" applyProtection="1">
      <alignment vertical="center"/>
    </xf>
    <xf numFmtId="3" fontId="36" fillId="0" borderId="49" xfId="0" applyNumberFormat="1" applyFont="1" applyBorder="1" applyAlignment="1" applyProtection="1">
      <alignment horizontal="left" vertical="center" indent="1"/>
    </xf>
    <xf numFmtId="3" fontId="36" fillId="0" borderId="7" xfId="0" applyNumberFormat="1" applyFont="1" applyBorder="1" applyAlignment="1" applyProtection="1">
      <alignment horizontal="left" vertical="center" indent="1"/>
    </xf>
    <xf numFmtId="3" fontId="21" fillId="0" borderId="10" xfId="0" applyNumberFormat="1" applyFont="1" applyBorder="1" applyAlignment="1" applyProtection="1">
      <alignment horizontal="left" vertical="center" indent="1"/>
    </xf>
    <xf numFmtId="3" fontId="36" fillId="0" borderId="8" xfId="0" applyNumberFormat="1" applyFont="1" applyBorder="1" applyAlignment="1" applyProtection="1">
      <alignment horizontal="left" vertical="center" indent="1"/>
    </xf>
    <xf numFmtId="3" fontId="20" fillId="0" borderId="8" xfId="0" applyNumberFormat="1" applyFont="1" applyBorder="1" applyAlignment="1" applyProtection="1">
      <alignment horizontal="left" vertical="center" indent="1"/>
    </xf>
    <xf numFmtId="3" fontId="20" fillId="0" borderId="16" xfId="0" applyNumberFormat="1" applyFont="1" applyBorder="1" applyAlignment="1" applyProtection="1">
      <alignment horizontal="right" vertical="center"/>
    </xf>
    <xf numFmtId="228" fontId="36" fillId="0" borderId="41" xfId="0" applyNumberFormat="1" applyFont="1" applyBorder="1" applyProtection="1"/>
    <xf numFmtId="228" fontId="36" fillId="0" borderId="61" xfId="0" applyNumberFormat="1" applyFont="1" applyBorder="1" applyProtection="1"/>
    <xf numFmtId="228" fontId="20" fillId="0" borderId="18" xfId="0" applyNumberFormat="1" applyFont="1" applyBorder="1" applyProtection="1"/>
    <xf numFmtId="228" fontId="36" fillId="0" borderId="54" xfId="0" quotePrefix="1" applyNumberFormat="1" applyFont="1" applyBorder="1" applyProtection="1"/>
    <xf numFmtId="228" fontId="36" fillId="0" borderId="54" xfId="0" applyNumberFormat="1" applyFont="1" applyBorder="1" applyProtection="1"/>
    <xf numFmtId="228" fontId="36" fillId="0" borderId="77" xfId="0" applyNumberFormat="1" applyFont="1" applyBorder="1" applyProtection="1"/>
    <xf numFmtId="228" fontId="20" fillId="0" borderId="12" xfId="0" applyNumberFormat="1" applyFont="1" applyBorder="1" applyProtection="1"/>
    <xf numFmtId="228" fontId="20" fillId="0" borderId="63" xfId="0" applyNumberFormat="1" applyFont="1" applyBorder="1" applyProtection="1"/>
    <xf numFmtId="228" fontId="20" fillId="0" borderId="62" xfId="0" applyNumberFormat="1" applyFont="1" applyBorder="1" applyProtection="1"/>
    <xf numFmtId="228" fontId="20" fillId="0" borderId="19" xfId="0" applyNumberFormat="1" applyFont="1" applyBorder="1" applyProtection="1"/>
    <xf numFmtId="229" fontId="36" fillId="0" borderId="41" xfId="0" applyNumberFormat="1" applyFont="1" applyBorder="1" applyAlignment="1" applyProtection="1">
      <alignment vertical="center"/>
    </xf>
    <xf numFmtId="229" fontId="36" fillId="0" borderId="61" xfId="0" applyNumberFormat="1" applyFont="1" applyBorder="1" applyAlignment="1" applyProtection="1">
      <alignment vertical="center"/>
    </xf>
    <xf numFmtId="229" fontId="20" fillId="0" borderId="18" xfId="0" applyNumberFormat="1" applyFont="1" applyBorder="1" applyAlignment="1" applyProtection="1">
      <alignment vertical="center"/>
    </xf>
    <xf numFmtId="229" fontId="36" fillId="0" borderId="54" xfId="0" applyNumberFormat="1" applyFont="1" applyBorder="1" applyAlignment="1" applyProtection="1">
      <alignment vertical="center"/>
    </xf>
    <xf numFmtId="229" fontId="36" fillId="0" borderId="77" xfId="0" applyNumberFormat="1" applyFont="1" applyBorder="1" applyAlignment="1" applyProtection="1">
      <alignment vertical="center"/>
    </xf>
    <xf numFmtId="229" fontId="20" fillId="0" borderId="12" xfId="0" applyNumberFormat="1" applyFont="1" applyBorder="1" applyAlignment="1" applyProtection="1">
      <alignment vertical="center"/>
    </xf>
    <xf numFmtId="3" fontId="36" fillId="0" borderId="77" xfId="0" applyNumberFormat="1" applyFont="1" applyBorder="1" applyAlignment="1" applyProtection="1">
      <alignment vertical="center"/>
    </xf>
    <xf numFmtId="3" fontId="36" fillId="0" borderId="3" xfId="0" applyNumberFormat="1" applyFont="1" applyBorder="1" applyAlignment="1" applyProtection="1">
      <alignment vertical="center"/>
    </xf>
    <xf numFmtId="3" fontId="36" fillId="0" borderId="54" xfId="0" applyNumberFormat="1" applyFont="1" applyBorder="1" applyAlignment="1" applyProtection="1">
      <alignment vertical="center"/>
    </xf>
    <xf numFmtId="3" fontId="36" fillId="0" borderId="55" xfId="0" applyNumberFormat="1" applyFont="1" applyBorder="1" applyAlignment="1" applyProtection="1">
      <alignment vertical="center"/>
    </xf>
    <xf numFmtId="3" fontId="20" fillId="0" borderId="15" xfId="0" applyNumberFormat="1" applyFont="1" applyBorder="1" applyAlignment="1" applyProtection="1">
      <alignment vertical="center"/>
    </xf>
    <xf numFmtId="229" fontId="20" fillId="0" borderId="65" xfId="0" applyNumberFormat="1" applyFont="1" applyBorder="1" applyAlignment="1" applyProtection="1">
      <alignment vertical="center"/>
    </xf>
    <xf numFmtId="229" fontId="20" fillId="0" borderId="64" xfId="0" applyNumberFormat="1" applyFont="1" applyBorder="1" applyAlignment="1" applyProtection="1">
      <alignment vertical="center"/>
    </xf>
    <xf numFmtId="229" fontId="20" fillId="0" borderId="19" xfId="0" applyNumberFormat="1" applyFont="1" applyBorder="1" applyAlignment="1" applyProtection="1">
      <alignment vertical="center"/>
    </xf>
    <xf numFmtId="3" fontId="21" fillId="0" borderId="61" xfId="0" applyNumberFormat="1" applyFont="1" applyBorder="1" applyAlignment="1" applyProtection="1">
      <alignment vertical="center"/>
    </xf>
    <xf numFmtId="3" fontId="21" fillId="0" borderId="13" xfId="0" applyNumberFormat="1" applyFont="1" applyBorder="1" applyAlignment="1" applyProtection="1">
      <alignment vertical="center"/>
    </xf>
    <xf numFmtId="3" fontId="21" fillId="0" borderId="49" xfId="0" applyNumberFormat="1" applyFont="1" applyBorder="1" applyAlignment="1" applyProtection="1">
      <alignment horizontal="left" vertical="center" indent="1"/>
    </xf>
    <xf numFmtId="3" fontId="21" fillId="0" borderId="7" xfId="0" applyNumberFormat="1" applyFont="1" applyBorder="1" applyAlignment="1" applyProtection="1">
      <alignment horizontal="left" vertical="center" indent="1"/>
    </xf>
    <xf numFmtId="225" fontId="21" fillId="0" borderId="18" xfId="0" applyNumberFormat="1" applyFont="1" applyBorder="1" applyAlignment="1" applyProtection="1">
      <alignment vertical="center"/>
    </xf>
    <xf numFmtId="225" fontId="21" fillId="0" borderId="61" xfId="0" applyNumberFormat="1" applyFont="1" applyBorder="1" applyAlignment="1" applyProtection="1">
      <alignment vertical="center"/>
    </xf>
    <xf numFmtId="225" fontId="21" fillId="0" borderId="15" xfId="0" applyNumberFormat="1" applyFont="1" applyBorder="1" applyAlignment="1" applyProtection="1">
      <alignment vertical="center"/>
    </xf>
    <xf numFmtId="225" fontId="21" fillId="0" borderId="77" xfId="0" applyNumberFormat="1" applyFont="1" applyBorder="1" applyAlignment="1" applyProtection="1">
      <alignment vertical="center"/>
    </xf>
    <xf numFmtId="225" fontId="21" fillId="0" borderId="15" xfId="0" quotePrefix="1" applyNumberFormat="1" applyFont="1" applyBorder="1" applyAlignment="1" applyProtection="1">
      <alignment vertical="center"/>
    </xf>
    <xf numFmtId="225" fontId="21" fillId="0" borderId="77" xfId="0" quotePrefix="1" applyNumberFormat="1" applyFont="1" applyBorder="1" applyAlignment="1" applyProtection="1">
      <alignment vertical="center"/>
    </xf>
    <xf numFmtId="3" fontId="18" fillId="0" borderId="62" xfId="0" applyNumberFormat="1" applyFont="1" applyBorder="1" applyAlignment="1" applyProtection="1">
      <alignment vertical="center"/>
    </xf>
    <xf numFmtId="225" fontId="18" fillId="0" borderId="19" xfId="0" applyNumberFormat="1" applyFont="1" applyBorder="1" applyAlignment="1" applyProtection="1">
      <alignment vertical="center"/>
    </xf>
    <xf numFmtId="225" fontId="18" fillId="0" borderId="62" xfId="0" applyNumberFormat="1" applyFont="1" applyBorder="1" applyAlignment="1" applyProtection="1">
      <alignment vertical="center"/>
    </xf>
    <xf numFmtId="225" fontId="18" fillId="0" borderId="17" xfId="0" applyNumberFormat="1" applyFont="1" applyBorder="1" applyAlignment="1" applyProtection="1">
      <alignment vertical="center"/>
    </xf>
    <xf numFmtId="225" fontId="18" fillId="0" borderId="64" xfId="0" applyNumberFormat="1" applyFont="1" applyBorder="1" applyAlignment="1" applyProtection="1">
      <alignment vertical="center"/>
    </xf>
    <xf numFmtId="224" fontId="18" fillId="0" borderId="49" xfId="0" applyNumberFormat="1" applyFont="1" applyBorder="1" applyAlignment="1" applyProtection="1">
      <alignment vertical="center"/>
      <protection locked="0"/>
    </xf>
    <xf numFmtId="224" fontId="18" fillId="0" borderId="18" xfId="0" applyNumberFormat="1" applyFont="1" applyBorder="1" applyAlignment="1" applyProtection="1">
      <alignment vertical="center"/>
      <protection locked="0"/>
    </xf>
    <xf numFmtId="224" fontId="18" fillId="0" borderId="61" xfId="0" applyNumberFormat="1" applyFont="1" applyBorder="1" applyAlignment="1" applyProtection="1">
      <alignment vertical="center"/>
      <protection locked="0"/>
    </xf>
    <xf numFmtId="224" fontId="18" fillId="0" borderId="42" xfId="0" applyNumberFormat="1" applyFont="1" applyBorder="1" applyAlignment="1" applyProtection="1">
      <alignment vertical="center"/>
      <protection locked="0"/>
    </xf>
    <xf numFmtId="201" fontId="18" fillId="0" borderId="72" xfId="6" applyNumberFormat="1" applyFont="1" applyBorder="1" applyAlignment="1">
      <alignment vertical="center"/>
    </xf>
    <xf numFmtId="206" fontId="18" fillId="0" borderId="11" xfId="0" applyNumberFormat="1" applyFont="1" applyBorder="1" applyAlignment="1">
      <alignment vertical="center"/>
    </xf>
    <xf numFmtId="217" fontId="18" fillId="0" borderId="6" xfId="6" applyNumberFormat="1" applyFont="1" applyBorder="1" applyAlignment="1">
      <alignment vertical="center"/>
    </xf>
    <xf numFmtId="206" fontId="18" fillId="0" borderId="37" xfId="0" applyNumberFormat="1" applyFont="1" applyBorder="1" applyAlignment="1">
      <alignment vertical="center"/>
    </xf>
    <xf numFmtId="217" fontId="18" fillId="0" borderId="25" xfId="6" applyNumberFormat="1" applyFont="1" applyBorder="1" applyAlignment="1">
      <alignment vertical="center"/>
    </xf>
    <xf numFmtId="206" fontId="18" fillId="0" borderId="39" xfId="0" applyNumberFormat="1" applyFont="1" applyBorder="1" applyAlignment="1">
      <alignment vertical="center"/>
    </xf>
    <xf numFmtId="217" fontId="18" fillId="0" borderId="11" xfId="6" applyNumberFormat="1" applyFont="1" applyBorder="1" applyAlignment="1">
      <alignment vertical="center"/>
    </xf>
    <xf numFmtId="3" fontId="36" fillId="0" borderId="10" xfId="0" applyNumberFormat="1" applyFont="1" applyBorder="1" applyAlignment="1">
      <alignment horizontal="center" vertical="center"/>
    </xf>
    <xf numFmtId="3" fontId="36" fillId="0" borderId="12" xfId="0" applyNumberFormat="1" applyFont="1" applyBorder="1" applyAlignment="1">
      <alignment horizontal="center" vertical="center"/>
    </xf>
    <xf numFmtId="3" fontId="36" fillId="0" borderId="8" xfId="0" applyNumberFormat="1" applyFont="1" applyBorder="1" applyAlignment="1">
      <alignment horizontal="center" vertical="center"/>
    </xf>
    <xf numFmtId="3" fontId="36" fillId="0" borderId="10" xfId="0" applyNumberFormat="1" applyFont="1" applyBorder="1" applyAlignment="1">
      <alignment horizontal="center"/>
    </xf>
    <xf numFmtId="3" fontId="36" fillId="0" borderId="69" xfId="0" applyNumberFormat="1" applyFont="1" applyBorder="1" applyAlignment="1">
      <alignment horizontal="center"/>
    </xf>
    <xf numFmtId="3" fontId="36" fillId="0" borderId="8" xfId="0" applyNumberFormat="1" applyFont="1" applyBorder="1" applyAlignment="1">
      <alignment horizontal="center"/>
    </xf>
    <xf numFmtId="3" fontId="36" fillId="0" borderId="30" xfId="0" applyNumberFormat="1" applyFont="1" applyBorder="1" applyAlignment="1">
      <alignment horizontal="center"/>
    </xf>
    <xf numFmtId="3" fontId="36" fillId="0" borderId="14" xfId="0" applyNumberFormat="1" applyFont="1" applyBorder="1" applyAlignment="1">
      <alignment horizontal="center"/>
    </xf>
    <xf numFmtId="3" fontId="36" fillId="0" borderId="38" xfId="0" applyNumberFormat="1" applyFont="1" applyBorder="1" applyAlignment="1">
      <alignment horizontal="center" vertical="center"/>
    </xf>
    <xf numFmtId="3" fontId="36" fillId="0" borderId="56" xfId="0" applyNumberFormat="1" applyFont="1" applyBorder="1" applyAlignment="1">
      <alignment horizontal="left" indent="1"/>
    </xf>
    <xf numFmtId="3" fontId="36" fillId="0" borderId="10" xfId="0" applyNumberFormat="1" applyFont="1" applyBorder="1"/>
    <xf numFmtId="3" fontId="36" fillId="0" borderId="7" xfId="0" applyNumberFormat="1" applyFont="1" applyBorder="1" applyAlignment="1">
      <alignment horizontal="left" vertical="center" indent="1"/>
    </xf>
    <xf numFmtId="3" fontId="36" fillId="0" borderId="69" xfId="0" applyNumberFormat="1" applyFont="1" applyBorder="1" applyAlignment="1">
      <alignment horizontal="left" vertical="center" indent="1"/>
    </xf>
    <xf numFmtId="3" fontId="36" fillId="0" borderId="10" xfId="0" applyNumberFormat="1" applyFont="1" applyBorder="1" applyAlignment="1">
      <alignment horizontal="left" vertical="center" indent="1"/>
    </xf>
    <xf numFmtId="3" fontId="36" fillId="0" borderId="12" xfId="0" applyNumberFormat="1" applyFont="1" applyBorder="1" applyAlignment="1">
      <alignment horizontal="left" vertical="center" indent="1"/>
    </xf>
    <xf numFmtId="3" fontId="36" fillId="0" borderId="19" xfId="0" applyNumberFormat="1" applyFont="1" applyBorder="1" applyAlignment="1">
      <alignment horizontal="left" vertical="center" indent="1"/>
    </xf>
    <xf numFmtId="3" fontId="36" fillId="0" borderId="10" xfId="0" applyNumberFormat="1" applyFont="1" applyBorder="1" applyAlignment="1">
      <alignment horizontal="left" indent="1"/>
    </xf>
    <xf numFmtId="3" fontId="36" fillId="0" borderId="69" xfId="0" applyNumberFormat="1" applyFont="1" applyBorder="1" applyAlignment="1">
      <alignment horizontal="left" indent="1"/>
    </xf>
    <xf numFmtId="3" fontId="36" fillId="0" borderId="8" xfId="0" applyNumberFormat="1" applyFont="1" applyBorder="1" applyAlignment="1">
      <alignment horizontal="left" indent="1"/>
    </xf>
    <xf numFmtId="0" fontId="19" fillId="0" borderId="0" xfId="0" applyFont="1" applyAlignment="1">
      <alignment horizontal="left" indent="2"/>
    </xf>
    <xf numFmtId="177" fontId="36" fillId="0" borderId="20" xfId="0" applyNumberFormat="1" applyFont="1" applyBorder="1" applyAlignment="1">
      <alignment horizontal="center" vertical="center"/>
    </xf>
    <xf numFmtId="177" fontId="36" fillId="0" borderId="21" xfId="0" applyNumberFormat="1" applyFont="1" applyBorder="1" applyAlignment="1">
      <alignment horizontal="center" vertical="center"/>
    </xf>
    <xf numFmtId="177" fontId="36" fillId="0" borderId="71" xfId="0" applyNumberFormat="1" applyFont="1" applyBorder="1" applyAlignment="1">
      <alignment horizontal="center" vertical="center"/>
    </xf>
    <xf numFmtId="177" fontId="36" fillId="0" borderId="42" xfId="0" applyNumberFormat="1" applyFont="1" applyBorder="1" applyAlignment="1">
      <alignment horizontal="center" vertical="center"/>
    </xf>
    <xf numFmtId="177" fontId="36" fillId="0" borderId="23" xfId="0" applyNumberFormat="1" applyFont="1" applyBorder="1" applyAlignment="1">
      <alignment horizontal="center" vertical="center"/>
    </xf>
    <xf numFmtId="177" fontId="36" fillId="0" borderId="2" xfId="0" applyNumberFormat="1" applyFont="1" applyBorder="1" applyAlignment="1">
      <alignment horizontal="center" vertical="center"/>
    </xf>
    <xf numFmtId="177" fontId="36" fillId="0" borderId="50" xfId="0" applyNumberFormat="1" applyFont="1" applyBorder="1" applyAlignment="1">
      <alignment horizontal="center" vertical="center"/>
    </xf>
    <xf numFmtId="177" fontId="36" fillId="0" borderId="43" xfId="0" applyNumberFormat="1" applyFont="1" applyBorder="1" applyAlignment="1">
      <alignment horizontal="center" vertical="center"/>
    </xf>
    <xf numFmtId="177" fontId="36" fillId="0" borderId="48" xfId="0" applyNumberFormat="1" applyFont="1" applyBorder="1" applyAlignment="1">
      <alignment horizontal="center" vertical="center"/>
    </xf>
    <xf numFmtId="177" fontId="36" fillId="0" borderId="3" xfId="0" applyNumberFormat="1" applyFont="1" applyBorder="1" applyAlignment="1">
      <alignment horizontal="center" vertical="center"/>
    </xf>
    <xf numFmtId="177" fontId="36" fillId="0" borderId="55" xfId="0" applyNumberFormat="1" applyFont="1" applyBorder="1" applyAlignment="1">
      <alignment horizontal="center" vertical="center"/>
    </xf>
    <xf numFmtId="177" fontId="36" fillId="0" borderId="85" xfId="0" applyNumberFormat="1" applyFont="1" applyBorder="1" applyAlignment="1">
      <alignment horizontal="center" vertical="center"/>
    </xf>
    <xf numFmtId="180" fontId="36" fillId="0" borderId="20" xfId="0" applyNumberFormat="1" applyFont="1" applyBorder="1" applyAlignment="1">
      <alignment horizontal="center" vertical="center"/>
    </xf>
    <xf numFmtId="180" fontId="36" fillId="0" borderId="41" xfId="0" applyNumberFormat="1" applyFont="1" applyBorder="1" applyAlignment="1">
      <alignment horizontal="center" vertical="center"/>
    </xf>
    <xf numFmtId="180" fontId="36" fillId="0" borderId="71" xfId="0" applyNumberFormat="1" applyFont="1" applyBorder="1" applyAlignment="1">
      <alignment horizontal="center" vertical="center"/>
    </xf>
    <xf numFmtId="180" fontId="36" fillId="0" borderId="21" xfId="0" applyNumberFormat="1" applyFont="1" applyBorder="1" applyAlignment="1">
      <alignment horizontal="center" vertical="center"/>
    </xf>
    <xf numFmtId="180" fontId="36" fillId="0" borderId="42" xfId="0" applyNumberFormat="1" applyFont="1" applyBorder="1" applyAlignment="1">
      <alignment horizontal="center" vertical="center"/>
    </xf>
    <xf numFmtId="180" fontId="36" fillId="0" borderId="23" xfId="0" applyNumberFormat="1" applyFont="1" applyBorder="1" applyAlignment="1">
      <alignment horizontal="center" vertical="center"/>
    </xf>
    <xf numFmtId="180" fontId="36" fillId="0" borderId="51" xfId="0" applyNumberFormat="1" applyFont="1" applyBorder="1" applyAlignment="1">
      <alignment horizontal="center" vertical="center"/>
    </xf>
    <xf numFmtId="180" fontId="36" fillId="0" borderId="50" xfId="0" applyNumberFormat="1" applyFont="1" applyBorder="1" applyAlignment="1">
      <alignment horizontal="center" vertical="center"/>
    </xf>
    <xf numFmtId="180" fontId="36" fillId="0" borderId="2" xfId="0" applyNumberFormat="1" applyFont="1" applyBorder="1" applyAlignment="1">
      <alignment horizontal="center" vertical="center"/>
    </xf>
    <xf numFmtId="180" fontId="36" fillId="0" borderId="43" xfId="0" applyNumberFormat="1" applyFont="1" applyBorder="1" applyAlignment="1">
      <alignment horizontal="center" vertical="center"/>
    </xf>
    <xf numFmtId="180" fontId="36" fillId="0" borderId="86" xfId="0" applyNumberFormat="1" applyFont="1" applyBorder="1" applyAlignment="1">
      <alignment horizontal="center" vertical="center"/>
    </xf>
    <xf numFmtId="180" fontId="36" fillId="0" borderId="65" xfId="0" applyNumberFormat="1" applyFont="1" applyBorder="1" applyAlignment="1">
      <alignment horizontal="center" vertical="center"/>
    </xf>
    <xf numFmtId="180" fontId="36" fillId="0" borderId="119" xfId="0" applyNumberFormat="1" applyFont="1" applyBorder="1" applyAlignment="1">
      <alignment horizontal="center" vertical="center"/>
    </xf>
    <xf numFmtId="180" fontId="36" fillId="0" borderId="84" xfId="0" applyNumberFormat="1" applyFont="1" applyBorder="1" applyAlignment="1">
      <alignment horizontal="center" vertical="center"/>
    </xf>
    <xf numFmtId="180" fontId="36" fillId="0" borderId="90" xfId="0" applyNumberFormat="1" applyFont="1" applyBorder="1" applyAlignment="1">
      <alignment horizontal="center" vertical="center"/>
    </xf>
    <xf numFmtId="2" fontId="36" fillId="0" borderId="10" xfId="6" applyNumberFormat="1" applyFont="1" applyBorder="1" applyAlignment="1">
      <alignment horizontal="center"/>
    </xf>
    <xf numFmtId="2" fontId="36" fillId="0" borderId="31" xfId="6" applyNumberFormat="1" applyFont="1" applyBorder="1" applyAlignment="1">
      <alignment horizontal="center"/>
    </xf>
    <xf numFmtId="2" fontId="36" fillId="0" borderId="0" xfId="6" applyNumberFormat="1" applyFont="1" applyBorder="1" applyAlignment="1">
      <alignment horizontal="center"/>
    </xf>
    <xf numFmtId="2" fontId="36" fillId="0" borderId="68" xfId="6" applyNumberFormat="1" applyFont="1" applyBorder="1" applyAlignment="1">
      <alignment horizontal="center"/>
    </xf>
    <xf numFmtId="2" fontId="36" fillId="0" borderId="8" xfId="6" applyNumberFormat="1" applyFont="1" applyBorder="1" applyAlignment="1">
      <alignment horizontal="center"/>
    </xf>
    <xf numFmtId="2" fontId="36" fillId="0" borderId="3" xfId="6" applyNumberFormat="1" applyFont="1" applyBorder="1" applyAlignment="1">
      <alignment horizontal="center"/>
    </xf>
    <xf numFmtId="2" fontId="36" fillId="0" borderId="77" xfId="6" applyNumberFormat="1" applyFont="1" applyBorder="1" applyAlignment="1">
      <alignment horizontal="center"/>
    </xf>
    <xf numFmtId="2" fontId="36" fillId="0" borderId="85" xfId="6" applyNumberFormat="1" applyFont="1" applyBorder="1" applyAlignment="1">
      <alignment horizontal="center"/>
    </xf>
    <xf numFmtId="248" fontId="19" fillId="0" borderId="61" xfId="0" applyNumberFormat="1" applyFont="1" applyBorder="1" applyAlignment="1" applyProtection="1">
      <alignment horizontal="right" vertical="center"/>
    </xf>
    <xf numFmtId="248" fontId="19" fillId="0" borderId="18" xfId="0" applyNumberFormat="1" applyFont="1" applyBorder="1" applyAlignment="1" applyProtection="1">
      <alignment horizontal="right" vertical="center"/>
    </xf>
    <xf numFmtId="239" fontId="29" fillId="0" borderId="0" xfId="0" applyNumberFormat="1" applyFont="1" applyAlignment="1" applyProtection="1">
      <alignment vertical="center"/>
    </xf>
    <xf numFmtId="3" fontId="19" fillId="0" borderId="19" xfId="0" applyNumberFormat="1" applyFont="1" applyBorder="1" applyAlignment="1" applyProtection="1">
      <alignment horizontal="center" vertical="center"/>
    </xf>
    <xf numFmtId="3" fontId="19" fillId="0" borderId="12" xfId="0" applyNumberFormat="1" applyFont="1" applyBorder="1" applyAlignment="1" applyProtection="1">
      <alignment horizontal="left" vertical="center" indent="1"/>
    </xf>
    <xf numFmtId="3" fontId="19" fillId="0" borderId="11" xfId="0" applyNumberFormat="1" applyFont="1" applyBorder="1" applyAlignment="1" applyProtection="1">
      <alignment horizontal="right" vertical="center" indent="1"/>
    </xf>
    <xf numFmtId="0" fontId="19" fillId="0" borderId="0" xfId="0" applyFont="1" applyAlignment="1">
      <alignment horizontal="centerContinuous" vertical="center"/>
    </xf>
    <xf numFmtId="0" fontId="15" fillId="0" borderId="0" xfId="0" applyFont="1" applyAlignment="1">
      <alignment horizontal="centerContinuous" vertical="center"/>
    </xf>
    <xf numFmtId="0" fontId="51" fillId="0" borderId="0" xfId="0" applyFont="1" applyAlignment="1" applyProtection="1">
      <alignment horizontal="center" vertical="center"/>
    </xf>
    <xf numFmtId="239" fontId="51" fillId="0" borderId="0" xfId="0" applyNumberFormat="1" applyFont="1" applyAlignment="1" applyProtection="1">
      <alignment vertical="center"/>
    </xf>
    <xf numFmtId="3" fontId="34" fillId="0" borderId="0" xfId="4" applyNumberFormat="1" applyFont="1" applyFill="1" applyBorder="1" applyAlignment="1" applyProtection="1">
      <alignment horizontal="left" vertical="center"/>
    </xf>
    <xf numFmtId="0" fontId="28" fillId="0" borderId="0" xfId="0" applyFont="1" applyProtection="1"/>
    <xf numFmtId="206" fontId="19" fillId="0" borderId="13" xfId="6" applyNumberFormat="1" applyFont="1" applyFill="1" applyBorder="1" applyAlignment="1" applyProtection="1"/>
    <xf numFmtId="206" fontId="19" fillId="0" borderId="12" xfId="6" applyNumberFormat="1" applyFont="1" applyFill="1" applyBorder="1" applyAlignment="1" applyProtection="1"/>
    <xf numFmtId="206" fontId="19" fillId="0" borderId="7" xfId="0" applyNumberFormat="1" applyFont="1" applyBorder="1" applyProtection="1"/>
    <xf numFmtId="206" fontId="19" fillId="0" borderId="12" xfId="0" applyNumberFormat="1" applyFont="1" applyBorder="1" applyProtection="1"/>
    <xf numFmtId="206" fontId="15" fillId="0" borderId="61" xfId="6" applyNumberFormat="1" applyFont="1" applyFill="1" applyBorder="1" applyAlignment="1" applyProtection="1">
      <alignment vertical="center"/>
    </xf>
    <xf numFmtId="206" fontId="15" fillId="0" borderId="18" xfId="6" applyNumberFormat="1" applyFont="1" applyFill="1" applyBorder="1" applyAlignment="1" applyProtection="1">
      <alignment vertical="center"/>
    </xf>
    <xf numFmtId="206" fontId="15" fillId="0" borderId="18" xfId="4" applyNumberFormat="1" applyFont="1" applyFill="1" applyBorder="1" applyAlignment="1" applyProtection="1">
      <alignment vertical="center"/>
    </xf>
    <xf numFmtId="206" fontId="15" fillId="0" borderId="49" xfId="4" applyNumberFormat="1" applyFont="1" applyFill="1" applyBorder="1" applyAlignment="1" applyProtection="1">
      <alignment vertical="center"/>
    </xf>
    <xf numFmtId="206" fontId="19" fillId="0" borderId="13" xfId="0" applyNumberFormat="1" applyFont="1" applyBorder="1" applyAlignment="1" applyProtection="1">
      <alignment horizontal="right"/>
    </xf>
    <xf numFmtId="206" fontId="19" fillId="0" borderId="7" xfId="0" applyNumberFormat="1" applyFont="1" applyBorder="1" applyAlignment="1" applyProtection="1">
      <alignment horizontal="right"/>
    </xf>
    <xf numFmtId="206" fontId="19" fillId="0" borderId="12" xfId="0" applyNumberFormat="1" applyFont="1" applyBorder="1" applyAlignment="1" applyProtection="1">
      <alignment horizontal="right"/>
    </xf>
    <xf numFmtId="3" fontId="28" fillId="0" borderId="0" xfId="0" applyNumberFormat="1" applyFont="1" applyProtection="1"/>
    <xf numFmtId="3" fontId="28" fillId="0" borderId="0" xfId="0" applyNumberFormat="1" applyFont="1" applyAlignment="1" applyProtection="1">
      <alignment vertical="center"/>
    </xf>
    <xf numFmtId="9" fontId="18" fillId="0" borderId="0" xfId="0" applyNumberFormat="1" applyFont="1" applyProtection="1"/>
    <xf numFmtId="3" fontId="32" fillId="0" borderId="0" xfId="0" applyNumberFormat="1" applyFont="1" applyAlignment="1" applyProtection="1">
      <alignment wrapText="1"/>
    </xf>
    <xf numFmtId="3" fontId="59" fillId="0" borderId="11" xfId="0" applyNumberFormat="1" applyFont="1" applyBorder="1" applyAlignment="1" applyProtection="1">
      <alignment horizontal="center" wrapText="1"/>
    </xf>
    <xf numFmtId="3" fontId="21" fillId="0" borderId="18" xfId="0" applyNumberFormat="1" applyFont="1" applyBorder="1" applyAlignment="1" applyProtection="1">
      <alignment horizontal="right" indent="1"/>
    </xf>
    <xf numFmtId="171" fontId="21" fillId="0" borderId="12" xfId="0" applyNumberFormat="1" applyFont="1" applyBorder="1" applyAlignment="1" applyProtection="1">
      <alignment horizontal="right" indent="1"/>
    </xf>
    <xf numFmtId="3" fontId="18" fillId="0" borderId="19" xfId="0" applyNumberFormat="1" applyFont="1" applyBorder="1" applyAlignment="1" applyProtection="1">
      <alignment horizontal="center"/>
    </xf>
    <xf numFmtId="230" fontId="32" fillId="0" borderId="17" xfId="0" applyNumberFormat="1" applyFont="1" applyBorder="1" applyProtection="1"/>
    <xf numFmtId="3" fontId="24" fillId="0" borderId="0" xfId="0" applyNumberFormat="1" applyFont="1" applyProtection="1"/>
    <xf numFmtId="230" fontId="41" fillId="0" borderId="18" xfId="0" applyNumberFormat="1" applyFont="1" applyBorder="1" applyProtection="1"/>
    <xf numFmtId="230" fontId="41" fillId="0" borderId="12" xfId="0" applyNumberFormat="1" applyFont="1" applyBorder="1" applyProtection="1"/>
    <xf numFmtId="0" fontId="35" fillId="0" borderId="7" xfId="2" applyFont="1" applyFill="1" applyBorder="1" applyAlignment="1" applyProtection="1">
      <alignment horizontal="left" vertical="center" indent="2"/>
    </xf>
    <xf numFmtId="0" fontId="15" fillId="0" borderId="9" xfId="0" applyFont="1" applyBorder="1" applyAlignment="1">
      <alignment horizontal="centerContinuous" vertical="center"/>
    </xf>
    <xf numFmtId="0" fontId="15" fillId="0" borderId="56" xfId="0" applyFont="1" applyBorder="1" applyAlignment="1">
      <alignment horizontal="left" vertical="center" indent="2"/>
    </xf>
    <xf numFmtId="0" fontId="35" fillId="0" borderId="57" xfId="2" applyFont="1" applyFill="1" applyBorder="1" applyAlignment="1" applyProtection="1">
      <alignment horizontal="left" vertical="center" indent="2"/>
    </xf>
    <xf numFmtId="0" fontId="53" fillId="0" borderId="0" xfId="2" applyFont="1" applyFill="1" applyBorder="1" applyAlignment="1" applyProtection="1"/>
    <xf numFmtId="3" fontId="19" fillId="0" borderId="0" xfId="6" applyNumberFormat="1" applyFont="1" applyFill="1" applyBorder="1" applyAlignment="1" applyProtection="1">
      <alignment vertical="center"/>
    </xf>
    <xf numFmtId="4" fontId="48" fillId="0" borderId="20" xfId="0" applyNumberFormat="1" applyFont="1" applyBorder="1" applyAlignment="1">
      <alignment horizontal="center" shrinkToFit="1"/>
    </xf>
    <xf numFmtId="199" fontId="48" fillId="0" borderId="4" xfId="0" applyNumberFormat="1" applyFont="1" applyBorder="1" applyAlignment="1">
      <alignment horizontal="center"/>
    </xf>
    <xf numFmtId="250" fontId="19" fillId="0" borderId="24" xfId="0" applyNumberFormat="1" applyFont="1" applyBorder="1"/>
    <xf numFmtId="250" fontId="19" fillId="0" borderId="4" xfId="0" applyNumberFormat="1" applyFont="1" applyBorder="1"/>
    <xf numFmtId="3" fontId="54" fillId="0" borderId="0" xfId="0" applyNumberFormat="1" applyFont="1" applyProtection="1"/>
    <xf numFmtId="3" fontId="54" fillId="0" borderId="0" xfId="0" applyNumberFormat="1" applyFont="1" applyAlignment="1" applyProtection="1">
      <alignment horizontal="right"/>
    </xf>
    <xf numFmtId="3" fontId="15" fillId="0" borderId="6" xfId="0" applyNumberFormat="1" applyFont="1" applyBorder="1" applyAlignment="1">
      <alignment horizontal="center"/>
    </xf>
    <xf numFmtId="10" fontId="19" fillId="2" borderId="18" xfId="0" applyNumberFormat="1" applyFont="1" applyFill="1" applyBorder="1" applyAlignment="1" applyProtection="1">
      <alignment horizontal="center" vertical="center"/>
      <protection locked="0"/>
    </xf>
    <xf numFmtId="0" fontId="19" fillId="2" borderId="49" xfId="0" applyFont="1" applyFill="1" applyBorder="1" applyAlignment="1" applyProtection="1">
      <alignment horizontal="left" vertical="center" indent="1"/>
      <protection locked="0"/>
    </xf>
    <xf numFmtId="0" fontId="19" fillId="0" borderId="12" xfId="0" applyFont="1" applyBorder="1" applyAlignment="1">
      <alignment horizontal="left" vertical="center" indent="1"/>
    </xf>
    <xf numFmtId="0" fontId="19" fillId="0" borderId="18" xfId="0" applyFont="1" applyBorder="1" applyAlignment="1">
      <alignment horizontal="left" indent="1"/>
    </xf>
    <xf numFmtId="0" fontId="19" fillId="0" borderId="12" xfId="0" applyFont="1" applyBorder="1" applyAlignment="1">
      <alignment horizontal="left" indent="1"/>
    </xf>
    <xf numFmtId="0" fontId="19" fillId="0" borderId="19" xfId="0" applyFont="1" applyBorder="1" applyAlignment="1">
      <alignment horizontal="left" indent="1"/>
    </xf>
    <xf numFmtId="0" fontId="19" fillId="0" borderId="44" xfId="0" applyFont="1" applyBorder="1" applyAlignment="1" applyProtection="1">
      <alignment vertical="center"/>
    </xf>
    <xf numFmtId="0" fontId="25" fillId="0" borderId="6" xfId="0" applyFont="1" applyBorder="1" applyAlignment="1" applyProtection="1">
      <alignment horizontal="centerContinuous" vertical="center" wrapText="1"/>
    </xf>
    <xf numFmtId="0" fontId="25" fillId="0" borderId="56" xfId="0" applyFont="1" applyBorder="1" applyAlignment="1" applyProtection="1">
      <alignment horizontal="centerContinuous" vertical="center" wrapText="1"/>
    </xf>
    <xf numFmtId="3" fontId="15" fillId="0" borderId="9" xfId="0" applyNumberFormat="1" applyFont="1" applyBorder="1" applyAlignment="1" applyProtection="1">
      <alignment horizontal="center" vertical="center"/>
    </xf>
    <xf numFmtId="251" fontId="31" fillId="0" borderId="0" xfId="0" applyNumberFormat="1" applyFont="1" applyProtection="1"/>
    <xf numFmtId="10" fontId="19" fillId="2" borderId="19" xfId="0" applyNumberFormat="1" applyFont="1" applyFill="1" applyBorder="1" applyAlignment="1" applyProtection="1">
      <alignment horizontal="center" vertical="center"/>
      <protection locked="0"/>
    </xf>
    <xf numFmtId="232" fontId="21" fillId="2" borderId="8" xfId="0" applyNumberFormat="1" applyFont="1" applyFill="1" applyBorder="1" applyAlignment="1" applyProtection="1">
      <alignment horizontal="right" indent="2"/>
      <protection locked="0"/>
    </xf>
    <xf numFmtId="3" fontId="21" fillId="2" borderId="3" xfId="0" applyNumberFormat="1" applyFont="1" applyFill="1" applyBorder="1" applyAlignment="1" applyProtection="1">
      <alignment horizontal="center"/>
      <protection locked="0"/>
    </xf>
    <xf numFmtId="206" fontId="21" fillId="0" borderId="5" xfId="0" applyNumberFormat="1" applyFont="1" applyBorder="1" applyAlignment="1" applyProtection="1">
      <alignment horizontal="right"/>
    </xf>
    <xf numFmtId="0" fontId="32" fillId="0" borderId="18" xfId="0" applyFont="1" applyBorder="1" applyAlignment="1">
      <alignment horizontal="center" wrapText="1"/>
    </xf>
    <xf numFmtId="0" fontId="32" fillId="0" borderId="49" xfId="0" applyFont="1" applyBorder="1" applyAlignment="1">
      <alignment horizontal="center" wrapText="1"/>
    </xf>
    <xf numFmtId="0" fontId="32" fillId="0" borderId="21" xfId="0" applyFont="1" applyBorder="1" applyAlignment="1">
      <alignment horizontal="center" wrapText="1"/>
    </xf>
    <xf numFmtId="0" fontId="22" fillId="0" borderId="22" xfId="0" applyFont="1" applyBorder="1" applyAlignment="1" applyProtection="1">
      <alignment horizontal="center" wrapText="1"/>
    </xf>
    <xf numFmtId="206" fontId="21" fillId="2" borderId="8" xfId="0" applyNumberFormat="1" applyFont="1" applyFill="1" applyBorder="1" applyProtection="1">
      <protection locked="0"/>
    </xf>
    <xf numFmtId="0" fontId="18" fillId="0" borderId="18" xfId="0" applyFont="1" applyBorder="1" applyAlignment="1">
      <alignment horizontal="center" vertical="center" wrapText="1"/>
    </xf>
    <xf numFmtId="0" fontId="32" fillId="0" borderId="22" xfId="0" applyFont="1" applyBorder="1" applyAlignment="1">
      <alignment horizontal="center" wrapText="1"/>
    </xf>
    <xf numFmtId="0" fontId="18" fillId="0" borderId="18" xfId="0" applyFont="1" applyBorder="1" applyAlignment="1" applyProtection="1">
      <alignment horizontal="center" vertical="center" wrapText="1"/>
    </xf>
    <xf numFmtId="235" fontId="19" fillId="0" borderId="15" xfId="4" applyNumberFormat="1" applyFont="1" applyFill="1" applyBorder="1" applyAlignment="1" applyProtection="1">
      <alignment vertical="center"/>
    </xf>
    <xf numFmtId="235" fontId="19" fillId="0" borderId="77" xfId="4" applyNumberFormat="1" applyFont="1" applyFill="1" applyBorder="1" applyAlignment="1" applyProtection="1">
      <alignment vertical="center"/>
    </xf>
    <xf numFmtId="3" fontId="15" fillId="0" borderId="18" xfId="0" applyNumberFormat="1" applyFont="1" applyBorder="1" applyAlignment="1" applyProtection="1">
      <alignment horizontal="center" vertical="center" wrapText="1"/>
    </xf>
    <xf numFmtId="3" fontId="25" fillId="0" borderId="11" xfId="0" applyNumberFormat="1" applyFont="1" applyBorder="1" applyAlignment="1" applyProtection="1">
      <alignment horizontal="centerContinuous" vertical="center"/>
    </xf>
    <xf numFmtId="3" fontId="23" fillId="0" borderId="11" xfId="0" applyNumberFormat="1" applyFont="1" applyBorder="1" applyAlignment="1" applyProtection="1">
      <alignment horizontal="centerContinuous" vertical="center"/>
    </xf>
    <xf numFmtId="0" fontId="25" fillId="0" borderId="9" xfId="0" applyFont="1" applyBorder="1" applyAlignment="1" applyProtection="1">
      <alignment horizontal="centerContinuous" vertical="center" wrapText="1"/>
    </xf>
    <xf numFmtId="0" fontId="19" fillId="0" borderId="15" xfId="0" applyFont="1" applyBorder="1" applyAlignment="1">
      <alignment horizontal="left" vertical="center" indent="1"/>
    </xf>
    <xf numFmtId="241" fontId="19" fillId="2" borderId="15" xfId="0" applyNumberFormat="1" applyFont="1" applyFill="1" applyBorder="1" applyAlignment="1" applyProtection="1">
      <alignment vertical="center"/>
      <protection locked="0"/>
    </xf>
    <xf numFmtId="3" fontId="15" fillId="0" borderId="120" xfId="0" applyNumberFormat="1" applyFont="1" applyBorder="1" applyAlignment="1" applyProtection="1">
      <alignment horizontal="center" vertical="center"/>
    </xf>
    <xf numFmtId="0" fontId="18" fillId="0" borderId="121" xfId="0" applyFont="1" applyBorder="1" applyAlignment="1">
      <alignment horizontal="center" vertical="center"/>
    </xf>
    <xf numFmtId="3" fontId="18" fillId="0" borderId="122" xfId="0" applyNumberFormat="1" applyFont="1" applyBorder="1" applyAlignment="1">
      <alignment horizontal="center" vertical="center"/>
    </xf>
    <xf numFmtId="3" fontId="18" fillId="0" borderId="123" xfId="0" applyNumberFormat="1" applyFont="1" applyBorder="1" applyAlignment="1">
      <alignment horizontal="center" vertical="center"/>
    </xf>
    <xf numFmtId="3" fontId="18" fillId="0" borderId="123" xfId="0" applyNumberFormat="1" applyFont="1" applyBorder="1" applyAlignment="1">
      <alignment horizontal="center" vertical="center" shrinkToFit="1"/>
    </xf>
    <xf numFmtId="3" fontId="18" fillId="0" borderId="124" xfId="0" applyNumberFormat="1" applyFont="1" applyBorder="1" applyAlignment="1">
      <alignment horizontal="center" vertical="center" shrinkToFit="1"/>
    </xf>
    <xf numFmtId="0" fontId="18" fillId="0" borderId="59" xfId="0" applyFont="1" applyBorder="1" applyAlignment="1">
      <alignment horizontal="right"/>
    </xf>
    <xf numFmtId="3" fontId="15" fillId="0" borderId="61" xfId="0" applyNumberFormat="1" applyFont="1" applyBorder="1" applyAlignment="1">
      <alignment horizontal="center" vertical="center"/>
    </xf>
    <xf numFmtId="202" fontId="20" fillId="0" borderId="13" xfId="0" applyNumberFormat="1" applyFont="1" applyBorder="1"/>
    <xf numFmtId="200" fontId="36" fillId="0" borderId="13" xfId="0" applyNumberFormat="1" applyFont="1" applyBorder="1"/>
    <xf numFmtId="202" fontId="20" fillId="0" borderId="67" xfId="0" applyNumberFormat="1" applyFont="1" applyBorder="1"/>
    <xf numFmtId="10" fontId="21" fillId="0" borderId="125" xfId="6" applyNumberFormat="1" applyFont="1" applyBorder="1" applyAlignment="1">
      <alignment horizontal="center" vertical="center"/>
    </xf>
    <xf numFmtId="3" fontId="15" fillId="0" borderId="18" xfId="0" applyNumberFormat="1" applyFont="1" applyBorder="1" applyAlignment="1">
      <alignment horizontal="center" vertical="center"/>
    </xf>
    <xf numFmtId="202" fontId="20" fillId="0" borderId="12" xfId="0" applyNumberFormat="1" applyFont="1" applyBorder="1"/>
    <xf numFmtId="200" fontId="36" fillId="0" borderId="12" xfId="0" applyNumberFormat="1" applyFont="1" applyBorder="1"/>
    <xf numFmtId="202" fontId="20" fillId="0" borderId="38" xfId="0" applyNumberFormat="1" applyFont="1" applyBorder="1"/>
    <xf numFmtId="10" fontId="21" fillId="0" borderId="126" xfId="6" applyNumberFormat="1" applyFont="1" applyBorder="1" applyAlignment="1">
      <alignment horizontal="center" vertical="center"/>
    </xf>
    <xf numFmtId="10" fontId="21" fillId="0" borderId="126" xfId="6" applyNumberFormat="1" applyFont="1" applyFill="1" applyBorder="1" applyAlignment="1">
      <alignment horizontal="center" vertical="center"/>
    </xf>
    <xf numFmtId="232" fontId="18" fillId="0" borderId="57" xfId="0" applyNumberFormat="1" applyFont="1" applyBorder="1" applyAlignment="1" applyProtection="1">
      <alignment horizontal="center"/>
    </xf>
    <xf numFmtId="0" fontId="19" fillId="0" borderId="23" xfId="0" applyFont="1" applyBorder="1" applyAlignment="1">
      <alignment horizontal="right" vertical="center"/>
    </xf>
    <xf numFmtId="9" fontId="19" fillId="2" borderId="2" xfId="6" applyFont="1" applyFill="1" applyBorder="1" applyAlignment="1" applyProtection="1">
      <alignment horizontal="center" vertical="center"/>
      <protection locked="0"/>
    </xf>
    <xf numFmtId="9" fontId="19" fillId="2" borderId="50" xfId="6" applyFont="1" applyFill="1" applyBorder="1" applyAlignment="1" applyProtection="1">
      <alignment horizontal="center" vertical="center"/>
      <protection locked="0"/>
    </xf>
    <xf numFmtId="9" fontId="19" fillId="2" borderId="43" xfId="6" applyFont="1" applyFill="1" applyBorder="1" applyAlignment="1" applyProtection="1">
      <alignment horizontal="center" vertical="center"/>
      <protection locked="0"/>
    </xf>
    <xf numFmtId="0" fontId="19" fillId="0" borderId="34" xfId="0" applyFont="1" applyBorder="1" applyAlignment="1">
      <alignment horizontal="right" vertical="center"/>
    </xf>
    <xf numFmtId="9" fontId="19" fillId="0" borderId="35" xfId="6" applyFont="1" applyBorder="1" applyAlignment="1">
      <alignment horizontal="center" vertical="center"/>
    </xf>
    <xf numFmtId="9" fontId="19" fillId="0" borderId="60" xfId="6" applyFont="1" applyFill="1" applyBorder="1" applyAlignment="1">
      <alignment horizontal="center" vertical="center"/>
    </xf>
    <xf numFmtId="9" fontId="19" fillId="0" borderId="35" xfId="6" applyFont="1" applyFill="1" applyBorder="1" applyAlignment="1">
      <alignment horizontal="center" vertical="center"/>
    </xf>
    <xf numFmtId="9" fontId="19" fillId="0" borderId="44" xfId="6" applyFont="1" applyFill="1" applyBorder="1" applyAlignment="1">
      <alignment horizontal="center" vertical="center"/>
    </xf>
    <xf numFmtId="0" fontId="12" fillId="0" borderId="62" xfId="0" applyFont="1" applyBorder="1" applyAlignment="1">
      <alignment horizontal="center" vertical="center"/>
    </xf>
    <xf numFmtId="10" fontId="19" fillId="2" borderId="35" xfId="6" applyNumberFormat="1" applyFont="1" applyFill="1" applyBorder="1" applyAlignment="1" applyProtection="1">
      <alignment horizontal="center" vertical="center"/>
      <protection locked="0"/>
    </xf>
    <xf numFmtId="10" fontId="19" fillId="2" borderId="60" xfId="6" applyNumberFormat="1" applyFont="1" applyFill="1" applyBorder="1" applyAlignment="1" applyProtection="1">
      <alignment horizontal="center" vertical="center"/>
      <protection locked="0"/>
    </xf>
    <xf numFmtId="10" fontId="19" fillId="2" borderId="44" xfId="6" applyNumberFormat="1" applyFont="1" applyFill="1" applyBorder="1" applyAlignment="1" applyProtection="1">
      <alignment horizontal="center" vertical="center"/>
      <protection locked="0"/>
    </xf>
    <xf numFmtId="200" fontId="36" fillId="0" borderId="20" xfId="0" applyNumberFormat="1" applyFont="1" applyBorder="1" applyAlignment="1" applyProtection="1">
      <alignment vertical="center"/>
    </xf>
    <xf numFmtId="217" fontId="36" fillId="0" borderId="71" xfId="6" applyNumberFormat="1" applyFont="1" applyBorder="1" applyAlignment="1" applyProtection="1">
      <alignment vertical="center"/>
    </xf>
    <xf numFmtId="217" fontId="36" fillId="0" borderId="21" xfId="6" applyNumberFormat="1" applyFont="1" applyBorder="1" applyAlignment="1" applyProtection="1">
      <alignment vertical="center"/>
    </xf>
    <xf numFmtId="217" fontId="36" fillId="0" borderId="22" xfId="0" applyNumberFormat="1" applyFont="1" applyBorder="1" applyAlignment="1" applyProtection="1">
      <alignment vertical="center"/>
    </xf>
    <xf numFmtId="200" fontId="36" fillId="0" borderId="41" xfId="0" applyNumberFormat="1" applyFont="1" applyBorder="1" applyAlignment="1" applyProtection="1">
      <alignment vertical="center"/>
    </xf>
    <xf numFmtId="217" fontId="36" fillId="0" borderId="71" xfId="0" applyNumberFormat="1" applyFont="1" applyBorder="1" applyAlignment="1" applyProtection="1">
      <alignment vertical="center"/>
    </xf>
    <xf numFmtId="200" fontId="36" fillId="0" borderId="34" xfId="0" applyNumberFormat="1" applyFont="1" applyBorder="1" applyAlignment="1" applyProtection="1">
      <alignment vertical="center"/>
    </xf>
    <xf numFmtId="217" fontId="36" fillId="0" borderId="60" xfId="6" applyNumberFormat="1" applyFont="1" applyBorder="1" applyAlignment="1" applyProtection="1">
      <alignment vertical="center"/>
    </xf>
    <xf numFmtId="217" fontId="36" fillId="0" borderId="35" xfId="6" applyNumberFormat="1" applyFont="1" applyBorder="1" applyAlignment="1" applyProtection="1">
      <alignment vertical="center"/>
    </xf>
    <xf numFmtId="217" fontId="36" fillId="0" borderId="4" xfId="0" applyNumberFormat="1" applyFont="1" applyBorder="1" applyAlignment="1" applyProtection="1">
      <alignment vertical="center"/>
    </xf>
    <xf numFmtId="200" fontId="36" fillId="0" borderId="63" xfId="0" applyNumberFormat="1" applyFont="1" applyBorder="1" applyAlignment="1" applyProtection="1">
      <alignment vertical="center"/>
    </xf>
    <xf numFmtId="217" fontId="36" fillId="0" borderId="60" xfId="0" applyNumberFormat="1" applyFont="1" applyBorder="1" applyAlignment="1" applyProtection="1">
      <alignment vertical="center"/>
    </xf>
    <xf numFmtId="3" fontId="20" fillId="2" borderId="9" xfId="0" applyNumberFormat="1" applyFont="1" applyFill="1" applyBorder="1" applyAlignment="1">
      <alignment horizontal="left" vertical="center" indent="3"/>
    </xf>
    <xf numFmtId="3" fontId="20" fillId="2" borderId="9" xfId="0" applyNumberFormat="1" applyFont="1" applyFill="1" applyBorder="1" applyAlignment="1">
      <alignment horizontal="center" vertical="center"/>
    </xf>
    <xf numFmtId="0" fontId="36" fillId="0" borderId="61" xfId="0" applyFont="1" applyBorder="1"/>
    <xf numFmtId="0" fontId="36" fillId="0" borderId="42" xfId="0" applyFont="1" applyBorder="1"/>
    <xf numFmtId="0" fontId="36" fillId="0" borderId="43" xfId="0" applyFont="1" applyBorder="1"/>
    <xf numFmtId="0" fontId="36" fillId="0" borderId="62" xfId="0" applyFont="1" applyBorder="1"/>
    <xf numFmtId="0" fontId="36" fillId="0" borderId="44" xfId="0" applyFont="1" applyBorder="1"/>
    <xf numFmtId="0" fontId="36" fillId="0" borderId="49" xfId="0" applyFont="1" applyBorder="1" applyAlignment="1">
      <alignment horizontal="left" vertical="center" indent="2"/>
    </xf>
    <xf numFmtId="0" fontId="36" fillId="0" borderId="7" xfId="0" applyFont="1" applyBorder="1" applyAlignment="1">
      <alignment horizontal="left" vertical="center" indent="2"/>
    </xf>
    <xf numFmtId="0" fontId="36" fillId="0" borderId="16" xfId="0" applyFont="1" applyBorder="1" applyAlignment="1">
      <alignment horizontal="left" vertical="center" indent="2"/>
    </xf>
    <xf numFmtId="0" fontId="36" fillId="0" borderId="61" xfId="0" applyFont="1" applyBorder="1" applyAlignment="1">
      <alignment horizontal="left" indent="3"/>
    </xf>
    <xf numFmtId="0" fontId="36" fillId="0" borderId="42" xfId="0" applyFont="1" applyBorder="1" applyAlignment="1">
      <alignment horizontal="left" indent="3"/>
    </xf>
    <xf numFmtId="0" fontId="36" fillId="0" borderId="9" xfId="0" applyFont="1" applyBorder="1" applyAlignment="1">
      <alignment horizontal="right" vertical="center"/>
    </xf>
    <xf numFmtId="166" fontId="15" fillId="0" borderId="0" xfId="6" applyNumberFormat="1" applyFont="1" applyBorder="1" applyAlignment="1">
      <alignment horizontal="center"/>
    </xf>
    <xf numFmtId="197" fontId="36" fillId="0" borderId="0" xfId="0" applyNumberFormat="1" applyFont="1" applyAlignment="1">
      <alignment horizontal="center"/>
    </xf>
    <xf numFmtId="0" fontId="36" fillId="0" borderId="0" xfId="0" applyFont="1" applyAlignment="1">
      <alignment horizontal="right" vertical="center"/>
    </xf>
    <xf numFmtId="0" fontId="20" fillId="0" borderId="49" xfId="0" applyFont="1" applyBorder="1" applyAlignment="1" applyProtection="1">
      <alignment horizontal="left" vertical="center" indent="1"/>
    </xf>
    <xf numFmtId="0" fontId="20" fillId="0" borderId="7" xfId="0" applyFont="1" applyBorder="1" applyAlignment="1" applyProtection="1">
      <alignment horizontal="left" vertical="center" indent="1"/>
    </xf>
    <xf numFmtId="217" fontId="36" fillId="0" borderId="2" xfId="6" applyNumberFormat="1" applyFont="1" applyBorder="1" applyAlignment="1" applyProtection="1">
      <alignment vertical="center"/>
    </xf>
    <xf numFmtId="217" fontId="36" fillId="0" borderId="4" xfId="6" applyNumberFormat="1" applyFont="1" applyBorder="1" applyAlignment="1" applyProtection="1">
      <alignment vertical="center"/>
    </xf>
    <xf numFmtId="252" fontId="36" fillId="0" borderId="50" xfId="0" applyNumberFormat="1" applyFont="1" applyBorder="1" applyAlignment="1" applyProtection="1">
      <alignment vertical="center"/>
    </xf>
    <xf numFmtId="0" fontId="21" fillId="0" borderId="0" xfId="0" applyFont="1" applyAlignment="1" applyProtection="1">
      <alignment horizontal="left" indent="2"/>
    </xf>
    <xf numFmtId="3" fontId="19" fillId="0" borderId="12" xfId="0" applyNumberFormat="1" applyFont="1" applyBorder="1" applyAlignment="1">
      <alignment horizontal="left" indent="2"/>
    </xf>
    <xf numFmtId="3" fontId="19" fillId="0" borderId="0" xfId="0" quotePrefix="1" applyNumberFormat="1" applyFont="1"/>
    <xf numFmtId="0" fontId="19" fillId="0" borderId="0" xfId="0" applyFont="1" applyAlignment="1">
      <alignment horizontal="center"/>
    </xf>
    <xf numFmtId="178" fontId="19" fillId="0" borderId="0" xfId="0" applyNumberFormat="1" applyFont="1" applyAlignment="1">
      <alignment horizontal="centerContinuous"/>
    </xf>
    <xf numFmtId="3" fontId="19" fillId="0" borderId="0" xfId="0" applyNumberFormat="1" applyFont="1" applyAlignment="1">
      <alignment horizontal="center"/>
    </xf>
    <xf numFmtId="0" fontId="20" fillId="0" borderId="6" xfId="0" applyFont="1" applyBorder="1" applyAlignment="1">
      <alignment horizontal="left" indent="1"/>
    </xf>
    <xf numFmtId="0" fontId="20" fillId="0" borderId="1" xfId="0" applyFont="1" applyBorder="1" applyAlignment="1">
      <alignment horizontal="left" indent="1"/>
    </xf>
    <xf numFmtId="0" fontId="18" fillId="0" borderId="27" xfId="0" applyFont="1" applyBorder="1" applyAlignment="1">
      <alignment horizontal="center" vertical="center"/>
    </xf>
    <xf numFmtId="0" fontId="18" fillId="0" borderId="29" xfId="0" applyFont="1" applyBorder="1" applyAlignment="1">
      <alignment horizontal="center" vertical="center"/>
    </xf>
    <xf numFmtId="3" fontId="36" fillId="0" borderId="16" xfId="0" applyNumberFormat="1" applyFont="1" applyBorder="1" applyAlignment="1">
      <alignment horizontal="left" vertical="center" indent="1"/>
    </xf>
    <xf numFmtId="176" fontId="36" fillId="0" borderId="9" xfId="0" applyNumberFormat="1" applyFont="1" applyBorder="1" applyAlignment="1">
      <alignment horizontal="centerContinuous" vertical="center"/>
    </xf>
    <xf numFmtId="0" fontId="36" fillId="0" borderId="1" xfId="0" applyFont="1" applyBorder="1" applyAlignment="1">
      <alignment horizontal="centerContinuous" vertical="center"/>
    </xf>
    <xf numFmtId="0" fontId="20" fillId="0" borderId="49" xfId="0" applyFont="1" applyBorder="1" applyAlignment="1">
      <alignment horizontal="left" vertical="center" indent="2"/>
    </xf>
    <xf numFmtId="0" fontId="20" fillId="0" borderId="16" xfId="0" applyFont="1" applyBorder="1" applyAlignment="1" applyProtection="1">
      <alignment horizontal="left" vertical="center" indent="2"/>
    </xf>
    <xf numFmtId="0" fontId="36" fillId="0" borderId="49" xfId="0" applyFont="1" applyBorder="1" applyAlignment="1">
      <alignment horizontal="right" vertical="center" indent="2"/>
    </xf>
    <xf numFmtId="0" fontId="36" fillId="0" borderId="16" xfId="0" applyFont="1" applyBorder="1" applyAlignment="1">
      <alignment horizontal="right" vertical="center"/>
    </xf>
    <xf numFmtId="0" fontId="36" fillId="0" borderId="9" xfId="0" applyFont="1" applyBorder="1" applyAlignment="1">
      <alignment horizontal="center" vertical="center"/>
    </xf>
    <xf numFmtId="15" fontId="36" fillId="0" borderId="11" xfId="0" applyNumberFormat="1" applyFont="1" applyBorder="1" applyAlignment="1">
      <alignment horizontal="center" vertical="center"/>
    </xf>
    <xf numFmtId="166" fontId="36" fillId="0" borderId="22" xfId="6" applyNumberFormat="1" applyFont="1" applyBorder="1" applyAlignment="1">
      <alignment horizontal="center" vertical="center"/>
    </xf>
    <xf numFmtId="166" fontId="36" fillId="0" borderId="24" xfId="6" applyNumberFormat="1" applyFont="1" applyBorder="1" applyAlignment="1">
      <alignment horizontal="center" vertical="center"/>
    </xf>
    <xf numFmtId="166" fontId="36" fillId="0" borderId="4" xfId="6" applyNumberFormat="1" applyFont="1" applyBorder="1" applyAlignment="1">
      <alignment horizontal="center" vertical="center"/>
    </xf>
    <xf numFmtId="197" fontId="36" fillId="0" borderId="39" xfId="0" applyNumberFormat="1" applyFont="1" applyBorder="1" applyAlignment="1">
      <alignment horizontal="center" vertical="center"/>
    </xf>
    <xf numFmtId="0" fontId="36" fillId="0" borderId="25" xfId="0" applyFont="1" applyBorder="1" applyAlignment="1">
      <alignment vertical="center"/>
    </xf>
    <xf numFmtId="0" fontId="36" fillId="0" borderId="11" xfId="0" applyFont="1" applyBorder="1" applyAlignment="1">
      <alignment horizontal="right" vertical="center" indent="1"/>
    </xf>
    <xf numFmtId="0" fontId="36" fillId="0" borderId="24" xfId="0" applyFont="1" applyBorder="1" applyAlignment="1">
      <alignment vertical="center"/>
    </xf>
    <xf numFmtId="0" fontId="36" fillId="0" borderId="4" xfId="0" applyFont="1" applyBorder="1" applyAlignment="1">
      <alignment vertical="center"/>
    </xf>
    <xf numFmtId="0" fontId="36" fillId="0" borderId="20" xfId="0" applyFont="1" applyBorder="1" applyAlignment="1">
      <alignment horizontal="right" vertical="center" indent="2"/>
    </xf>
    <xf numFmtId="0" fontId="36" fillId="0" borderId="34" xfId="0" applyFont="1" applyBorder="1" applyAlignment="1">
      <alignment horizontal="left" vertical="center" indent="1"/>
    </xf>
    <xf numFmtId="0" fontId="19" fillId="0" borderId="37" xfId="0" applyFont="1" applyBorder="1" applyAlignment="1">
      <alignment horizontal="left" vertical="center" indent="1"/>
    </xf>
    <xf numFmtId="0" fontId="19" fillId="0" borderId="6" xfId="0" applyFont="1" applyBorder="1" applyAlignment="1">
      <alignment horizontal="right" vertical="center" indent="2"/>
    </xf>
    <xf numFmtId="0" fontId="19" fillId="0" borderId="0" xfId="0" quotePrefix="1" applyFont="1" applyAlignment="1">
      <alignment vertical="center"/>
    </xf>
    <xf numFmtId="2" fontId="19" fillId="0" borderId="0" xfId="0" applyNumberFormat="1" applyFont="1" applyAlignment="1">
      <alignment horizontal="center" vertical="center"/>
    </xf>
    <xf numFmtId="177" fontId="36" fillId="0" borderId="7" xfId="0" applyNumberFormat="1" applyFont="1" applyBorder="1" applyAlignment="1">
      <alignment horizontal="center" vertical="center"/>
    </xf>
    <xf numFmtId="177" fontId="36" fillId="0" borderId="13" xfId="0" applyNumberFormat="1" applyFont="1" applyBorder="1" applyAlignment="1">
      <alignment horizontal="center" vertical="center"/>
    </xf>
    <xf numFmtId="245" fontId="36" fillId="0" borderId="7" xfId="0" applyNumberFormat="1" applyFont="1" applyBorder="1" applyAlignment="1">
      <alignment horizontal="right" vertical="center"/>
    </xf>
    <xf numFmtId="245" fontId="36" fillId="0" borderId="2" xfId="0" applyNumberFormat="1" applyFont="1" applyBorder="1" applyAlignment="1">
      <alignment horizontal="right" vertical="center"/>
    </xf>
    <xf numFmtId="245" fontId="36" fillId="0" borderId="13" xfId="0" applyNumberFormat="1" applyFont="1" applyBorder="1" applyAlignment="1">
      <alignment horizontal="right" vertical="center"/>
    </xf>
    <xf numFmtId="245" fontId="36" fillId="0" borderId="43" xfId="0" applyNumberFormat="1" applyFont="1" applyBorder="1" applyAlignment="1">
      <alignment horizontal="right" vertical="center"/>
    </xf>
    <xf numFmtId="193" fontId="36" fillId="0" borderId="56" xfId="0" applyNumberFormat="1" applyFont="1" applyBorder="1" applyAlignment="1">
      <alignment horizontal="center"/>
    </xf>
    <xf numFmtId="193" fontId="36" fillId="0" borderId="28" xfId="0" applyNumberFormat="1" applyFont="1" applyBorder="1" applyAlignment="1">
      <alignment horizontal="center"/>
    </xf>
    <xf numFmtId="193" fontId="36" fillId="0" borderId="26" xfId="0" applyNumberFormat="1" applyFont="1" applyBorder="1" applyAlignment="1">
      <alignment horizontal="center"/>
    </xf>
    <xf numFmtId="193" fontId="36" fillId="0" borderId="40" xfId="0" applyNumberFormat="1" applyFont="1" applyBorder="1" applyAlignment="1">
      <alignment horizontal="center"/>
    </xf>
    <xf numFmtId="193" fontId="36" fillId="0" borderId="8" xfId="0" applyNumberFormat="1" applyFont="1" applyBorder="1" applyAlignment="1">
      <alignment horizontal="center"/>
    </xf>
    <xf numFmtId="193" fontId="36" fillId="0" borderId="3" xfId="0" applyNumberFormat="1" applyFont="1" applyBorder="1" applyAlignment="1">
      <alignment horizontal="center"/>
    </xf>
    <xf numFmtId="193" fontId="36" fillId="0" borderId="77" xfId="0" applyNumberFormat="1" applyFont="1" applyBorder="1" applyAlignment="1">
      <alignment horizontal="center"/>
    </xf>
    <xf numFmtId="193" fontId="36" fillId="0" borderId="85" xfId="0" applyNumberFormat="1" applyFont="1" applyBorder="1" applyAlignment="1">
      <alignment horizontal="center"/>
    </xf>
    <xf numFmtId="0" fontId="15" fillId="2" borderId="36" xfId="0" applyFont="1" applyFill="1" applyBorder="1" applyAlignment="1" applyProtection="1">
      <alignment horizontal="center" vertical="center"/>
      <protection locked="0"/>
    </xf>
    <xf numFmtId="0" fontId="44" fillId="2" borderId="36" xfId="0" applyFont="1" applyFill="1" applyBorder="1" applyAlignment="1" applyProtection="1">
      <alignment horizontal="center" vertical="center"/>
      <protection locked="0"/>
    </xf>
    <xf numFmtId="0" fontId="15" fillId="0" borderId="6" xfId="0" applyFont="1" applyBorder="1" applyAlignment="1">
      <alignment vertical="center"/>
    </xf>
    <xf numFmtId="3" fontId="44" fillId="0" borderId="72" xfId="0" applyNumberFormat="1" applyFont="1" applyBorder="1" applyAlignment="1">
      <alignment horizontal="left" vertical="center" indent="2"/>
    </xf>
    <xf numFmtId="0" fontId="44" fillId="0" borderId="57" xfId="0" applyFont="1" applyBorder="1" applyAlignment="1">
      <alignment horizontal="center" vertical="center"/>
    </xf>
    <xf numFmtId="10" fontId="19" fillId="2" borderId="25" xfId="6" applyNumberFormat="1" applyFont="1" applyFill="1" applyBorder="1" applyAlignment="1" applyProtection="1">
      <alignment horizontal="center" vertical="center"/>
      <protection locked="0"/>
    </xf>
    <xf numFmtId="0" fontId="19" fillId="0" borderId="2" xfId="0" applyFont="1" applyBorder="1" applyAlignment="1">
      <alignment vertical="center"/>
    </xf>
    <xf numFmtId="254" fontId="36" fillId="0" borderId="37" xfId="0" applyNumberFormat="1" applyFont="1" applyBorder="1" applyAlignment="1">
      <alignment horizontal="center" vertical="center"/>
    </xf>
    <xf numFmtId="254" fontId="36" fillId="0" borderId="36" xfId="0" applyNumberFormat="1" applyFont="1" applyBorder="1" applyAlignment="1">
      <alignment horizontal="center" vertical="center"/>
    </xf>
    <xf numFmtId="254" fontId="36" fillId="0" borderId="25" xfId="0" applyNumberFormat="1" applyFont="1" applyBorder="1" applyAlignment="1">
      <alignment horizontal="center" vertical="center"/>
    </xf>
    <xf numFmtId="4" fontId="19" fillId="0" borderId="2" xfId="0" applyNumberFormat="1" applyFont="1" applyBorder="1" applyAlignment="1">
      <alignment horizontal="center" vertical="center"/>
    </xf>
    <xf numFmtId="4" fontId="19" fillId="0" borderId="24" xfId="0" applyNumberFormat="1" applyFont="1" applyBorder="1" applyAlignment="1">
      <alignment horizontal="center" vertical="center"/>
    </xf>
    <xf numFmtId="0" fontId="36" fillId="0" borderId="22" xfId="0" applyFont="1" applyBorder="1" applyAlignment="1">
      <alignment horizontal="left" vertical="center" indent="1"/>
    </xf>
    <xf numFmtId="247" fontId="19" fillId="0" borderId="2" xfId="6" applyNumberFormat="1" applyFont="1" applyBorder="1" applyAlignment="1">
      <alignment horizontal="center" vertical="center"/>
    </xf>
    <xf numFmtId="247" fontId="19" fillId="0" borderId="24" xfId="6" applyNumberFormat="1" applyFont="1" applyBorder="1" applyAlignment="1">
      <alignment horizontal="center" vertical="center"/>
    </xf>
    <xf numFmtId="247" fontId="19" fillId="0" borderId="2" xfId="6" applyNumberFormat="1" applyFont="1" applyFill="1" applyBorder="1" applyAlignment="1">
      <alignment horizontal="center" vertical="center"/>
    </xf>
    <xf numFmtId="247" fontId="19" fillId="0" borderId="24" xfId="6" applyNumberFormat="1" applyFont="1" applyFill="1" applyBorder="1" applyAlignment="1">
      <alignment horizontal="center" vertical="center"/>
    </xf>
    <xf numFmtId="4" fontId="19" fillId="0" borderId="35" xfId="0" applyNumberFormat="1" applyFont="1" applyBorder="1" applyAlignment="1">
      <alignment horizontal="center" vertical="center"/>
    </xf>
    <xf numFmtId="4" fontId="19" fillId="0" borderId="4" xfId="0" applyNumberFormat="1" applyFont="1" applyBorder="1" applyAlignment="1">
      <alignment horizontal="center" vertical="center"/>
    </xf>
    <xf numFmtId="0" fontId="12" fillId="0" borderId="6" xfId="0" applyFont="1" applyBorder="1" applyAlignment="1">
      <alignment horizontal="centerContinuous" vertical="center"/>
    </xf>
    <xf numFmtId="0" fontId="12" fillId="0" borderId="1" xfId="0" applyFont="1" applyBorder="1" applyAlignment="1">
      <alignment horizontal="centerContinuous" vertical="center"/>
    </xf>
    <xf numFmtId="10" fontId="60" fillId="0" borderId="0" xfId="6" applyNumberFormat="1" applyFont="1" applyAlignment="1">
      <alignment horizontal="center" vertical="center"/>
    </xf>
    <xf numFmtId="3" fontId="34" fillId="0" borderId="127" xfId="0" applyNumberFormat="1" applyFont="1" applyBorder="1" applyAlignment="1">
      <alignment horizontal="left" vertical="center" indent="2"/>
    </xf>
    <xf numFmtId="3" fontId="34" fillId="0" borderId="127" xfId="0" applyNumberFormat="1" applyFont="1" applyBorder="1" applyAlignment="1">
      <alignment vertical="center"/>
    </xf>
    <xf numFmtId="166" fontId="60" fillId="0" borderId="127" xfId="6" applyNumberFormat="1" applyFont="1" applyBorder="1" applyAlignment="1">
      <alignment horizontal="center" vertical="center"/>
    </xf>
    <xf numFmtId="3" fontId="21" fillId="0" borderId="15" xfId="0" applyNumberFormat="1" applyFont="1" applyBorder="1" applyAlignment="1">
      <alignment horizontal="left" indent="1"/>
    </xf>
    <xf numFmtId="3" fontId="21" fillId="0" borderId="12" xfId="0" applyNumberFormat="1" applyFont="1" applyBorder="1" applyAlignment="1">
      <alignment horizontal="left" indent="1"/>
    </xf>
    <xf numFmtId="3" fontId="21" fillId="0" borderId="38" xfId="0" applyNumberFormat="1" applyFont="1" applyBorder="1" applyAlignment="1">
      <alignment horizontal="left" indent="1"/>
    </xf>
    <xf numFmtId="9" fontId="44" fillId="2" borderId="1" xfId="0" applyNumberFormat="1" applyFont="1" applyFill="1" applyBorder="1" applyAlignment="1" applyProtection="1">
      <alignment horizontal="center"/>
      <protection locked="0"/>
    </xf>
    <xf numFmtId="0" fontId="18" fillId="0" borderId="1" xfId="0" applyFont="1" applyBorder="1"/>
    <xf numFmtId="1" fontId="44" fillId="0" borderId="37" xfId="0" applyNumberFormat="1" applyFont="1" applyBorder="1" applyAlignment="1">
      <alignment horizontal="left" indent="3"/>
    </xf>
    <xf numFmtId="1" fontId="18" fillId="0" borderId="1" xfId="0" applyNumberFormat="1" applyFont="1" applyBorder="1"/>
    <xf numFmtId="0" fontId="44" fillId="0" borderId="9" xfId="0" applyFont="1" applyBorder="1" applyAlignment="1">
      <alignment horizontal="center" vertical="center"/>
    </xf>
    <xf numFmtId="0" fontId="44" fillId="0" borderId="39" xfId="0" quotePrefix="1" applyFont="1" applyBorder="1" applyAlignment="1">
      <alignment horizontal="center" vertical="center"/>
    </xf>
    <xf numFmtId="0" fontId="29" fillId="0" borderId="0" xfId="0" applyFont="1" applyAlignment="1" applyProtection="1">
      <alignment horizontal="centerContinuous" vertical="center"/>
    </xf>
    <xf numFmtId="3" fontId="19" fillId="0" borderId="0" xfId="0" applyNumberFormat="1" applyFont="1" applyAlignment="1" applyProtection="1">
      <alignment horizontal="centerContinuous" vertical="center"/>
    </xf>
    <xf numFmtId="3" fontId="21" fillId="0" borderId="7" xfId="0" applyNumberFormat="1" applyFont="1" applyBorder="1" applyAlignment="1">
      <alignment horizontal="left" indent="1"/>
    </xf>
    <xf numFmtId="0" fontId="44" fillId="0" borderId="23" xfId="0" applyFont="1" applyBorder="1" applyAlignment="1">
      <alignment vertical="center"/>
    </xf>
    <xf numFmtId="0" fontId="36" fillId="0" borderId="2" xfId="0" applyFont="1" applyBorder="1" applyAlignment="1">
      <alignment horizontal="right" vertical="center"/>
    </xf>
    <xf numFmtId="10" fontId="19" fillId="2" borderId="24" xfId="0" applyNumberFormat="1" applyFont="1" applyFill="1" applyBorder="1" applyAlignment="1" applyProtection="1">
      <alignment horizontal="center" vertical="center"/>
      <protection locked="0"/>
    </xf>
    <xf numFmtId="0" fontId="44" fillId="0" borderId="34" xfId="0" applyFont="1" applyBorder="1" applyAlignment="1">
      <alignment vertical="center"/>
    </xf>
    <xf numFmtId="0" fontId="36" fillId="0" borderId="35" xfId="0" applyFont="1" applyBorder="1" applyAlignment="1">
      <alignment horizontal="right" vertical="center"/>
    </xf>
    <xf numFmtId="10" fontId="19" fillId="2" borderId="4" xfId="0" applyNumberFormat="1" applyFont="1" applyFill="1" applyBorder="1" applyAlignment="1" applyProtection="1">
      <alignment horizontal="center" vertical="center"/>
      <protection locked="0"/>
    </xf>
    <xf numFmtId="200" fontId="15" fillId="0" borderId="18" xfId="0" applyNumberFormat="1" applyFont="1" applyBorder="1" applyAlignment="1" applyProtection="1">
      <alignment vertical="center"/>
    </xf>
    <xf numFmtId="0" fontId="32" fillId="0" borderId="49" xfId="0" applyFont="1" applyBorder="1" applyAlignment="1">
      <alignment horizontal="center" vertical="center" wrapText="1"/>
    </xf>
    <xf numFmtId="3" fontId="15" fillId="0" borderId="11" xfId="0" applyNumberFormat="1" applyFont="1" applyBorder="1" applyAlignment="1">
      <alignment horizontal="center" vertical="center"/>
    </xf>
    <xf numFmtId="3" fontId="15" fillId="0" borderId="6" xfId="0" applyNumberFormat="1" applyFont="1" applyBorder="1" applyAlignment="1">
      <alignment horizontal="center" vertical="center"/>
    </xf>
    <xf numFmtId="0" fontId="15" fillId="0" borderId="9" xfId="0" applyFont="1" applyBorder="1" applyAlignment="1">
      <alignment horizontal="right" vertical="center" indent="1"/>
    </xf>
    <xf numFmtId="0" fontId="19" fillId="0" borderId="0" xfId="0" quotePrefix="1" applyFont="1" applyProtection="1"/>
    <xf numFmtId="256" fontId="19" fillId="0" borderId="11" xfId="0" applyNumberFormat="1" applyFont="1" applyBorder="1"/>
    <xf numFmtId="0" fontId="19" fillId="0" borderId="0" xfId="0" applyFont="1" applyAlignment="1">
      <alignment horizontal="center" vertical="center"/>
    </xf>
    <xf numFmtId="0" fontId="19" fillId="0" borderId="20" xfId="0" applyFont="1" applyBorder="1" applyAlignment="1">
      <alignment horizontal="centerContinuous"/>
    </xf>
    <xf numFmtId="0" fontId="19" fillId="0" borderId="61" xfId="0" applyFont="1" applyBorder="1" applyAlignment="1">
      <alignment horizontal="centerContinuous"/>
    </xf>
    <xf numFmtId="9" fontId="44" fillId="0" borderId="22" xfId="0" applyNumberFormat="1" applyFont="1" applyBorder="1" applyAlignment="1" applyProtection="1">
      <alignment horizontal="center"/>
    </xf>
    <xf numFmtId="0" fontId="19" fillId="0" borderId="34" xfId="0" applyFont="1" applyBorder="1" applyAlignment="1">
      <alignment horizontal="centerContinuous" vertical="center" wrapText="1"/>
    </xf>
    <xf numFmtId="0" fontId="19" fillId="0" borderId="62" xfId="0" applyFont="1" applyBorder="1" applyAlignment="1">
      <alignment horizontal="centerContinuous" vertical="center"/>
    </xf>
    <xf numFmtId="9" fontId="44" fillId="2" borderId="4" xfId="0" applyNumberFormat="1" applyFont="1" applyFill="1" applyBorder="1" applyAlignment="1" applyProtection="1">
      <alignment horizontal="center" vertical="center"/>
      <protection locked="0"/>
    </xf>
    <xf numFmtId="0" fontId="18" fillId="0" borderId="49" xfId="0" applyFont="1" applyBorder="1" applyAlignment="1" applyProtection="1">
      <alignment horizontal="left" vertical="center" indent="2"/>
    </xf>
    <xf numFmtId="0" fontId="18" fillId="0" borderId="16" xfId="0" applyFont="1" applyBorder="1" applyAlignment="1" applyProtection="1">
      <alignment horizontal="right" indent="2"/>
    </xf>
    <xf numFmtId="0" fontId="21" fillId="0" borderId="39" xfId="0" applyFont="1" applyBorder="1" applyAlignment="1" applyProtection="1">
      <alignment horizontal="left" indent="2"/>
    </xf>
    <xf numFmtId="0" fontId="18" fillId="0" borderId="49" xfId="0" applyFont="1" applyBorder="1" applyAlignment="1" applyProtection="1">
      <alignment horizontal="left" indent="2"/>
    </xf>
    <xf numFmtId="0" fontId="21" fillId="0" borderId="7" xfId="0" applyFont="1" applyBorder="1" applyAlignment="1" applyProtection="1">
      <alignment horizontal="left" indent="4"/>
    </xf>
    <xf numFmtId="0" fontId="18" fillId="0" borderId="16" xfId="0" applyFont="1" applyBorder="1" applyAlignment="1" applyProtection="1">
      <alignment horizontal="right" indent="4"/>
    </xf>
    <xf numFmtId="0" fontId="21" fillId="0" borderId="6" xfId="0" applyFont="1" applyBorder="1" applyAlignment="1" applyProtection="1">
      <alignment horizontal="left" indent="2"/>
    </xf>
    <xf numFmtId="213" fontId="21" fillId="0" borderId="15" xfId="0" applyNumberFormat="1" applyFont="1" applyBorder="1" applyAlignment="1" applyProtection="1">
      <alignment horizontal="right"/>
    </xf>
    <xf numFmtId="0" fontId="32" fillId="0" borderId="18" xfId="0" applyFont="1" applyBorder="1" applyAlignment="1" applyProtection="1">
      <alignment horizontal="center" wrapText="1"/>
    </xf>
    <xf numFmtId="213" fontId="21" fillId="0" borderId="12" xfId="0" applyNumberFormat="1" applyFont="1" applyBorder="1" applyAlignment="1" applyProtection="1">
      <alignment horizontal="right"/>
    </xf>
    <xf numFmtId="213" fontId="18" fillId="0" borderId="19" xfId="0" applyNumberFormat="1" applyFont="1" applyBorder="1" applyProtection="1"/>
    <xf numFmtId="206" fontId="21" fillId="0" borderId="15" xfId="0" applyNumberFormat="1" applyFont="1" applyBorder="1" applyAlignment="1" applyProtection="1">
      <alignment horizontal="right"/>
    </xf>
    <xf numFmtId="206" fontId="21" fillId="0" borderId="12" xfId="0" applyNumberFormat="1" applyFont="1" applyBorder="1" applyAlignment="1" applyProtection="1">
      <alignment horizontal="right"/>
    </xf>
    <xf numFmtId="206" fontId="18" fillId="0" borderId="16" xfId="0" applyNumberFormat="1" applyFont="1" applyBorder="1" applyProtection="1"/>
    <xf numFmtId="206" fontId="21" fillId="0" borderId="15" xfId="0" applyNumberFormat="1" applyFont="1" applyBorder="1" applyProtection="1"/>
    <xf numFmtId="206" fontId="21" fillId="0" borderId="12" xfId="0" applyNumberFormat="1" applyFont="1" applyBorder="1" applyProtection="1"/>
    <xf numFmtId="200" fontId="21" fillId="0" borderId="0" xfId="0" applyNumberFormat="1" applyFont="1" applyAlignment="1" applyProtection="1">
      <alignment horizontal="right"/>
    </xf>
    <xf numFmtId="200" fontId="21" fillId="0" borderId="0" xfId="0" applyNumberFormat="1" applyFont="1" applyProtection="1"/>
    <xf numFmtId="0" fontId="36" fillId="0" borderId="1" xfId="0" applyFont="1" applyBorder="1" applyAlignment="1">
      <alignment horizontal="right" vertical="center" indent="1"/>
    </xf>
    <xf numFmtId="3" fontId="36" fillId="0" borderId="49" xfId="0" applyNumberFormat="1" applyFont="1" applyBorder="1" applyAlignment="1" applyProtection="1">
      <alignment horizontal="left" vertical="center" indent="2"/>
    </xf>
    <xf numFmtId="3" fontId="36" fillId="0" borderId="16" xfId="0" applyNumberFormat="1" applyFont="1" applyBorder="1" applyAlignment="1" applyProtection="1">
      <alignment horizontal="left" vertical="center" indent="2"/>
    </xf>
    <xf numFmtId="9" fontId="31" fillId="0" borderId="0" xfId="0" applyNumberFormat="1" applyFont="1" applyAlignment="1">
      <alignment horizontal="center"/>
    </xf>
    <xf numFmtId="3" fontId="18" fillId="0" borderId="49" xfId="0" applyNumberFormat="1" applyFont="1" applyBorder="1"/>
    <xf numFmtId="3" fontId="15" fillId="0" borderId="69" xfId="0" applyNumberFormat="1" applyFont="1" applyBorder="1" applyAlignment="1">
      <alignment horizontal="left" indent="1"/>
    </xf>
    <xf numFmtId="9" fontId="15" fillId="0" borderId="0" xfId="0" applyNumberFormat="1" applyFont="1" applyAlignment="1">
      <alignment horizontal="center" vertical="center"/>
    </xf>
    <xf numFmtId="0" fontId="33" fillId="0" borderId="0" xfId="0" applyFont="1" applyAlignment="1">
      <alignment vertical="center"/>
    </xf>
    <xf numFmtId="0" fontId="19" fillId="0" borderId="0" xfId="0" applyFont="1" applyAlignment="1">
      <alignment horizontal="left" vertical="center"/>
    </xf>
    <xf numFmtId="0" fontId="18" fillId="0" borderId="8" xfId="0" applyFont="1" applyBorder="1" applyAlignment="1" applyProtection="1">
      <alignment horizontal="left" vertical="center" indent="2"/>
    </xf>
    <xf numFmtId="0" fontId="18" fillId="0" borderId="8" xfId="0" applyFont="1" applyBorder="1" applyAlignment="1" applyProtection="1">
      <alignment horizontal="center" vertical="center" wrapText="1"/>
    </xf>
    <xf numFmtId="0" fontId="18" fillId="0" borderId="8" xfId="0" applyFont="1" applyBorder="1" applyAlignment="1">
      <alignment horizontal="center" vertical="center" wrapText="1"/>
    </xf>
    <xf numFmtId="0" fontId="18" fillId="0" borderId="15" xfId="0" applyFont="1" applyBorder="1" applyAlignment="1">
      <alignment horizontal="center" vertical="center" wrapText="1"/>
    </xf>
    <xf numFmtId="0" fontId="15" fillId="0" borderId="49" xfId="0" applyFont="1" applyBorder="1" applyAlignment="1" applyProtection="1">
      <alignment horizontal="left" vertical="center" indent="2"/>
    </xf>
    <xf numFmtId="0" fontId="21" fillId="0" borderId="7" xfId="0" applyFont="1" applyBorder="1" applyAlignment="1" applyProtection="1">
      <alignment horizontal="left" indent="3"/>
    </xf>
    <xf numFmtId="0" fontId="18" fillId="0" borderId="8" xfId="0" applyFont="1" applyBorder="1" applyAlignment="1">
      <alignment horizontal="center" vertical="center"/>
    </xf>
    <xf numFmtId="0" fontId="18" fillId="0" borderId="3" xfId="0" applyFont="1" applyBorder="1" applyAlignment="1">
      <alignment horizontal="center" vertical="center" wrapText="1"/>
    </xf>
    <xf numFmtId="0" fontId="18" fillId="0" borderId="85" xfId="0" applyFont="1" applyBorder="1" applyAlignment="1" applyProtection="1">
      <alignment horizontal="center" vertical="center" wrapText="1"/>
    </xf>
    <xf numFmtId="0" fontId="18" fillId="0" borderId="15" xfId="0" applyFont="1" applyBorder="1" applyAlignment="1" applyProtection="1">
      <alignment horizontal="center" vertical="center" wrapText="1"/>
    </xf>
    <xf numFmtId="0" fontId="18" fillId="0" borderId="5" xfId="0" applyFont="1" applyBorder="1" applyAlignment="1">
      <alignment horizontal="center" vertical="center" wrapText="1"/>
    </xf>
    <xf numFmtId="200" fontId="19" fillId="2" borderId="25" xfId="0" applyNumberFormat="1" applyFont="1" applyFill="1" applyBorder="1" applyAlignment="1" applyProtection="1">
      <alignment vertical="center"/>
      <protection locked="0"/>
    </xf>
    <xf numFmtId="0" fontId="28" fillId="0" borderId="0" xfId="0" applyFont="1" applyAlignment="1" applyProtection="1">
      <alignment horizontal="center"/>
    </xf>
    <xf numFmtId="168" fontId="15" fillId="2" borderId="11" xfId="0" applyNumberFormat="1" applyFont="1" applyFill="1" applyBorder="1" applyAlignment="1" applyProtection="1">
      <alignment horizontal="center"/>
      <protection locked="0"/>
    </xf>
    <xf numFmtId="0" fontId="61" fillId="0" borderId="0" xfId="0" applyFont="1" applyAlignment="1" applyProtection="1">
      <alignment horizontal="right"/>
    </xf>
    <xf numFmtId="0" fontId="33" fillId="0" borderId="0" xfId="0" applyFont="1" applyAlignment="1" applyProtection="1">
      <alignment horizontal="center"/>
    </xf>
    <xf numFmtId="0" fontId="19" fillId="4" borderId="0" xfId="0" applyFont="1" applyFill="1"/>
    <xf numFmtId="190" fontId="21" fillId="4" borderId="48" xfId="0" applyNumberFormat="1" applyFont="1" applyFill="1" applyBorder="1"/>
    <xf numFmtId="189" fontId="21" fillId="4" borderId="85" xfId="0" applyNumberFormat="1" applyFont="1" applyFill="1" applyBorder="1"/>
    <xf numFmtId="230" fontId="21" fillId="4" borderId="48" xfId="0" applyNumberFormat="1" applyFont="1" applyFill="1" applyBorder="1"/>
    <xf numFmtId="237" fontId="21" fillId="4" borderId="85" xfId="0" applyNumberFormat="1" applyFont="1" applyFill="1" applyBorder="1"/>
    <xf numFmtId="3" fontId="36" fillId="0" borderId="15" xfId="0" applyNumberFormat="1" applyFont="1" applyBorder="1" applyAlignment="1">
      <alignment horizontal="left" indent="1"/>
    </xf>
    <xf numFmtId="3" fontId="20" fillId="0" borderId="15" xfId="0" applyNumberFormat="1" applyFont="1" applyBorder="1" applyAlignment="1">
      <alignment horizontal="left" indent="2"/>
    </xf>
    <xf numFmtId="224" fontId="32" fillId="0" borderId="15" xfId="0" applyNumberFormat="1" applyFont="1" applyBorder="1" applyAlignment="1" applyProtection="1">
      <alignment shrinkToFit="1"/>
      <protection locked="0"/>
    </xf>
    <xf numFmtId="3" fontId="19" fillId="0" borderId="49" xfId="0" applyNumberFormat="1" applyFont="1" applyBorder="1" applyAlignment="1" applyProtection="1">
      <alignment horizontal="left" vertical="center" indent="1"/>
    </xf>
    <xf numFmtId="3" fontId="19" fillId="0" borderId="8" xfId="0" applyNumberFormat="1" applyFont="1" applyBorder="1" applyAlignment="1" applyProtection="1">
      <alignment horizontal="left" vertical="center" indent="1"/>
    </xf>
    <xf numFmtId="190" fontId="19" fillId="0" borderId="48" xfId="0" applyNumberFormat="1" applyFont="1" applyBorder="1" applyAlignment="1" applyProtection="1">
      <alignment vertical="center"/>
    </xf>
    <xf numFmtId="3" fontId="20" fillId="0" borderId="15" xfId="0" applyNumberFormat="1" applyFont="1" applyBorder="1" applyAlignment="1">
      <alignment horizontal="center"/>
    </xf>
    <xf numFmtId="3" fontId="19" fillId="0" borderId="69" xfId="0" applyNumberFormat="1" applyFont="1" applyBorder="1" applyAlignment="1" applyProtection="1">
      <alignment horizontal="left" vertical="center" indent="3"/>
    </xf>
    <xf numFmtId="189" fontId="19" fillId="0" borderId="53" xfId="0" applyNumberFormat="1" applyFont="1" applyBorder="1" applyAlignment="1" applyProtection="1">
      <alignment vertical="center"/>
    </xf>
    <xf numFmtId="3" fontId="15" fillId="0" borderId="69" xfId="0" applyNumberFormat="1" applyFont="1" applyBorder="1" applyAlignment="1" applyProtection="1">
      <alignment horizontal="center" vertical="center"/>
    </xf>
    <xf numFmtId="195" fontId="42" fillId="0" borderId="15" xfId="0" applyNumberFormat="1" applyFont="1" applyBorder="1" applyAlignment="1">
      <alignment shrinkToFit="1"/>
    </xf>
    <xf numFmtId="0" fontId="19" fillId="5" borderId="0" xfId="0" applyFont="1" applyFill="1"/>
    <xf numFmtId="236" fontId="50" fillId="0" borderId="0" xfId="0" applyNumberFormat="1" applyFont="1" applyProtection="1"/>
    <xf numFmtId="190" fontId="21" fillId="5" borderId="48" xfId="0" applyNumberFormat="1" applyFont="1" applyFill="1" applyBorder="1"/>
    <xf numFmtId="189" fontId="21" fillId="5" borderId="85" xfId="0" applyNumberFormat="1" applyFont="1" applyFill="1" applyBorder="1"/>
    <xf numFmtId="230" fontId="21" fillId="5" borderId="48" xfId="0" applyNumberFormat="1" applyFont="1" applyFill="1" applyBorder="1"/>
    <xf numFmtId="237" fontId="21" fillId="5" borderId="85" xfId="0" applyNumberFormat="1" applyFont="1" applyFill="1" applyBorder="1"/>
    <xf numFmtId="0" fontId="20" fillId="0" borderId="9" xfId="0" applyFont="1" applyBorder="1" applyAlignment="1" applyProtection="1">
      <alignment horizontal="left" vertical="center" indent="1"/>
    </xf>
    <xf numFmtId="0" fontId="18" fillId="0" borderId="11" xfId="0" applyFont="1" applyBorder="1" applyAlignment="1" applyProtection="1">
      <alignment horizontal="center" vertical="center" wrapText="1"/>
    </xf>
    <xf numFmtId="0" fontId="32" fillId="0" borderId="49" xfId="0" applyFont="1" applyBorder="1" applyAlignment="1">
      <alignment horizontal="center" shrinkToFit="1"/>
    </xf>
    <xf numFmtId="0" fontId="42" fillId="0" borderId="49" xfId="0" applyFont="1" applyBorder="1" applyAlignment="1">
      <alignment horizontal="center" vertical="center" wrapText="1"/>
    </xf>
    <xf numFmtId="213" fontId="21" fillId="0" borderId="69" xfId="0" applyNumberFormat="1" applyFont="1" applyBorder="1" applyProtection="1"/>
    <xf numFmtId="213" fontId="21" fillId="0" borderId="38" xfId="0" applyNumberFormat="1" applyFont="1" applyBorder="1" applyProtection="1"/>
    <xf numFmtId="0" fontId="18" fillId="0" borderId="9" xfId="0" applyFont="1" applyBorder="1" applyAlignment="1" applyProtection="1">
      <alignment horizontal="right" indent="2"/>
    </xf>
    <xf numFmtId="213" fontId="18" fillId="0" borderId="9" xfId="0" applyNumberFormat="1" applyFont="1" applyBorder="1"/>
    <xf numFmtId="213" fontId="18" fillId="0" borderId="11" xfId="0" applyNumberFormat="1" applyFont="1" applyBorder="1"/>
    <xf numFmtId="206" fontId="18" fillId="0" borderId="9" xfId="0" applyNumberFormat="1" applyFont="1" applyBorder="1"/>
    <xf numFmtId="0" fontId="62" fillId="0" borderId="10"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18" xfId="0" applyFont="1" applyBorder="1" applyAlignment="1">
      <alignment horizontal="center" vertical="center"/>
    </xf>
    <xf numFmtId="0" fontId="42" fillId="0" borderId="21" xfId="0" applyFont="1" applyBorder="1" applyAlignment="1">
      <alignment horizontal="center" vertical="center" wrapText="1"/>
    </xf>
    <xf numFmtId="0" fontId="42" fillId="0" borderId="42" xfId="0" applyFont="1" applyBorder="1" applyAlignment="1" applyProtection="1">
      <alignment horizontal="center" vertical="center" wrapText="1"/>
    </xf>
    <xf numFmtId="0" fontId="59" fillId="0" borderId="0" xfId="0" applyFont="1"/>
    <xf numFmtId="0" fontId="42" fillId="0" borderId="18" xfId="0" applyFont="1" applyBorder="1" applyAlignment="1" applyProtection="1">
      <alignment horizontal="center" vertical="center" wrapText="1"/>
    </xf>
    <xf numFmtId="0" fontId="63" fillId="0" borderId="49" xfId="0" applyFont="1" applyBorder="1" applyAlignment="1">
      <alignment horizontal="center" vertical="center" wrapText="1"/>
    </xf>
    <xf numFmtId="0" fontId="18" fillId="0" borderId="9" xfId="0" applyFont="1" applyBorder="1" applyAlignment="1" applyProtection="1">
      <alignment horizontal="left" vertical="center" indent="2"/>
    </xf>
    <xf numFmtId="0" fontId="32" fillId="0" borderId="11" xfId="0" applyFont="1" applyBorder="1" applyAlignment="1">
      <alignment horizontal="center" wrapText="1"/>
    </xf>
    <xf numFmtId="200" fontId="21" fillId="0" borderId="11" xfId="0" applyNumberFormat="1" applyFont="1" applyBorder="1"/>
    <xf numFmtId="190" fontId="15" fillId="0" borderId="11" xfId="0" applyNumberFormat="1" applyFont="1" applyBorder="1" applyAlignment="1" applyProtection="1">
      <alignment vertical="center"/>
    </xf>
    <xf numFmtId="0" fontId="12" fillId="0" borderId="10" xfId="0" applyFont="1" applyBorder="1" applyAlignment="1">
      <alignment horizontal="left" indent="1"/>
    </xf>
    <xf numFmtId="183" fontId="12" fillId="0" borderId="68" xfId="4" applyNumberFormat="1" applyFont="1" applyBorder="1"/>
    <xf numFmtId="169" fontId="19" fillId="0" borderId="68" xfId="4" applyNumberFormat="1" applyFont="1" applyBorder="1"/>
    <xf numFmtId="188" fontId="19" fillId="0" borderId="68" xfId="4" applyNumberFormat="1" applyFont="1" applyBorder="1"/>
    <xf numFmtId="182" fontId="19" fillId="0" borderId="68" xfId="4" applyNumberFormat="1" applyFont="1" applyBorder="1"/>
    <xf numFmtId="169" fontId="19" fillId="0" borderId="68" xfId="4" applyNumberFormat="1" applyFont="1" applyFill="1" applyBorder="1"/>
    <xf numFmtId="188" fontId="19" fillId="0" borderId="68" xfId="4" applyNumberFormat="1" applyFont="1" applyFill="1" applyBorder="1"/>
    <xf numFmtId="0" fontId="19" fillId="0" borderId="57" xfId="0" applyFont="1" applyBorder="1"/>
    <xf numFmtId="0" fontId="12" fillId="0" borderId="64" xfId="0" applyFont="1" applyBorder="1"/>
    <xf numFmtId="169" fontId="12" fillId="0" borderId="90" xfId="4" applyNumberFormat="1" applyFont="1" applyFill="1" applyBorder="1" applyAlignment="1"/>
    <xf numFmtId="164" fontId="19" fillId="0" borderId="68" xfId="0" applyNumberFormat="1" applyFont="1" applyBorder="1"/>
    <xf numFmtId="183" fontId="19" fillId="0" borderId="68" xfId="4" applyNumberFormat="1" applyFont="1" applyBorder="1"/>
    <xf numFmtId="164" fontId="15" fillId="0" borderId="68" xfId="4" applyFont="1" applyBorder="1"/>
    <xf numFmtId="169" fontId="19" fillId="0" borderId="68" xfId="4" applyNumberFormat="1" applyFont="1" applyBorder="1" applyAlignment="1"/>
    <xf numFmtId="0" fontId="12" fillId="0" borderId="64" xfId="0" applyFont="1" applyBorder="1" applyAlignment="1">
      <alignment horizontal="right"/>
    </xf>
    <xf numFmtId="0" fontId="27" fillId="0" borderId="26" xfId="0" applyFont="1" applyBorder="1" applyAlignment="1" applyProtection="1">
      <alignment horizontal="center"/>
    </xf>
    <xf numFmtId="0" fontId="27" fillId="0" borderId="26" xfId="0" applyFont="1" applyBorder="1" applyAlignment="1" applyProtection="1">
      <alignment horizontal="left"/>
    </xf>
    <xf numFmtId="3" fontId="19" fillId="5" borderId="12" xfId="0" applyNumberFormat="1" applyFont="1" applyFill="1" applyBorder="1" applyAlignment="1">
      <alignment horizontal="left" indent="2"/>
    </xf>
    <xf numFmtId="3" fontId="19" fillId="4" borderId="12" xfId="0" applyNumberFormat="1" applyFont="1" applyFill="1" applyBorder="1" applyAlignment="1">
      <alignment horizontal="left" indent="3"/>
    </xf>
    <xf numFmtId="3" fontId="19" fillId="0" borderId="0" xfId="0" applyNumberFormat="1" applyFont="1" applyAlignment="1">
      <alignment horizontal="left" indent="1"/>
    </xf>
    <xf numFmtId="3" fontId="15" fillId="0" borderId="37" xfId="0" applyNumberFormat="1" applyFont="1" applyBorder="1" applyAlignment="1">
      <alignment horizontal="centerContinuous"/>
    </xf>
    <xf numFmtId="3" fontId="15" fillId="0" borderId="25" xfId="0" applyNumberFormat="1" applyFont="1" applyBorder="1" applyAlignment="1">
      <alignment horizontal="centerContinuous"/>
    </xf>
    <xf numFmtId="190" fontId="18" fillId="0" borderId="37" xfId="0" applyNumberFormat="1" applyFont="1" applyBorder="1" applyAlignment="1">
      <alignment vertical="center"/>
    </xf>
    <xf numFmtId="189" fontId="18" fillId="0" borderId="1" xfId="0" applyNumberFormat="1" applyFont="1" applyBorder="1" applyAlignment="1">
      <alignment vertical="center"/>
    </xf>
    <xf numFmtId="230" fontId="18" fillId="0" borderId="37" xfId="0" applyNumberFormat="1" applyFont="1" applyBorder="1" applyAlignment="1">
      <alignment vertical="center"/>
    </xf>
    <xf numFmtId="237" fontId="18" fillId="0" borderId="1" xfId="0" applyNumberFormat="1" applyFont="1" applyBorder="1" applyAlignment="1">
      <alignment vertical="center"/>
    </xf>
    <xf numFmtId="3" fontId="15" fillId="0" borderId="9" xfId="0" applyNumberFormat="1" applyFont="1" applyBorder="1" applyAlignment="1">
      <alignment horizontal="left" vertical="center" indent="1"/>
    </xf>
    <xf numFmtId="190" fontId="18" fillId="2" borderId="37" xfId="0" applyNumberFormat="1" applyFont="1" applyFill="1" applyBorder="1" applyAlignment="1">
      <alignment vertical="center"/>
    </xf>
    <xf numFmtId="189" fontId="18" fillId="2" borderId="1" xfId="0" applyNumberFormat="1" applyFont="1" applyFill="1" applyBorder="1" applyAlignment="1">
      <alignment vertical="center"/>
    </xf>
    <xf numFmtId="230" fontId="18" fillId="2" borderId="37" xfId="0" applyNumberFormat="1" applyFont="1" applyFill="1" applyBorder="1" applyAlignment="1">
      <alignment vertical="center"/>
    </xf>
    <xf numFmtId="237" fontId="18" fillId="2" borderId="1" xfId="0" applyNumberFormat="1" applyFont="1" applyFill="1" applyBorder="1" applyAlignment="1">
      <alignment vertical="center"/>
    </xf>
    <xf numFmtId="3" fontId="15" fillId="2" borderId="9" xfId="0" applyNumberFormat="1" applyFont="1" applyFill="1" applyBorder="1" applyAlignment="1">
      <alignment horizontal="left" vertical="center" indent="1"/>
    </xf>
    <xf numFmtId="190" fontId="18" fillId="0" borderId="48" xfId="0" applyNumberFormat="1" applyFont="1" applyBorder="1" applyAlignment="1">
      <alignment vertical="center"/>
    </xf>
    <xf numFmtId="189" fontId="18" fillId="0" borderId="85" xfId="0" applyNumberFormat="1" applyFont="1" applyBorder="1" applyAlignment="1">
      <alignment vertical="center"/>
    </xf>
    <xf numFmtId="230" fontId="18" fillId="0" borderId="48" xfId="0" applyNumberFormat="1" applyFont="1" applyBorder="1" applyAlignment="1">
      <alignment vertical="center"/>
    </xf>
    <xf numFmtId="237" fontId="18" fillId="0" borderId="85" xfId="0" applyNumberFormat="1" applyFont="1" applyBorder="1" applyAlignment="1">
      <alignment vertical="center"/>
    </xf>
    <xf numFmtId="190" fontId="18" fillId="0" borderId="20" xfId="0" applyNumberFormat="1" applyFont="1" applyBorder="1" applyAlignment="1">
      <alignment vertical="center"/>
    </xf>
    <xf numFmtId="189" fontId="18" fillId="0" borderId="42" xfId="0" applyNumberFormat="1" applyFont="1" applyBorder="1" applyAlignment="1">
      <alignment vertical="center"/>
    </xf>
    <xf numFmtId="230" fontId="18" fillId="0" borderId="20" xfId="0" applyNumberFormat="1" applyFont="1" applyBorder="1" applyAlignment="1">
      <alignment vertical="center"/>
    </xf>
    <xf numFmtId="237" fontId="18" fillId="0" borderId="42" xfId="0" applyNumberFormat="1" applyFont="1" applyBorder="1" applyAlignment="1">
      <alignment vertical="center"/>
    </xf>
    <xf numFmtId="3" fontId="15" fillId="0" borderId="12" xfId="0" applyNumberFormat="1" applyFont="1" applyBorder="1" applyAlignment="1">
      <alignment horizontal="left" vertical="center" indent="1"/>
    </xf>
    <xf numFmtId="3" fontId="15" fillId="0" borderId="19" xfId="0" applyNumberFormat="1" applyFont="1" applyBorder="1" applyAlignment="1">
      <alignment horizontal="left" vertical="center" indent="1"/>
    </xf>
    <xf numFmtId="3" fontId="15" fillId="0" borderId="18" xfId="0" applyNumberFormat="1" applyFont="1" applyBorder="1" applyAlignment="1">
      <alignment horizontal="left" vertical="center" indent="1"/>
    </xf>
    <xf numFmtId="3" fontId="36" fillId="0" borderId="7" xfId="0" applyNumberFormat="1" applyFont="1" applyBorder="1" applyAlignment="1" applyProtection="1">
      <alignment horizontal="left" vertical="center"/>
    </xf>
    <xf numFmtId="168" fontId="20" fillId="0" borderId="51" xfId="0" applyNumberFormat="1" applyFont="1" applyBorder="1" applyAlignment="1" applyProtection="1">
      <alignment vertical="center"/>
    </xf>
    <xf numFmtId="168" fontId="20" fillId="0" borderId="23" xfId="0" applyNumberFormat="1" applyFont="1" applyBorder="1" applyAlignment="1" applyProtection="1">
      <alignment vertical="center"/>
    </xf>
    <xf numFmtId="217" fontId="20" fillId="0" borderId="24" xfId="6" applyNumberFormat="1" applyFont="1" applyBorder="1" applyAlignment="1" applyProtection="1">
      <alignment vertical="center"/>
    </xf>
    <xf numFmtId="217" fontId="20" fillId="0" borderId="2" xfId="6" applyNumberFormat="1" applyFont="1" applyBorder="1" applyAlignment="1" applyProtection="1">
      <alignment vertical="center"/>
    </xf>
    <xf numFmtId="168" fontId="36" fillId="0" borderId="23" xfId="0" applyNumberFormat="1" applyFont="1" applyBorder="1" applyAlignment="1" applyProtection="1">
      <alignment vertical="center"/>
    </xf>
    <xf numFmtId="217" fontId="20" fillId="0" borderId="13" xfId="0" applyNumberFormat="1" applyFont="1" applyBorder="1" applyAlignment="1" applyProtection="1">
      <alignment vertical="center"/>
    </xf>
    <xf numFmtId="217" fontId="36" fillId="0" borderId="13" xfId="0" applyNumberFormat="1" applyFont="1" applyBorder="1" applyAlignment="1" applyProtection="1">
      <alignment vertical="center"/>
    </xf>
    <xf numFmtId="3" fontId="36" fillId="0" borderId="7" xfId="0" applyNumberFormat="1" applyFont="1" applyBorder="1" applyAlignment="1" applyProtection="1">
      <alignment horizontal="right" vertical="center"/>
    </xf>
    <xf numFmtId="200" fontId="36" fillId="0" borderId="23" xfId="0" applyNumberFormat="1" applyFont="1" applyBorder="1" applyAlignment="1" applyProtection="1">
      <alignment vertical="center"/>
    </xf>
    <xf numFmtId="200" fontId="36" fillId="0" borderId="51" xfId="0" applyNumberFormat="1" applyFont="1" applyBorder="1" applyAlignment="1" applyProtection="1">
      <alignment vertical="center"/>
    </xf>
    <xf numFmtId="3" fontId="36" fillId="0" borderId="7" xfId="0" applyNumberFormat="1" applyFont="1" applyBorder="1" applyAlignment="1" applyProtection="1">
      <alignment vertical="center"/>
    </xf>
    <xf numFmtId="0" fontId="42" fillId="0" borderId="72" xfId="0" applyFont="1" applyBorder="1" applyAlignment="1" applyProtection="1">
      <alignment horizontal="center" vertical="center"/>
    </xf>
    <xf numFmtId="0" fontId="42" fillId="0" borderId="36" xfId="0" applyFont="1" applyBorder="1" applyAlignment="1" applyProtection="1">
      <alignment horizontal="center" vertical="center"/>
    </xf>
    <xf numFmtId="0" fontId="42" fillId="0" borderId="1" xfId="0" applyFont="1" applyBorder="1" applyAlignment="1" applyProtection="1">
      <alignment horizontal="center" vertical="center"/>
    </xf>
    <xf numFmtId="0" fontId="42" fillId="0" borderId="6" xfId="0" applyFont="1" applyBorder="1" applyAlignment="1" applyProtection="1">
      <alignment horizontal="center" vertical="center"/>
    </xf>
    <xf numFmtId="3" fontId="36" fillId="0" borderId="7" xfId="0" applyNumberFormat="1" applyFont="1" applyBorder="1" applyAlignment="1" applyProtection="1">
      <alignment horizontal="left" vertical="center" indent="3"/>
    </xf>
    <xf numFmtId="195" fontId="36" fillId="0" borderId="3" xfId="0" applyNumberFormat="1" applyFont="1" applyBorder="1" applyAlignment="1" applyProtection="1">
      <alignment vertical="center" shrinkToFit="1"/>
      <protection locked="0"/>
    </xf>
    <xf numFmtId="190" fontId="36" fillId="0" borderId="2" xfId="0" applyNumberFormat="1" applyFont="1" applyBorder="1" applyAlignment="1" applyProtection="1">
      <alignment vertical="center" shrinkToFit="1"/>
      <protection locked="0"/>
    </xf>
    <xf numFmtId="195" fontId="36" fillId="0" borderId="2" xfId="0" applyNumberFormat="1" applyFont="1" applyBorder="1" applyAlignment="1" applyProtection="1">
      <alignment vertical="center" shrinkToFit="1"/>
      <protection locked="0"/>
    </xf>
    <xf numFmtId="257" fontId="19" fillId="0" borderId="0" xfId="6" applyNumberFormat="1" applyFont="1" applyAlignment="1">
      <alignment horizontal="center"/>
    </xf>
    <xf numFmtId="258" fontId="19" fillId="0" borderId="0" xfId="0" applyNumberFormat="1" applyFont="1" applyAlignment="1">
      <alignment vertical="center"/>
    </xf>
    <xf numFmtId="257" fontId="19" fillId="0" borderId="2" xfId="0" applyNumberFormat="1" applyFont="1" applyBorder="1" applyAlignment="1">
      <alignment horizontal="center" vertical="center"/>
    </xf>
    <xf numFmtId="257" fontId="36" fillId="0" borderId="56" xfId="6" applyNumberFormat="1" applyFont="1" applyBorder="1" applyAlignment="1">
      <alignment horizontal="center"/>
    </xf>
    <xf numFmtId="257" fontId="36" fillId="0" borderId="28" xfId="6" applyNumberFormat="1" applyFont="1" applyBorder="1" applyAlignment="1">
      <alignment horizontal="center"/>
    </xf>
    <xf numFmtId="257" fontId="36" fillId="0" borderId="26" xfId="6" applyNumberFormat="1" applyFont="1" applyBorder="1" applyAlignment="1">
      <alignment horizontal="center"/>
    </xf>
    <xf numFmtId="257" fontId="36" fillId="0" borderId="28" xfId="6" applyNumberFormat="1" applyFont="1" applyFill="1" applyBorder="1" applyAlignment="1">
      <alignment horizontal="center"/>
    </xf>
    <xf numFmtId="257" fontId="36" fillId="0" borderId="40" xfId="6" applyNumberFormat="1" applyFont="1" applyFill="1" applyBorder="1" applyAlignment="1">
      <alignment horizontal="center"/>
    </xf>
    <xf numFmtId="257" fontId="36" fillId="0" borderId="69" xfId="6" applyNumberFormat="1" applyFont="1" applyBorder="1" applyAlignment="1">
      <alignment horizontal="center"/>
    </xf>
    <xf numFmtId="257" fontId="36" fillId="0" borderId="46" xfId="6" applyNumberFormat="1" applyFont="1" applyBorder="1" applyAlignment="1">
      <alignment horizontal="center"/>
    </xf>
    <xf numFmtId="257" fontId="36" fillId="0" borderId="67" xfId="6" applyNumberFormat="1" applyFont="1" applyBorder="1" applyAlignment="1">
      <alignment horizontal="center"/>
    </xf>
    <xf numFmtId="257" fontId="36" fillId="0" borderId="46" xfId="6" applyNumberFormat="1" applyFont="1" applyFill="1" applyBorder="1" applyAlignment="1">
      <alignment horizontal="center"/>
    </xf>
    <xf numFmtId="257" fontId="36" fillId="0" borderId="70" xfId="6" applyNumberFormat="1" applyFont="1" applyFill="1" applyBorder="1" applyAlignment="1">
      <alignment horizontal="center"/>
    </xf>
    <xf numFmtId="257" fontId="36" fillId="0" borderId="10" xfId="6" applyNumberFormat="1" applyFont="1" applyBorder="1" applyAlignment="1">
      <alignment horizontal="center"/>
    </xf>
    <xf numFmtId="3" fontId="19" fillId="0" borderId="7" xfId="0" applyNumberFormat="1" applyFont="1" applyBorder="1" applyAlignment="1" applyProtection="1">
      <alignment horizontal="left" vertical="center" indent="2"/>
    </xf>
    <xf numFmtId="3" fontId="19" fillId="0" borderId="69" xfId="0" applyNumberFormat="1" applyFont="1" applyBorder="1" applyProtection="1"/>
    <xf numFmtId="164" fontId="19" fillId="2" borderId="12" xfId="4" applyFont="1" applyFill="1" applyBorder="1" applyAlignment="1" applyProtection="1">
      <alignment vertical="center"/>
      <protection locked="0"/>
    </xf>
    <xf numFmtId="164" fontId="19" fillId="2" borderId="13" xfId="4" applyFont="1" applyFill="1" applyBorder="1" applyAlignment="1" applyProtection="1">
      <alignment vertical="center"/>
      <protection locked="0"/>
    </xf>
    <xf numFmtId="164" fontId="19" fillId="2" borderId="43" xfId="4" applyFont="1" applyFill="1" applyBorder="1" applyAlignment="1" applyProtection="1">
      <alignment vertical="center"/>
      <protection locked="0"/>
    </xf>
    <xf numFmtId="236" fontId="19" fillId="0" borderId="18" xfId="4" applyNumberFormat="1" applyFont="1" applyFill="1" applyBorder="1" applyAlignment="1" applyProtection="1">
      <alignment vertical="center"/>
      <protection locked="0"/>
    </xf>
    <xf numFmtId="3" fontId="19" fillId="0" borderId="19" xfId="0" applyNumberFormat="1" applyFont="1" applyBorder="1" applyAlignment="1" applyProtection="1">
      <alignment horizontal="left" vertical="center" indent="1"/>
    </xf>
    <xf numFmtId="3" fontId="19" fillId="0" borderId="19" xfId="0" applyNumberFormat="1" applyFont="1" applyBorder="1" applyAlignment="1" applyProtection="1">
      <alignment horizontal="center"/>
      <protection locked="0"/>
    </xf>
    <xf numFmtId="3" fontId="19" fillId="0" borderId="12" xfId="0" applyNumberFormat="1" applyFont="1" applyBorder="1" applyAlignment="1" applyProtection="1">
      <alignment horizontal="left" vertical="center" indent="2"/>
    </xf>
    <xf numFmtId="3" fontId="15" fillId="0" borderId="9" xfId="0" applyNumberFormat="1" applyFont="1" applyBorder="1" applyAlignment="1" applyProtection="1">
      <alignment horizontal="centerContinuous" vertical="center" wrapText="1"/>
    </xf>
    <xf numFmtId="4" fontId="21" fillId="2" borderId="38" xfId="6" applyNumberFormat="1" applyFont="1" applyFill="1" applyBorder="1" applyAlignment="1" applyProtection="1">
      <alignment horizontal="center"/>
    </xf>
    <xf numFmtId="0" fontId="15" fillId="0" borderId="26" xfId="0" applyFont="1" applyBorder="1" applyAlignment="1">
      <alignment vertical="center"/>
    </xf>
    <xf numFmtId="0" fontId="15" fillId="0" borderId="40" xfId="0" applyFont="1" applyBorder="1" applyAlignment="1">
      <alignment vertical="center"/>
    </xf>
    <xf numFmtId="0" fontId="15" fillId="0" borderId="13" xfId="0" applyFont="1" applyBorder="1" applyAlignment="1">
      <alignment vertical="center"/>
    </xf>
    <xf numFmtId="0" fontId="15" fillId="0" borderId="43" xfId="0" applyFont="1" applyBorder="1" applyAlignment="1">
      <alignment vertical="center"/>
    </xf>
    <xf numFmtId="0" fontId="15" fillId="0" borderId="64" xfId="0" applyFont="1" applyBorder="1" applyAlignment="1">
      <alignment vertical="center"/>
    </xf>
    <xf numFmtId="0" fontId="15" fillId="0" borderId="90" xfId="0" applyFont="1" applyBorder="1" applyAlignment="1">
      <alignment vertical="center"/>
    </xf>
    <xf numFmtId="0" fontId="29" fillId="0" borderId="0" xfId="0" applyFont="1" applyAlignment="1" applyProtection="1">
      <alignment horizontal="left" vertical="center"/>
    </xf>
    <xf numFmtId="233" fontId="19" fillId="0" borderId="62" xfId="0" applyNumberFormat="1" applyFont="1" applyBorder="1" applyAlignment="1" applyProtection="1">
      <alignment vertical="center"/>
    </xf>
    <xf numFmtId="0" fontId="34" fillId="0" borderId="0" xfId="0" applyFont="1" applyAlignment="1" applyProtection="1">
      <alignment vertical="center"/>
    </xf>
    <xf numFmtId="259" fontId="19" fillId="0" borderId="13" xfId="0" applyNumberFormat="1" applyFont="1" applyBorder="1" applyAlignment="1" applyProtection="1">
      <alignment horizontal="right" vertical="center"/>
    </xf>
    <xf numFmtId="259" fontId="19" fillId="0" borderId="12" xfId="0" applyNumberFormat="1" applyFont="1" applyBorder="1" applyAlignment="1" applyProtection="1">
      <alignment horizontal="right" vertical="center"/>
    </xf>
    <xf numFmtId="259" fontId="15" fillId="0" borderId="62" xfId="0" applyNumberFormat="1" applyFont="1" applyBorder="1" applyAlignment="1" applyProtection="1">
      <alignment horizontal="right" vertical="center"/>
    </xf>
    <xf numFmtId="259" fontId="15" fillId="0" borderId="19" xfId="0" applyNumberFormat="1" applyFont="1" applyBorder="1" applyAlignment="1" applyProtection="1">
      <alignment horizontal="right" vertical="center"/>
    </xf>
    <xf numFmtId="3" fontId="25" fillId="0" borderId="6" xfId="0" applyNumberFormat="1" applyFont="1" applyBorder="1" applyAlignment="1" applyProtection="1">
      <alignment horizontal="centerContinuous" vertical="center"/>
    </xf>
    <xf numFmtId="260" fontId="15" fillId="0" borderId="11" xfId="0" applyNumberFormat="1" applyFont="1" applyBorder="1" applyAlignment="1" applyProtection="1">
      <alignment horizontal="center" vertical="center" shrinkToFit="1"/>
    </xf>
    <xf numFmtId="260" fontId="15" fillId="0" borderId="6" xfId="0" applyNumberFormat="1" applyFont="1" applyBorder="1" applyAlignment="1" applyProtection="1">
      <alignment horizontal="center" vertical="center" shrinkToFit="1"/>
    </xf>
    <xf numFmtId="260" fontId="15" fillId="0" borderId="1" xfId="0" applyNumberFormat="1" applyFont="1" applyBorder="1" applyAlignment="1" applyProtection="1">
      <alignment horizontal="center" vertical="center" shrinkToFit="1"/>
    </xf>
    <xf numFmtId="240" fontId="15" fillId="0" borderId="11" xfId="0" applyNumberFormat="1" applyFont="1" applyBorder="1" applyAlignment="1" applyProtection="1">
      <alignment horizontal="center" vertical="center" shrinkToFit="1"/>
    </xf>
    <xf numFmtId="240" fontId="15" fillId="0" borderId="6" xfId="0" applyNumberFormat="1" applyFont="1" applyBorder="1" applyAlignment="1" applyProtection="1">
      <alignment horizontal="center" vertical="center" shrinkToFit="1"/>
    </xf>
    <xf numFmtId="240" fontId="15" fillId="0" borderId="1" xfId="0" applyNumberFormat="1" applyFont="1" applyBorder="1" applyAlignment="1" applyProtection="1">
      <alignment horizontal="center" vertical="center" shrinkToFit="1"/>
    </xf>
    <xf numFmtId="0" fontId="28" fillId="0" borderId="0" xfId="0" applyFont="1" applyAlignment="1" applyProtection="1">
      <alignment horizontal="right"/>
    </xf>
    <xf numFmtId="3" fontId="21" fillId="0" borderId="69" xfId="0" applyNumberFormat="1" applyFont="1" applyBorder="1" applyAlignment="1" applyProtection="1">
      <alignment horizontal="left" indent="1"/>
    </xf>
    <xf numFmtId="227" fontId="21" fillId="0" borderId="52" xfId="0" applyNumberFormat="1" applyFont="1" applyBorder="1" applyProtection="1">
      <protection locked="0"/>
    </xf>
    <xf numFmtId="227" fontId="21" fillId="0" borderId="46" xfId="0" applyNumberFormat="1" applyFont="1" applyBorder="1" applyProtection="1">
      <protection locked="0"/>
    </xf>
    <xf numFmtId="227" fontId="21" fillId="0" borderId="53" xfId="0" applyNumberFormat="1" applyFont="1" applyBorder="1" applyProtection="1">
      <protection locked="0"/>
    </xf>
    <xf numFmtId="3" fontId="21" fillId="0" borderId="8" xfId="0" applyNumberFormat="1" applyFont="1" applyBorder="1" applyAlignment="1">
      <alignment horizontal="left" indent="1"/>
    </xf>
    <xf numFmtId="3" fontId="21" fillId="0" borderId="19" xfId="0" applyNumberFormat="1" applyFont="1" applyBorder="1" applyAlignment="1">
      <alignment horizontal="left" indent="1"/>
    </xf>
    <xf numFmtId="3" fontId="36" fillId="0" borderId="0" xfId="0" applyNumberFormat="1" applyFont="1" applyAlignment="1" applyProtection="1">
      <alignment vertical="center"/>
    </xf>
    <xf numFmtId="3" fontId="36" fillId="0" borderId="31" xfId="0" applyNumberFormat="1" applyFont="1" applyBorder="1" applyAlignment="1" applyProtection="1">
      <alignment vertical="center"/>
    </xf>
    <xf numFmtId="3" fontId="36" fillId="0" borderId="58" xfId="0" applyNumberFormat="1" applyFont="1" applyBorder="1" applyAlignment="1" applyProtection="1">
      <alignment vertical="center"/>
    </xf>
    <xf numFmtId="3" fontId="36" fillId="0" borderId="59" xfId="0" applyNumberFormat="1" applyFont="1" applyBorder="1" applyAlignment="1" applyProtection="1">
      <alignment vertical="center"/>
    </xf>
    <xf numFmtId="3" fontId="20" fillId="0" borderId="14" xfId="0" applyNumberFormat="1" applyFont="1" applyBorder="1" applyAlignment="1" applyProtection="1">
      <alignment vertical="center"/>
    </xf>
    <xf numFmtId="261" fontId="19" fillId="0" borderId="0" xfId="0" applyNumberFormat="1" applyFont="1" applyAlignment="1">
      <alignment horizontal="center"/>
    </xf>
    <xf numFmtId="262" fontId="36" fillId="0" borderId="35" xfId="6" applyNumberFormat="1" applyFont="1" applyFill="1" applyBorder="1" applyAlignment="1">
      <alignment vertical="center"/>
    </xf>
    <xf numFmtId="0" fontId="43" fillId="0" borderId="0" xfId="0" applyFont="1" applyAlignment="1" applyProtection="1">
      <alignment vertical="center"/>
    </xf>
    <xf numFmtId="181" fontId="36" fillId="0" borderId="15" xfId="6" applyNumberFormat="1" applyFont="1" applyFill="1" applyBorder="1" applyAlignment="1" applyProtection="1">
      <alignment horizontal="center" vertical="center"/>
    </xf>
    <xf numFmtId="181" fontId="36" fillId="2" borderId="15" xfId="6" applyNumberFormat="1" applyFont="1" applyFill="1" applyBorder="1" applyAlignment="1" applyProtection="1">
      <alignment horizontal="center" vertical="center"/>
      <protection locked="0"/>
    </xf>
    <xf numFmtId="9" fontId="20" fillId="0" borderId="15" xfId="6" applyFont="1" applyBorder="1" applyAlignment="1" applyProtection="1">
      <alignment horizontal="center" vertical="center"/>
    </xf>
    <xf numFmtId="181" fontId="36" fillId="0" borderId="17" xfId="6" applyNumberFormat="1" applyFont="1" applyFill="1" applyBorder="1" applyAlignment="1" applyProtection="1">
      <alignment horizontal="center" vertical="center"/>
    </xf>
    <xf numFmtId="181" fontId="36" fillId="2" borderId="17" xfId="6" applyNumberFormat="1" applyFont="1" applyFill="1" applyBorder="1" applyAlignment="1" applyProtection="1">
      <alignment horizontal="center" vertical="center"/>
      <protection locked="0"/>
    </xf>
    <xf numFmtId="9" fontId="20" fillId="0" borderId="17" xfId="6" applyFont="1" applyBorder="1" applyAlignment="1" applyProtection="1">
      <alignment horizontal="center" vertical="center"/>
    </xf>
    <xf numFmtId="0" fontId="15" fillId="0" borderId="56" xfId="0" applyFont="1" applyBorder="1" applyAlignment="1">
      <alignment horizontal="centerContinuous" vertical="center" wrapText="1"/>
    </xf>
    <xf numFmtId="3" fontId="43" fillId="0" borderId="10" xfId="0" applyNumberFormat="1" applyFont="1" applyBorder="1" applyAlignment="1" applyProtection="1">
      <alignment horizontal="left" vertical="center" indent="1"/>
    </xf>
    <xf numFmtId="183" fontId="19" fillId="0" borderId="68" xfId="4" applyNumberFormat="1" applyFont="1" applyFill="1" applyBorder="1"/>
    <xf numFmtId="168" fontId="20" fillId="0" borderId="23" xfId="0" quotePrefix="1" applyNumberFormat="1" applyFont="1" applyBorder="1" applyAlignment="1" applyProtection="1">
      <alignment vertical="center"/>
    </xf>
    <xf numFmtId="230" fontId="41" fillId="4" borderId="12" xfId="0" applyNumberFormat="1" applyFont="1" applyFill="1" applyBorder="1" applyProtection="1"/>
    <xf numFmtId="230" fontId="41" fillId="6" borderId="12" xfId="0" applyNumberFormat="1" applyFont="1" applyFill="1" applyBorder="1" applyProtection="1"/>
    <xf numFmtId="230" fontId="32" fillId="6" borderId="17" xfId="0" applyNumberFormat="1" applyFont="1" applyFill="1" applyBorder="1" applyProtection="1"/>
    <xf numFmtId="230" fontId="41" fillId="7" borderId="12" xfId="0" applyNumberFormat="1" applyFont="1" applyFill="1" applyBorder="1" applyProtection="1"/>
    <xf numFmtId="230" fontId="32" fillId="8" borderId="17" xfId="0" applyNumberFormat="1" applyFont="1" applyFill="1" applyBorder="1" applyProtection="1"/>
    <xf numFmtId="230" fontId="41" fillId="5" borderId="12" xfId="0" applyNumberFormat="1" applyFont="1" applyFill="1" applyBorder="1" applyProtection="1"/>
    <xf numFmtId="230" fontId="41" fillId="9" borderId="12" xfId="0" applyNumberFormat="1" applyFont="1" applyFill="1" applyBorder="1" applyProtection="1"/>
    <xf numFmtId="3" fontId="64" fillId="0" borderId="0" xfId="0" applyNumberFormat="1" applyFont="1" applyProtection="1"/>
    <xf numFmtId="3" fontId="19" fillId="0" borderId="12" xfId="0" applyNumberFormat="1" applyFont="1" applyBorder="1" applyAlignment="1">
      <alignment horizontal="left" indent="1"/>
    </xf>
    <xf numFmtId="0" fontId="19" fillId="0" borderId="8" xfId="0" applyFont="1" applyBorder="1" applyAlignment="1">
      <alignment horizontal="left" vertical="center" indent="4"/>
    </xf>
    <xf numFmtId="0" fontId="19" fillId="0" borderId="69" xfId="0" applyFont="1" applyBorder="1" applyAlignment="1">
      <alignment horizontal="left" vertical="center" indent="4"/>
    </xf>
    <xf numFmtId="207" fontId="36" fillId="0" borderId="38" xfId="0" applyNumberFormat="1" applyFont="1" applyBorder="1" applyAlignment="1">
      <alignment vertical="center"/>
    </xf>
    <xf numFmtId="207" fontId="36" fillId="0" borderId="11" xfId="0" applyNumberFormat="1" applyFont="1" applyBorder="1" applyAlignment="1">
      <alignment vertical="center"/>
    </xf>
    <xf numFmtId="207" fontId="36" fillId="0" borderId="6" xfId="0" applyNumberFormat="1" applyFont="1" applyBorder="1" applyAlignment="1">
      <alignment vertical="center"/>
    </xf>
    <xf numFmtId="207" fontId="36" fillId="0" borderId="15" xfId="0" applyNumberFormat="1" applyFont="1" applyBorder="1" applyAlignment="1">
      <alignment vertical="center"/>
    </xf>
    <xf numFmtId="0" fontId="20" fillId="0" borderId="9" xfId="0" applyFont="1" applyBorder="1" applyAlignment="1">
      <alignment horizontal="left" vertical="center" indent="1"/>
    </xf>
    <xf numFmtId="9" fontId="19" fillId="0" borderId="0" xfId="6" applyFont="1" applyFill="1" applyBorder="1" applyAlignment="1" applyProtection="1">
      <alignment horizontal="center" vertical="center" shrinkToFit="1"/>
    </xf>
    <xf numFmtId="0" fontId="28" fillId="0" borderId="0" xfId="0" applyFont="1" applyAlignment="1" applyProtection="1">
      <alignment horizontal="center" vertical="center"/>
    </xf>
    <xf numFmtId="0" fontId="48" fillId="0" borderId="0" xfId="0" applyFont="1"/>
    <xf numFmtId="213" fontId="54" fillId="0" borderId="0" xfId="0" applyNumberFormat="1" applyFont="1" applyProtection="1"/>
    <xf numFmtId="200" fontId="21" fillId="0" borderId="0" xfId="0" applyNumberFormat="1" applyFont="1" applyProtection="1">
      <protection locked="0"/>
    </xf>
    <xf numFmtId="0" fontId="21" fillId="0" borderId="64" xfId="0" applyFont="1" applyBorder="1" applyAlignment="1" applyProtection="1">
      <alignment horizontal="left" indent="4"/>
    </xf>
    <xf numFmtId="200" fontId="21" fillId="0" borderId="64" xfId="0" applyNumberFormat="1" applyFont="1" applyBorder="1" applyProtection="1"/>
    <xf numFmtId="0" fontId="35" fillId="4" borderId="7" xfId="2" applyFont="1" applyFill="1" applyBorder="1" applyAlignment="1" applyProtection="1">
      <alignment horizontal="left" vertical="center" indent="2"/>
    </xf>
    <xf numFmtId="3" fontId="34" fillId="0" borderId="0" xfId="0" applyNumberFormat="1" applyFont="1" applyAlignment="1" applyProtection="1">
      <alignment horizontal="center"/>
    </xf>
    <xf numFmtId="200" fontId="21" fillId="0" borderId="12" xfId="0" applyNumberFormat="1" applyFont="1" applyBorder="1"/>
    <xf numFmtId="200" fontId="21" fillId="0" borderId="13" xfId="0" applyNumberFormat="1" applyFont="1" applyBorder="1"/>
    <xf numFmtId="200" fontId="18" fillId="0" borderId="6" xfId="0" applyNumberFormat="1" applyFont="1" applyBorder="1"/>
    <xf numFmtId="1" fontId="18" fillId="0" borderId="1" xfId="0" applyNumberFormat="1" applyFont="1" applyBorder="1" applyAlignment="1">
      <alignment horizontal="center"/>
    </xf>
    <xf numFmtId="200" fontId="21" fillId="0" borderId="38" xfId="0" applyNumberFormat="1" applyFont="1" applyBorder="1"/>
    <xf numFmtId="200" fontId="21" fillId="0" borderId="67" xfId="0" applyNumberFormat="1" applyFont="1" applyBorder="1"/>
    <xf numFmtId="200" fontId="21" fillId="0" borderId="6" xfId="0" applyNumberFormat="1" applyFont="1" applyBorder="1"/>
    <xf numFmtId="4" fontId="21" fillId="0" borderId="0" xfId="0" applyNumberFormat="1" applyFont="1" applyProtection="1"/>
    <xf numFmtId="3" fontId="18" fillId="0" borderId="0" xfId="0" applyNumberFormat="1" applyFont="1" applyAlignment="1" applyProtection="1">
      <alignment horizontal="right"/>
    </xf>
    <xf numFmtId="0" fontId="18" fillId="0" borderId="18" xfId="0" applyFont="1" applyBorder="1" applyAlignment="1" applyProtection="1">
      <alignment horizontal="center" shrinkToFit="1"/>
    </xf>
    <xf numFmtId="0" fontId="15" fillId="9" borderId="13" xfId="0" applyFont="1" applyFill="1" applyBorder="1" applyAlignment="1">
      <alignment vertical="center"/>
    </xf>
    <xf numFmtId="0" fontId="15" fillId="9" borderId="43" xfId="0" applyFont="1" applyFill="1" applyBorder="1" applyAlignment="1">
      <alignment vertical="center"/>
    </xf>
    <xf numFmtId="265" fontId="15" fillId="0" borderId="0" xfId="0" applyNumberFormat="1" applyFont="1" applyAlignment="1">
      <alignment vertical="center"/>
    </xf>
    <xf numFmtId="0" fontId="34" fillId="0" borderId="0" xfId="0" applyFont="1" applyProtection="1"/>
    <xf numFmtId="10" fontId="34" fillId="0" borderId="0" xfId="0" applyNumberFormat="1" applyFont="1" applyAlignment="1" applyProtection="1">
      <alignment horizontal="center" vertical="center"/>
    </xf>
    <xf numFmtId="266" fontId="15" fillId="0" borderId="34" xfId="0" applyNumberFormat="1" applyFont="1" applyBorder="1" applyAlignment="1" applyProtection="1">
      <alignment vertical="center"/>
    </xf>
    <xf numFmtId="256" fontId="19" fillId="0" borderId="2" xfId="0" applyNumberFormat="1" applyFont="1" applyBorder="1"/>
    <xf numFmtId="256" fontId="19" fillId="0" borderId="24" xfId="0" applyNumberFormat="1" applyFont="1" applyBorder="1"/>
    <xf numFmtId="3" fontId="12" fillId="0" borderId="56" xfId="0" applyNumberFormat="1" applyFont="1" applyBorder="1" applyAlignment="1" applyProtection="1">
      <alignment horizontal="centerContinuous" vertical="center"/>
    </xf>
    <xf numFmtId="3" fontId="19" fillId="0" borderId="49" xfId="0" applyNumberFormat="1" applyFont="1" applyBorder="1" applyAlignment="1" applyProtection="1">
      <alignment horizontal="left" vertical="center" indent="4"/>
    </xf>
    <xf numFmtId="3" fontId="19" fillId="0" borderId="7" xfId="0" applyNumberFormat="1" applyFont="1" applyBorder="1" applyAlignment="1" applyProtection="1">
      <alignment horizontal="left" vertical="center" indent="4"/>
    </xf>
    <xf numFmtId="3" fontId="19" fillId="0" borderId="16" xfId="0" applyNumberFormat="1" applyFont="1" applyBorder="1" applyAlignment="1" applyProtection="1">
      <alignment horizontal="left" vertical="center" indent="4"/>
    </xf>
    <xf numFmtId="3" fontId="19" fillId="0" borderId="42" xfId="0" applyNumberFormat="1" applyFont="1" applyBorder="1" applyAlignment="1" applyProtection="1">
      <alignment horizontal="left" vertical="center" indent="4"/>
    </xf>
    <xf numFmtId="3" fontId="19" fillId="0" borderId="43" xfId="0" applyNumberFormat="1" applyFont="1" applyBorder="1" applyAlignment="1" applyProtection="1">
      <alignment horizontal="left" vertical="center" indent="4"/>
    </xf>
    <xf numFmtId="3" fontId="19" fillId="0" borderId="44" xfId="0" applyNumberFormat="1" applyFont="1" applyBorder="1" applyAlignment="1" applyProtection="1">
      <alignment horizontal="left" vertical="center" indent="4"/>
    </xf>
    <xf numFmtId="3" fontId="21" fillId="0" borderId="8" xfId="0" applyNumberFormat="1" applyFont="1" applyBorder="1" applyAlignment="1" applyProtection="1">
      <alignment horizontal="left" indent="1"/>
    </xf>
    <xf numFmtId="166" fontId="21" fillId="2" borderId="15" xfId="6" applyNumberFormat="1" applyFont="1" applyFill="1" applyBorder="1" applyAlignment="1" applyProtection="1">
      <alignment horizontal="center"/>
      <protection locked="0"/>
    </xf>
    <xf numFmtId="227" fontId="21" fillId="0" borderId="54" xfId="0" applyNumberFormat="1" applyFont="1" applyBorder="1" applyProtection="1">
      <protection locked="0"/>
    </xf>
    <xf numFmtId="227" fontId="21" fillId="0" borderId="3" xfId="0" applyNumberFormat="1" applyFont="1" applyBorder="1" applyProtection="1">
      <protection locked="0"/>
    </xf>
    <xf numFmtId="227" fontId="21" fillId="0" borderId="55" xfId="0" applyNumberFormat="1" applyFont="1" applyBorder="1" applyProtection="1">
      <protection locked="0"/>
    </xf>
    <xf numFmtId="206" fontId="21" fillId="0" borderId="15" xfId="0" applyNumberFormat="1" applyFont="1" applyBorder="1"/>
    <xf numFmtId="206" fontId="37" fillId="2" borderId="30" xfId="0" applyNumberFormat="1" applyFont="1" applyFill="1" applyBorder="1" applyProtection="1">
      <protection locked="0"/>
    </xf>
    <xf numFmtId="206" fontId="37" fillId="0" borderId="27" xfId="0" applyNumberFormat="1" applyFont="1" applyBorder="1" applyProtection="1">
      <protection locked="0"/>
    </xf>
    <xf numFmtId="206" fontId="37" fillId="0" borderId="28" xfId="0" applyNumberFormat="1" applyFont="1" applyBorder="1" applyProtection="1">
      <protection locked="0"/>
    </xf>
    <xf numFmtId="206" fontId="37" fillId="0" borderId="29" xfId="0" applyNumberFormat="1" applyFont="1" applyBorder="1" applyProtection="1">
      <protection locked="0"/>
    </xf>
    <xf numFmtId="206" fontId="37" fillId="2" borderId="17" xfId="0" applyNumberFormat="1" applyFont="1" applyFill="1" applyBorder="1" applyProtection="1">
      <protection locked="0"/>
    </xf>
    <xf numFmtId="206" fontId="37" fillId="0" borderId="86" xfId="0" applyNumberFormat="1" applyFont="1" applyBorder="1" applyProtection="1">
      <protection locked="0"/>
    </xf>
    <xf numFmtId="206" fontId="37" fillId="0" borderId="84" xfId="0" applyNumberFormat="1" applyFont="1" applyBorder="1" applyProtection="1">
      <protection locked="0"/>
    </xf>
    <xf numFmtId="206" fontId="37" fillId="0" borderId="87" xfId="0" applyNumberFormat="1" applyFont="1" applyBorder="1" applyProtection="1">
      <protection locked="0"/>
    </xf>
    <xf numFmtId="3" fontId="21" fillId="0" borderId="11" xfId="0" applyNumberFormat="1" applyFont="1" applyBorder="1" applyProtection="1">
      <protection locked="0"/>
    </xf>
    <xf numFmtId="206" fontId="21" fillId="0" borderId="51" xfId="0" applyNumberFormat="1" applyFont="1" applyBorder="1" applyProtection="1">
      <protection locked="0"/>
    </xf>
    <xf numFmtId="206" fontId="21" fillId="0" borderId="2" xfId="0" applyNumberFormat="1" applyFont="1" applyBorder="1" applyProtection="1">
      <protection locked="0"/>
    </xf>
    <xf numFmtId="206" fontId="21" fillId="0" borderId="50" xfId="0" applyNumberFormat="1" applyFont="1" applyBorder="1" applyProtection="1">
      <protection locked="0"/>
    </xf>
    <xf numFmtId="206" fontId="21" fillId="2" borderId="12" xfId="6" applyNumberFormat="1" applyFont="1" applyFill="1" applyBorder="1" applyAlignment="1" applyProtection="1">
      <protection locked="0"/>
    </xf>
    <xf numFmtId="206" fontId="37" fillId="0" borderId="30" xfId="0" applyNumberFormat="1" applyFont="1" applyBorder="1" applyProtection="1">
      <protection locked="0"/>
    </xf>
    <xf numFmtId="206" fontId="37" fillId="0" borderId="17" xfId="0" applyNumberFormat="1" applyFont="1" applyBorder="1" applyProtection="1">
      <protection locked="0"/>
    </xf>
    <xf numFmtId="206" fontId="37" fillId="0" borderId="18" xfId="0" applyNumberFormat="1" applyFont="1" applyBorder="1" applyProtection="1">
      <protection locked="0"/>
    </xf>
    <xf numFmtId="3" fontId="18" fillId="0" borderId="30" xfId="0" applyNumberFormat="1" applyFont="1" applyBorder="1" applyAlignment="1" applyProtection="1">
      <alignment horizontal="center"/>
      <protection locked="0"/>
    </xf>
    <xf numFmtId="250" fontId="19" fillId="0" borderId="85" xfId="0" applyNumberFormat="1" applyFont="1" applyBorder="1"/>
    <xf numFmtId="0" fontId="18" fillId="0" borderId="61" xfId="0" applyFont="1" applyBorder="1" applyAlignment="1">
      <alignment horizontal="right" vertical="center" indent="1"/>
    </xf>
    <xf numFmtId="0" fontId="43" fillId="0" borderId="0" xfId="0" applyFont="1" applyAlignment="1">
      <alignment horizontal="left" indent="1"/>
    </xf>
    <xf numFmtId="0" fontId="18" fillId="0" borderId="9" xfId="0" applyFont="1" applyBorder="1" applyAlignment="1">
      <alignment horizontal="centerContinuous" vertical="center"/>
    </xf>
    <xf numFmtId="0" fontId="43" fillId="0" borderId="0" xfId="0" applyFont="1" applyAlignment="1">
      <alignment horizontal="left" indent="4"/>
    </xf>
    <xf numFmtId="0" fontId="48" fillId="0" borderId="0" xfId="0" applyFont="1" applyProtection="1"/>
    <xf numFmtId="168" fontId="15" fillId="7" borderId="4" xfId="0" applyNumberFormat="1" applyFont="1" applyFill="1" applyBorder="1"/>
    <xf numFmtId="1" fontId="21" fillId="0" borderId="0" xfId="5" applyNumberFormat="1" applyFont="1"/>
    <xf numFmtId="0" fontId="2" fillId="0" borderId="0" xfId="5"/>
    <xf numFmtId="1" fontId="66" fillId="0" borderId="0" xfId="5" applyNumberFormat="1" applyFont="1"/>
    <xf numFmtId="1" fontId="42" fillId="0" borderId="0" xfId="5" applyNumberFormat="1" applyFont="1" applyAlignment="1">
      <alignment horizontal="center"/>
    </xf>
    <xf numFmtId="1" fontId="67" fillId="0" borderId="0" xfId="5" applyNumberFormat="1" applyFont="1"/>
    <xf numFmtId="1" fontId="2" fillId="0" borderId="0" xfId="5" applyNumberFormat="1"/>
    <xf numFmtId="1" fontId="68" fillId="0" borderId="0" xfId="5" applyNumberFormat="1" applyFont="1"/>
    <xf numFmtId="3" fontId="33" fillId="0" borderId="0" xfId="0" applyNumberFormat="1" applyFont="1" applyAlignment="1">
      <alignment horizontal="left" indent="2"/>
    </xf>
    <xf numFmtId="3" fontId="20" fillId="0" borderId="9" xfId="0" applyNumberFormat="1" applyFont="1" applyBorder="1" applyAlignment="1">
      <alignment horizontal="left" vertical="center" indent="1"/>
    </xf>
    <xf numFmtId="1" fontId="21" fillId="0" borderId="0" xfId="5" applyNumberFormat="1" applyFont="1" applyAlignment="1">
      <alignment horizontal="left" vertical="center" indent="2"/>
    </xf>
    <xf numFmtId="267" fontId="21" fillId="0" borderId="0" xfId="6" applyNumberFormat="1" applyFont="1" applyAlignment="1">
      <alignment vertical="center"/>
    </xf>
    <xf numFmtId="1" fontId="59" fillId="0" borderId="0" xfId="5" applyNumberFormat="1" applyFont="1" applyAlignment="1">
      <alignment vertical="center"/>
    </xf>
    <xf numFmtId="1" fontId="59" fillId="0" borderId="10" xfId="5" applyNumberFormat="1" applyFont="1" applyBorder="1"/>
    <xf numFmtId="1" fontId="21" fillId="0" borderId="10" xfId="5" applyNumberFormat="1" applyFont="1" applyBorder="1" applyAlignment="1">
      <alignment horizontal="left" vertical="center" indent="2"/>
    </xf>
    <xf numFmtId="268" fontId="21" fillId="0" borderId="0" xfId="3" applyNumberFormat="1" applyFont="1" applyBorder="1" applyAlignment="1">
      <alignment vertical="center"/>
    </xf>
    <xf numFmtId="230" fontId="21" fillId="0" borderId="13" xfId="0" applyNumberFormat="1" applyFont="1" applyBorder="1" applyAlignment="1">
      <alignment vertical="center"/>
    </xf>
    <xf numFmtId="230" fontId="21" fillId="0" borderId="12" xfId="0" applyNumberFormat="1" applyFont="1" applyBorder="1" applyAlignment="1">
      <alignment vertical="center"/>
    </xf>
    <xf numFmtId="268" fontId="21" fillId="0" borderId="14" xfId="3" applyNumberFormat="1" applyFont="1" applyBorder="1" applyAlignment="1">
      <alignment vertical="center"/>
    </xf>
    <xf numFmtId="1" fontId="18" fillId="0" borderId="7" xfId="5" applyNumberFormat="1" applyFont="1" applyBorder="1" applyAlignment="1">
      <alignment horizontal="left" vertical="center" indent="2"/>
    </xf>
    <xf numFmtId="1" fontId="21" fillId="0" borderId="7" xfId="5" applyNumberFormat="1" applyFont="1" applyBorder="1" applyAlignment="1">
      <alignment horizontal="left" vertical="center" indent="2"/>
    </xf>
    <xf numFmtId="1" fontId="18" fillId="0" borderId="30" xfId="5" applyNumberFormat="1" applyFont="1" applyBorder="1" applyAlignment="1">
      <alignment horizontal="center" vertical="center" wrapText="1"/>
    </xf>
    <xf numFmtId="1" fontId="18" fillId="0" borderId="26" xfId="5" applyNumberFormat="1" applyFont="1" applyBorder="1" applyAlignment="1">
      <alignment horizontal="center" vertical="center" wrapText="1"/>
    </xf>
    <xf numFmtId="1" fontId="18" fillId="0" borderId="15" xfId="5" applyNumberFormat="1" applyFont="1" applyBorder="1" applyAlignment="1">
      <alignment horizontal="center" vertical="center"/>
    </xf>
    <xf numFmtId="1" fontId="18" fillId="0" borderId="77" xfId="5" applyNumberFormat="1" applyFont="1" applyBorder="1" applyAlignment="1">
      <alignment horizontal="center" vertical="center"/>
    </xf>
    <xf numFmtId="2" fontId="18" fillId="0" borderId="0" xfId="5" applyNumberFormat="1" applyFont="1" applyAlignment="1">
      <alignment horizontal="center" vertical="center"/>
    </xf>
    <xf numFmtId="2" fontId="42" fillId="0" borderId="0" xfId="5" applyNumberFormat="1" applyFont="1" applyAlignment="1">
      <alignment horizontal="center" vertical="center"/>
    </xf>
    <xf numFmtId="1" fontId="15" fillId="0" borderId="0" xfId="5" applyNumberFormat="1" applyFont="1" applyAlignment="1">
      <alignment horizontal="left" vertical="center" indent="7"/>
    </xf>
    <xf numFmtId="3" fontId="36" fillId="0" borderId="19" xfId="0" applyNumberFormat="1" applyFont="1" applyBorder="1" applyAlignment="1">
      <alignment horizontal="center" vertical="center"/>
    </xf>
    <xf numFmtId="245" fontId="36" fillId="0" borderId="16" xfId="0" applyNumberFormat="1" applyFont="1" applyBorder="1" applyAlignment="1">
      <alignment horizontal="right" vertical="center"/>
    </xf>
    <xf numFmtId="245" fontId="36" fillId="0" borderId="35" xfId="0" applyNumberFormat="1" applyFont="1" applyBorder="1" applyAlignment="1">
      <alignment horizontal="right" vertical="center"/>
    </xf>
    <xf numFmtId="245" fontId="36" fillId="0" borderId="62" xfId="0" applyNumberFormat="1" applyFont="1" applyBorder="1" applyAlignment="1">
      <alignment horizontal="right" vertical="center"/>
    </xf>
    <xf numFmtId="245" fontId="36" fillId="0" borderId="44" xfId="0" applyNumberFormat="1" applyFont="1" applyBorder="1" applyAlignment="1">
      <alignment horizontal="right" vertical="center"/>
    </xf>
    <xf numFmtId="0" fontId="2" fillId="0" borderId="2" xfId="5" applyBorder="1"/>
    <xf numFmtId="269" fontId="59" fillId="2" borderId="2" xfId="6" applyNumberFormat="1" applyFont="1" applyFill="1" applyBorder="1" applyAlignment="1" applyProtection="1">
      <alignment vertical="center"/>
      <protection locked="0"/>
    </xf>
    <xf numFmtId="1" fontId="18" fillId="0" borderId="37" xfId="5" applyNumberFormat="1" applyFont="1" applyBorder="1" applyAlignment="1">
      <alignment horizontal="left" vertical="center" indent="2"/>
    </xf>
    <xf numFmtId="269" fontId="42" fillId="2" borderId="36" xfId="6" applyNumberFormat="1" applyFont="1" applyFill="1" applyBorder="1" applyAlignment="1" applyProtection="1">
      <alignment vertical="center"/>
      <protection locked="0"/>
    </xf>
    <xf numFmtId="1" fontId="65" fillId="0" borderId="25" xfId="5" applyNumberFormat="1" applyFont="1" applyBorder="1" applyAlignment="1">
      <alignment horizontal="center" vertical="center"/>
    </xf>
    <xf numFmtId="1" fontId="18" fillId="0" borderId="20" xfId="5" applyNumberFormat="1" applyFont="1" applyBorder="1" applyAlignment="1">
      <alignment horizontal="left" vertical="center" indent="2"/>
    </xf>
    <xf numFmtId="0" fontId="2" fillId="0" borderId="21" xfId="5" applyBorder="1"/>
    <xf numFmtId="267" fontId="69" fillId="0" borderId="22" xfId="6" applyNumberFormat="1" applyFont="1" applyBorder="1" applyAlignment="1">
      <alignment vertical="center"/>
    </xf>
    <xf numFmtId="1" fontId="21" fillId="0" borderId="23" xfId="5" applyNumberFormat="1" applyFont="1" applyBorder="1" applyAlignment="1">
      <alignment horizontal="left" vertical="center" indent="5"/>
    </xf>
    <xf numFmtId="1" fontId="65" fillId="0" borderId="24" xfId="5" applyNumberFormat="1" applyFont="1" applyBorder="1" applyAlignment="1">
      <alignment horizontal="center" vertical="center"/>
    </xf>
    <xf numFmtId="1" fontId="21" fillId="0" borderId="34" xfId="5" applyNumberFormat="1" applyFont="1" applyBorder="1" applyAlignment="1">
      <alignment horizontal="left" vertical="center" indent="5"/>
    </xf>
    <xf numFmtId="269" fontId="59" fillId="2" borderId="35" xfId="6" applyNumberFormat="1" applyFont="1" applyFill="1" applyBorder="1" applyAlignment="1" applyProtection="1">
      <alignment vertical="center"/>
      <protection locked="0"/>
    </xf>
    <xf numFmtId="1" fontId="65" fillId="0" borderId="4" xfId="5" applyNumberFormat="1" applyFont="1" applyBorder="1" applyAlignment="1">
      <alignment horizontal="center" vertical="center"/>
    </xf>
    <xf numFmtId="1" fontId="18" fillId="0" borderId="86" xfId="5" applyNumberFormat="1" applyFont="1" applyBorder="1" applyAlignment="1">
      <alignment horizontal="right" vertical="center" indent="2"/>
    </xf>
    <xf numFmtId="269" fontId="42" fillId="0" borderId="84" xfId="6" applyNumberFormat="1" applyFont="1" applyFill="1" applyBorder="1" applyAlignment="1" applyProtection="1">
      <alignment vertical="center"/>
    </xf>
    <xf numFmtId="267" fontId="69" fillId="0" borderId="87" xfId="6" applyNumberFormat="1" applyFont="1" applyBorder="1" applyAlignment="1">
      <alignment vertical="center"/>
    </xf>
    <xf numFmtId="1" fontId="18" fillId="0" borderId="9" xfId="5" applyNumberFormat="1" applyFont="1" applyBorder="1" applyAlignment="1">
      <alignment horizontal="left" vertical="center" indent="2"/>
    </xf>
    <xf numFmtId="0" fontId="2" fillId="0" borderId="1" xfId="5" applyBorder="1" applyAlignment="1">
      <alignment vertical="center"/>
    </xf>
    <xf numFmtId="269" fontId="18" fillId="0" borderId="11" xfId="6" applyNumberFormat="1" applyFont="1" applyFill="1" applyBorder="1" applyAlignment="1" applyProtection="1">
      <alignment vertical="center"/>
    </xf>
    <xf numFmtId="10" fontId="18" fillId="0" borderId="11" xfId="6" applyNumberFormat="1" applyFont="1" applyFill="1" applyBorder="1" applyAlignment="1">
      <alignment horizontal="center" vertical="center"/>
    </xf>
    <xf numFmtId="269" fontId="59" fillId="0" borderId="4" xfId="6" applyNumberFormat="1" applyFont="1" applyFill="1" applyBorder="1" applyAlignment="1" applyProtection="1">
      <alignment vertical="center"/>
    </xf>
    <xf numFmtId="1" fontId="37" fillId="0" borderId="22" xfId="5" applyNumberFormat="1" applyFont="1" applyBorder="1" applyAlignment="1">
      <alignment horizontal="center" vertical="center"/>
    </xf>
    <xf numFmtId="267" fontId="21" fillId="0" borderId="1" xfId="6" applyNumberFormat="1" applyFont="1" applyBorder="1" applyAlignment="1">
      <alignment vertical="center"/>
    </xf>
    <xf numFmtId="0" fontId="2" fillId="0" borderId="26" xfId="5" applyBorder="1"/>
    <xf numFmtId="0" fontId="2" fillId="0" borderId="64" xfId="5" applyBorder="1"/>
    <xf numFmtId="269" fontId="59" fillId="0" borderId="0" xfId="6" applyNumberFormat="1" applyFont="1" applyFill="1" applyBorder="1" applyAlignment="1">
      <alignment vertical="center"/>
    </xf>
    <xf numFmtId="267" fontId="69" fillId="0" borderId="68" xfId="6" applyNumberFormat="1" applyFont="1" applyBorder="1" applyAlignment="1">
      <alignment vertical="center"/>
    </xf>
    <xf numFmtId="1" fontId="15" fillId="0" borderId="56" xfId="5" applyNumberFormat="1" applyFont="1" applyBorder="1" applyAlignment="1">
      <alignment horizontal="centerContinuous" vertical="center"/>
    </xf>
    <xf numFmtId="1" fontId="21" fillId="0" borderId="26" xfId="5" applyNumberFormat="1" applyFont="1" applyBorder="1" applyAlignment="1">
      <alignment horizontal="centerContinuous"/>
    </xf>
    <xf numFmtId="1" fontId="21" fillId="0" borderId="40" xfId="5" applyNumberFormat="1" applyFont="1" applyBorder="1" applyAlignment="1">
      <alignment horizontal="centerContinuous"/>
    </xf>
    <xf numFmtId="1" fontId="21" fillId="0" borderId="9" xfId="5" applyNumberFormat="1" applyFont="1" applyBorder="1" applyAlignment="1">
      <alignment horizontal="left" vertical="center" indent="2"/>
    </xf>
    <xf numFmtId="230" fontId="18" fillId="0" borderId="6" xfId="0" applyNumberFormat="1" applyFont="1" applyBorder="1" applyAlignment="1">
      <alignment vertical="center"/>
    </xf>
    <xf numFmtId="1" fontId="21" fillId="0" borderId="6" xfId="5" applyNumberFormat="1" applyFont="1" applyBorder="1"/>
    <xf numFmtId="1" fontId="18" fillId="0" borderId="40" xfId="5" applyNumberFormat="1" applyFont="1" applyBorder="1" applyAlignment="1">
      <alignment horizontal="center" vertical="center" wrapText="1"/>
    </xf>
    <xf numFmtId="1" fontId="18" fillId="0" borderId="85" xfId="5" applyNumberFormat="1" applyFont="1" applyBorder="1" applyAlignment="1">
      <alignment horizontal="center" vertical="center"/>
    </xf>
    <xf numFmtId="230" fontId="21" fillId="0" borderId="43" xfId="0" applyNumberFormat="1" applyFont="1" applyBorder="1" applyAlignment="1">
      <alignment vertical="center"/>
    </xf>
    <xf numFmtId="268" fontId="21" fillId="0" borderId="68" xfId="3" applyNumberFormat="1" applyFont="1" applyBorder="1" applyAlignment="1">
      <alignment vertical="center"/>
    </xf>
    <xf numFmtId="230" fontId="18" fillId="0" borderId="1" xfId="0" applyNumberFormat="1" applyFont="1" applyBorder="1" applyAlignment="1">
      <alignment vertical="center"/>
    </xf>
    <xf numFmtId="1" fontId="21" fillId="0" borderId="1" xfId="5" applyNumberFormat="1" applyFont="1" applyBorder="1"/>
    <xf numFmtId="230" fontId="18" fillId="0" borderId="11" xfId="0" applyNumberFormat="1" applyFont="1" applyBorder="1" applyAlignment="1">
      <alignment vertical="center"/>
    </xf>
    <xf numFmtId="1" fontId="21" fillId="0" borderId="11" xfId="5" applyNumberFormat="1" applyFont="1" applyBorder="1"/>
    <xf numFmtId="1" fontId="15" fillId="0" borderId="9" xfId="5" applyNumberFormat="1" applyFont="1" applyBorder="1" applyAlignment="1">
      <alignment horizontal="left" vertical="center" indent="6"/>
    </xf>
    <xf numFmtId="1" fontId="44" fillId="0" borderId="56" xfId="5" applyNumberFormat="1" applyFont="1" applyBorder="1" applyAlignment="1">
      <alignment horizontal="center" vertical="center"/>
    </xf>
    <xf numFmtId="1" fontId="15" fillId="0" borderId="9" xfId="5" applyNumberFormat="1" applyFont="1" applyBorder="1" applyAlignment="1">
      <alignment horizontal="centerContinuous" vertical="center"/>
    </xf>
    <xf numFmtId="230" fontId="21" fillId="0" borderId="24" xfId="0" applyNumberFormat="1" applyFont="1" applyBorder="1" applyAlignment="1">
      <alignment vertical="center"/>
    </xf>
    <xf numFmtId="230" fontId="18" fillId="0" borderId="4" xfId="0" applyNumberFormat="1" applyFont="1" applyBorder="1" applyAlignment="1">
      <alignment vertical="center"/>
    </xf>
    <xf numFmtId="1" fontId="15" fillId="0" borderId="20" xfId="5" applyNumberFormat="1" applyFont="1" applyBorder="1" applyAlignment="1">
      <alignment horizontal="centerContinuous" vertical="center"/>
    </xf>
    <xf numFmtId="1" fontId="2" fillId="0" borderId="22" xfId="5" applyNumberFormat="1" applyBorder="1" applyAlignment="1">
      <alignment horizontal="centerContinuous" vertical="center"/>
    </xf>
    <xf numFmtId="0" fontId="2" fillId="0" borderId="26" xfId="5" applyBorder="1" applyAlignment="1">
      <alignment horizontal="centerContinuous" vertical="center"/>
    </xf>
    <xf numFmtId="1" fontId="65" fillId="0" borderId="20" xfId="5" applyNumberFormat="1" applyFont="1" applyBorder="1" applyAlignment="1">
      <alignment horizontal="left" vertical="center" indent="2"/>
    </xf>
    <xf numFmtId="1" fontId="21" fillId="0" borderId="23" xfId="5" applyNumberFormat="1" applyFont="1" applyBorder="1" applyAlignment="1">
      <alignment horizontal="left" vertical="center" indent="1"/>
    </xf>
    <xf numFmtId="0" fontId="2" fillId="0" borderId="1" xfId="5" applyBorder="1" applyAlignment="1">
      <alignment horizontal="centerContinuous" vertical="center"/>
    </xf>
    <xf numFmtId="4" fontId="18" fillId="0" borderId="11" xfId="0" applyNumberFormat="1" applyFont="1" applyBorder="1" applyAlignment="1">
      <alignment horizontal="center" vertical="center"/>
    </xf>
    <xf numFmtId="1" fontId="21" fillId="0" borderId="37" xfId="5" applyNumberFormat="1" applyFont="1" applyBorder="1" applyAlignment="1">
      <alignment horizontal="center" vertical="center"/>
    </xf>
    <xf numFmtId="270" fontId="59" fillId="2" borderId="36" xfId="6" applyNumberFormat="1" applyFont="1" applyFill="1" applyBorder="1" applyAlignment="1" applyProtection="1">
      <alignment vertical="center"/>
      <protection locked="0"/>
    </xf>
    <xf numFmtId="1" fontId="71" fillId="0" borderId="25" xfId="5" quotePrefix="1" applyNumberFormat="1" applyFont="1" applyBorder="1" applyAlignment="1">
      <alignment horizontal="center" vertical="center"/>
    </xf>
    <xf numFmtId="271" fontId="59" fillId="0" borderId="24" xfId="6" applyNumberFormat="1" applyFont="1" applyFill="1" applyBorder="1" applyAlignment="1" applyProtection="1">
      <alignment vertical="center"/>
    </xf>
    <xf numFmtId="1" fontId="15" fillId="0" borderId="34" xfId="5" applyNumberFormat="1" applyFont="1" applyBorder="1" applyAlignment="1">
      <alignment horizontal="centerContinuous" vertical="center"/>
    </xf>
    <xf numFmtId="0" fontId="72" fillId="0" borderId="64" xfId="5" applyFont="1" applyBorder="1" applyAlignment="1">
      <alignment horizontal="centerContinuous" vertical="center"/>
    </xf>
    <xf numFmtId="270" fontId="59" fillId="0" borderId="36" xfId="6" applyNumberFormat="1" applyFont="1" applyFill="1" applyBorder="1" applyAlignment="1" applyProtection="1">
      <alignment vertical="center"/>
    </xf>
    <xf numFmtId="267" fontId="15" fillId="0" borderId="1" xfId="6" applyNumberFormat="1" applyFont="1" applyBorder="1" applyAlignment="1">
      <alignment horizontal="center" vertical="center"/>
    </xf>
    <xf numFmtId="0" fontId="73" fillId="0" borderId="1" xfId="5" applyFont="1" applyBorder="1" applyAlignment="1">
      <alignment horizontal="centerContinuous" vertical="center"/>
    </xf>
    <xf numFmtId="1" fontId="19" fillId="0" borderId="1" xfId="5" applyNumberFormat="1" applyFont="1" applyBorder="1" applyAlignment="1">
      <alignment horizontal="left" vertical="center" indent="1"/>
    </xf>
    <xf numFmtId="1" fontId="74" fillId="0" borderId="0" xfId="5" applyNumberFormat="1" applyFont="1" applyAlignment="1">
      <alignment horizontal="center"/>
    </xf>
    <xf numFmtId="0" fontId="74" fillId="0" borderId="0" xfId="5" applyFont="1"/>
    <xf numFmtId="272" fontId="74" fillId="0" borderId="0" xfId="5" applyNumberFormat="1" applyFont="1"/>
    <xf numFmtId="1" fontId="75" fillId="3" borderId="36" xfId="5" applyNumberFormat="1" applyFont="1" applyFill="1" applyBorder="1" applyAlignment="1" applyProtection="1">
      <alignment horizontal="center" vertical="center"/>
      <protection locked="0"/>
    </xf>
    <xf numFmtId="10" fontId="36" fillId="0" borderId="2" xfId="6" applyNumberFormat="1" applyFont="1" applyFill="1" applyBorder="1" applyAlignment="1">
      <alignment horizontal="center" vertical="center"/>
    </xf>
    <xf numFmtId="0" fontId="36" fillId="0" borderId="5" xfId="0" applyFont="1" applyBorder="1" applyAlignment="1">
      <alignment horizontal="left" vertical="center" indent="1"/>
    </xf>
    <xf numFmtId="1" fontId="36" fillId="0" borderId="48" xfId="0" applyNumberFormat="1" applyFont="1" applyBorder="1" applyAlignment="1">
      <alignment horizontal="right" vertical="center" indent="2"/>
    </xf>
    <xf numFmtId="1" fontId="36" fillId="0" borderId="5" xfId="0" applyNumberFormat="1" applyFont="1" applyBorder="1" applyAlignment="1">
      <alignment horizontal="left" vertical="center" indent="1"/>
    </xf>
    <xf numFmtId="275" fontId="36" fillId="0" borderId="3" xfId="0" applyNumberFormat="1" applyFont="1" applyBorder="1" applyAlignment="1">
      <alignment vertical="center"/>
    </xf>
    <xf numFmtId="257" fontId="36" fillId="0" borderId="10" xfId="6" applyNumberFormat="1" applyFont="1" applyBorder="1" applyAlignment="1">
      <alignment horizontal="center" vertical="center"/>
    </xf>
    <xf numFmtId="257" fontId="36" fillId="0" borderId="46" xfId="6" applyNumberFormat="1" applyFont="1" applyBorder="1" applyAlignment="1">
      <alignment horizontal="center" vertical="center"/>
    </xf>
    <xf numFmtId="257" fontId="36" fillId="0" borderId="67" xfId="6" applyNumberFormat="1" applyFont="1" applyBorder="1" applyAlignment="1">
      <alignment horizontal="center" vertical="center"/>
    </xf>
    <xf numFmtId="257" fontId="36" fillId="0" borderId="46" xfId="6" applyNumberFormat="1" applyFont="1" applyFill="1" applyBorder="1" applyAlignment="1">
      <alignment horizontal="center" vertical="center"/>
    </xf>
    <xf numFmtId="257" fontId="36" fillId="0" borderId="70" xfId="6" applyNumberFormat="1" applyFont="1" applyFill="1" applyBorder="1" applyAlignment="1">
      <alignment horizontal="center" vertical="center"/>
    </xf>
    <xf numFmtId="3" fontId="36" fillId="0" borderId="69" xfId="0" applyNumberFormat="1" applyFont="1" applyBorder="1" applyAlignment="1">
      <alignment horizontal="center" vertical="center" wrapText="1"/>
    </xf>
    <xf numFmtId="230" fontId="41" fillId="10" borderId="12" xfId="0" applyNumberFormat="1" applyFont="1" applyFill="1" applyBorder="1" applyProtection="1"/>
    <xf numFmtId="3" fontId="20" fillId="0" borderId="30" xfId="0" applyNumberFormat="1" applyFont="1" applyBorder="1" applyAlignment="1">
      <alignment horizontal="centerContinuous" vertical="center" shrinkToFit="1"/>
    </xf>
    <xf numFmtId="4" fontId="20" fillId="0" borderId="15" xfId="6" applyNumberFormat="1" applyFont="1" applyBorder="1" applyAlignment="1" applyProtection="1">
      <alignment horizontal="center" vertical="center"/>
    </xf>
    <xf numFmtId="1" fontId="20" fillId="0" borderId="15" xfId="6" applyNumberFormat="1" applyFont="1" applyBorder="1" applyAlignment="1" applyProtection="1">
      <alignment horizontal="center" vertical="center"/>
    </xf>
    <xf numFmtId="1" fontId="20" fillId="0" borderId="17" xfId="6" applyNumberFormat="1" applyFont="1" applyBorder="1" applyAlignment="1" applyProtection="1">
      <alignment horizontal="center" vertical="center"/>
    </xf>
    <xf numFmtId="206" fontId="21" fillId="11" borderId="2" xfId="0" applyNumberFormat="1" applyFont="1" applyFill="1" applyBorder="1"/>
    <xf numFmtId="206" fontId="21" fillId="11" borderId="41" xfId="0" applyNumberFormat="1" applyFont="1" applyFill="1" applyBorder="1"/>
    <xf numFmtId="206" fontId="21" fillId="11" borderId="21" xfId="0" applyNumberFormat="1" applyFont="1" applyFill="1" applyBorder="1"/>
    <xf numFmtId="206" fontId="21" fillId="11" borderId="51" xfId="0" applyNumberFormat="1" applyFont="1" applyFill="1" applyBorder="1"/>
    <xf numFmtId="206" fontId="21" fillId="11" borderId="46" xfId="0" applyNumberFormat="1" applyFont="1" applyFill="1" applyBorder="1"/>
    <xf numFmtId="3" fontId="12" fillId="0" borderId="0" xfId="0" applyNumberFormat="1" applyFont="1"/>
    <xf numFmtId="3" fontId="18" fillId="0" borderId="18" xfId="0" applyNumberFormat="1" applyFont="1" applyBorder="1" applyAlignment="1">
      <alignment horizontal="center"/>
    </xf>
    <xf numFmtId="3" fontId="18" fillId="0" borderId="12" xfId="0" applyNumberFormat="1" applyFont="1" applyBorder="1" applyAlignment="1">
      <alignment horizontal="center"/>
    </xf>
    <xf numFmtId="3" fontId="18" fillId="0" borderId="18" xfId="0" applyNumberFormat="1" applyFont="1" applyBorder="1" applyAlignment="1">
      <alignment horizontal="left" indent="1"/>
    </xf>
    <xf numFmtId="3" fontId="18" fillId="0" borderId="12" xfId="0" applyNumberFormat="1" applyFont="1" applyBorder="1" applyAlignment="1">
      <alignment horizontal="left" indent="1"/>
    </xf>
    <xf numFmtId="3" fontId="18" fillId="0" borderId="19" xfId="0" applyNumberFormat="1" applyFont="1" applyBorder="1" applyAlignment="1">
      <alignment horizontal="left" indent="1"/>
    </xf>
    <xf numFmtId="3" fontId="20" fillId="0" borderId="1" xfId="0" applyNumberFormat="1" applyFont="1" applyBorder="1" applyAlignment="1" applyProtection="1">
      <alignment horizontal="center" vertical="center"/>
    </xf>
    <xf numFmtId="0" fontId="15" fillId="0" borderId="10" xfId="6" applyNumberFormat="1" applyFont="1" applyFill="1" applyBorder="1" applyAlignment="1" applyProtection="1">
      <alignment horizontal="center" vertical="center"/>
    </xf>
    <xf numFmtId="9" fontId="34" fillId="0" borderId="0" xfId="6" applyFont="1" applyFill="1" applyBorder="1" applyProtection="1"/>
    <xf numFmtId="239" fontId="30" fillId="0" borderId="0" xfId="0" applyNumberFormat="1" applyFont="1" applyAlignment="1" applyProtection="1">
      <alignment horizontal="right" vertical="center"/>
    </xf>
    <xf numFmtId="206" fontId="76" fillId="0" borderId="0" xfId="0" applyNumberFormat="1" applyFont="1"/>
    <xf numFmtId="0" fontId="54" fillId="0" borderId="0" xfId="0" applyFont="1" applyAlignment="1" applyProtection="1">
      <alignment horizontal="left" indent="2"/>
    </xf>
    <xf numFmtId="9" fontId="21" fillId="0" borderId="0" xfId="6" applyFont="1" applyBorder="1" applyAlignment="1">
      <alignment horizontal="center"/>
    </xf>
    <xf numFmtId="206" fontId="21" fillId="0" borderId="47" xfId="0" applyNumberFormat="1" applyFont="1" applyBorder="1"/>
    <xf numFmtId="206" fontId="21" fillId="11" borderId="24" xfId="0" applyNumberFormat="1" applyFont="1" applyFill="1" applyBorder="1"/>
    <xf numFmtId="206" fontId="21" fillId="0" borderId="25" xfId="0" applyNumberFormat="1" applyFont="1" applyBorder="1"/>
    <xf numFmtId="206" fontId="21" fillId="0" borderId="22" xfId="0" applyNumberFormat="1" applyFont="1" applyBorder="1"/>
    <xf numFmtId="206" fontId="21" fillId="11" borderId="47" xfId="0" applyNumberFormat="1" applyFont="1" applyFill="1" applyBorder="1"/>
    <xf numFmtId="3" fontId="18" fillId="0" borderId="39" xfId="0" applyNumberFormat="1" applyFont="1" applyBorder="1" applyAlignment="1">
      <alignment horizontal="center" vertical="center" wrapText="1"/>
    </xf>
    <xf numFmtId="3" fontId="18" fillId="0" borderId="49" xfId="0" applyNumberFormat="1" applyFont="1" applyBorder="1" applyAlignment="1">
      <alignment horizontal="left" indent="1"/>
    </xf>
    <xf numFmtId="3" fontId="18" fillId="0" borderId="7" xfId="0" applyNumberFormat="1" applyFont="1" applyBorder="1" applyAlignment="1">
      <alignment horizontal="left" indent="1"/>
    </xf>
    <xf numFmtId="3" fontId="18" fillId="0" borderId="69" xfId="0" applyNumberFormat="1" applyFont="1" applyBorder="1" applyAlignment="1">
      <alignment horizontal="left" indent="1"/>
    </xf>
    <xf numFmtId="215" fontId="21" fillId="0" borderId="20" xfId="6" applyNumberFormat="1" applyFont="1" applyFill="1" applyBorder="1" applyAlignment="1"/>
    <xf numFmtId="215" fontId="21" fillId="0" borderId="23" xfId="6" applyNumberFormat="1" applyFont="1" applyFill="1" applyBorder="1" applyAlignment="1"/>
    <xf numFmtId="215" fontId="21" fillId="0" borderId="34" xfId="6" applyNumberFormat="1" applyFont="1" applyFill="1" applyBorder="1" applyAlignment="1"/>
    <xf numFmtId="215" fontId="21" fillId="0" borderId="9" xfId="0" applyNumberFormat="1" applyFont="1" applyBorder="1"/>
    <xf numFmtId="200" fontId="19" fillId="0" borderId="38" xfId="0" applyNumberFormat="1" applyFont="1" applyBorder="1" applyAlignment="1" applyProtection="1">
      <alignment vertical="center"/>
    </xf>
    <xf numFmtId="0" fontId="19" fillId="0" borderId="9" xfId="0" applyFont="1" applyBorder="1" applyAlignment="1">
      <alignment horizontal="centerContinuous"/>
    </xf>
    <xf numFmtId="208" fontId="18" fillId="0" borderId="37" xfId="0" applyNumberFormat="1" applyFont="1" applyBorder="1" applyAlignment="1">
      <alignment horizontal="center" wrapText="1"/>
    </xf>
    <xf numFmtId="208" fontId="18" fillId="0" borderId="36" xfId="0" applyNumberFormat="1" applyFont="1" applyBorder="1" applyAlignment="1">
      <alignment horizontal="center" wrapText="1"/>
    </xf>
    <xf numFmtId="208" fontId="18" fillId="0" borderId="25" xfId="0" applyNumberFormat="1" applyFont="1" applyBorder="1" applyAlignment="1">
      <alignment horizontal="center" wrapText="1"/>
    </xf>
    <xf numFmtId="3" fontId="15" fillId="0" borderId="7" xfId="0" applyNumberFormat="1" applyFont="1" applyBorder="1" applyAlignment="1" applyProtection="1">
      <alignment horizontal="center" vertical="center" wrapText="1"/>
    </xf>
    <xf numFmtId="3" fontId="12" fillId="0" borderId="9" xfId="0" applyNumberFormat="1" applyFont="1" applyBorder="1" applyAlignment="1" applyProtection="1">
      <alignment horizontal="center" vertical="center" wrapText="1"/>
    </xf>
    <xf numFmtId="190" fontId="15" fillId="0" borderId="37" xfId="0" applyNumberFormat="1" applyFont="1" applyBorder="1" applyAlignment="1" applyProtection="1">
      <alignment vertical="center"/>
    </xf>
    <xf numFmtId="0" fontId="19" fillId="0" borderId="6" xfId="0" applyFont="1" applyBorder="1" applyProtection="1"/>
    <xf numFmtId="3" fontId="15" fillId="0" borderId="38" xfId="0" applyNumberFormat="1" applyFont="1" applyBorder="1" applyAlignment="1" applyProtection="1">
      <alignment horizontal="center" vertical="center"/>
    </xf>
    <xf numFmtId="207" fontId="19" fillId="0" borderId="45" xfId="0" applyNumberFormat="1" applyFont="1" applyBorder="1" applyAlignment="1" applyProtection="1">
      <alignment vertical="center"/>
    </xf>
    <xf numFmtId="207" fontId="19" fillId="0" borderId="46" xfId="0" applyNumberFormat="1" applyFont="1" applyBorder="1" applyAlignment="1" applyProtection="1">
      <alignment vertical="center"/>
    </xf>
    <xf numFmtId="207" fontId="19" fillId="0" borderId="47" xfId="0" applyNumberFormat="1" applyFont="1" applyBorder="1" applyAlignment="1" applyProtection="1">
      <alignment vertical="center"/>
    </xf>
    <xf numFmtId="200" fontId="19" fillId="0" borderId="70" xfId="0" applyNumberFormat="1" applyFont="1" applyBorder="1" applyAlignment="1" applyProtection="1">
      <alignment vertical="center"/>
    </xf>
    <xf numFmtId="0" fontId="77" fillId="0" borderId="89" xfId="0" applyFont="1" applyBorder="1" applyAlignment="1" applyProtection="1">
      <alignment horizontal="right" vertical="center" indent="2"/>
    </xf>
    <xf numFmtId="276" fontId="44" fillId="0" borderId="36" xfId="0" applyNumberFormat="1" applyFont="1" applyBorder="1" applyAlignment="1" applyProtection="1">
      <alignment horizontal="center" vertical="center"/>
      <protection locked="0"/>
    </xf>
    <xf numFmtId="276" fontId="44" fillId="0" borderId="25" xfId="0" applyNumberFormat="1" applyFont="1" applyBorder="1" applyAlignment="1" applyProtection="1">
      <alignment horizontal="center" vertical="center"/>
      <protection locked="0"/>
    </xf>
    <xf numFmtId="0" fontId="19" fillId="0" borderId="9" xfId="0" applyFont="1" applyBorder="1" applyAlignment="1">
      <alignment horizontal="center" vertical="center"/>
    </xf>
    <xf numFmtId="0" fontId="102" fillId="0" borderId="0" xfId="0" applyFont="1"/>
    <xf numFmtId="0" fontId="103" fillId="0" borderId="0" xfId="0" applyFont="1"/>
    <xf numFmtId="0" fontId="19" fillId="0" borderId="9" xfId="0" applyFont="1" applyBorder="1" applyAlignment="1" applyProtection="1">
      <alignment horizontal="center" vertical="center"/>
    </xf>
    <xf numFmtId="276" fontId="44" fillId="0" borderId="36" xfId="0" applyNumberFormat="1" applyFont="1" applyBorder="1" applyAlignment="1" applyProtection="1">
      <alignment horizontal="center" vertical="center" shrinkToFit="1"/>
    </xf>
    <xf numFmtId="276" fontId="44" fillId="0" borderId="25" xfId="0" applyNumberFormat="1" applyFont="1" applyBorder="1" applyAlignment="1" applyProtection="1">
      <alignment horizontal="center" vertical="center" shrinkToFit="1"/>
    </xf>
    <xf numFmtId="0" fontId="104" fillId="0" borderId="0" xfId="0" applyFont="1" applyAlignment="1">
      <alignment horizontal="center"/>
    </xf>
    <xf numFmtId="0" fontId="105" fillId="0" borderId="0" xfId="0" applyFont="1"/>
    <xf numFmtId="0" fontId="106" fillId="0" borderId="0" xfId="0" applyFont="1" applyAlignment="1">
      <alignment horizontal="center" vertical="center"/>
    </xf>
    <xf numFmtId="4" fontId="103" fillId="0" borderId="0" xfId="0" applyNumberFormat="1" applyFont="1" applyProtection="1"/>
    <xf numFmtId="0" fontId="103" fillId="0" borderId="0" xfId="0" applyFont="1" applyAlignment="1" applyProtection="1">
      <alignment horizontal="left" indent="2"/>
    </xf>
    <xf numFmtId="0" fontId="107" fillId="0" borderId="0" xfId="0" applyFont="1"/>
    <xf numFmtId="0" fontId="18" fillId="0" borderId="128" xfId="0" applyFont="1" applyBorder="1" applyAlignment="1">
      <alignment horizontal="center" vertical="center" wrapText="1"/>
    </xf>
    <xf numFmtId="0" fontId="18" fillId="0" borderId="129" xfId="0" applyFont="1" applyBorder="1" applyAlignment="1">
      <alignment horizontal="center" vertical="center" wrapText="1"/>
    </xf>
    <xf numFmtId="208" fontId="18" fillId="0" borderId="30" xfId="0" applyNumberFormat="1" applyFont="1" applyBorder="1" applyAlignment="1">
      <alignment horizontal="center" vertical="center"/>
    </xf>
    <xf numFmtId="3" fontId="21" fillId="12" borderId="7" xfId="0" applyNumberFormat="1" applyFont="1" applyFill="1" applyBorder="1" applyAlignment="1" applyProtection="1">
      <alignment horizontal="center" vertical="center"/>
      <protection locked="0"/>
    </xf>
    <xf numFmtId="216" fontId="21" fillId="2" borderId="12" xfId="0" applyNumberFormat="1" applyFont="1" applyFill="1" applyBorder="1" applyAlignment="1" applyProtection="1">
      <alignment vertical="center"/>
      <protection locked="0"/>
    </xf>
    <xf numFmtId="3" fontId="21" fillId="3" borderId="12" xfId="0" applyNumberFormat="1" applyFont="1" applyFill="1" applyBorder="1" applyAlignment="1" applyProtection="1">
      <alignment horizontal="center" vertical="center"/>
      <protection locked="0"/>
    </xf>
    <xf numFmtId="213" fontId="21" fillId="2" borderId="99" xfId="0" applyNumberFormat="1" applyFont="1" applyFill="1" applyBorder="1" applyAlignment="1" applyProtection="1">
      <alignment vertical="center"/>
      <protection locked="0"/>
    </xf>
    <xf numFmtId="213" fontId="21" fillId="2" borderId="2" xfId="0" applyNumberFormat="1" applyFont="1" applyFill="1" applyBorder="1" applyAlignment="1" applyProtection="1">
      <alignment vertical="center"/>
      <protection locked="0"/>
    </xf>
    <xf numFmtId="213" fontId="21" fillId="2" borderId="24" xfId="0" applyNumberFormat="1" applyFont="1" applyFill="1" applyBorder="1" applyAlignment="1" applyProtection="1">
      <alignment vertical="center"/>
      <protection locked="0"/>
    </xf>
    <xf numFmtId="3" fontId="18" fillId="0" borderId="130" xfId="0" applyNumberFormat="1" applyFont="1" applyBorder="1" applyAlignment="1" applyProtection="1">
      <alignment horizontal="right" vertical="center"/>
    </xf>
    <xf numFmtId="4" fontId="18" fillId="0" borderId="131" xfId="0" applyNumberFormat="1" applyFont="1" applyBorder="1" applyAlignment="1">
      <alignment vertical="center"/>
    </xf>
    <xf numFmtId="4" fontId="18" fillId="0" borderId="132" xfId="0" applyNumberFormat="1" applyFont="1" applyBorder="1" applyAlignment="1">
      <alignment vertical="center"/>
    </xf>
    <xf numFmtId="4" fontId="18" fillId="0" borderId="133" xfId="0" applyNumberFormat="1" applyFont="1" applyBorder="1" applyAlignment="1">
      <alignment vertical="center"/>
    </xf>
    <xf numFmtId="213" fontId="18" fillId="0" borderId="134" xfId="0" applyNumberFormat="1" applyFont="1" applyBorder="1" applyAlignment="1">
      <alignment vertical="center"/>
    </xf>
    <xf numFmtId="213" fontId="18" fillId="0" borderId="135" xfId="0" applyNumberFormat="1" applyFont="1" applyBorder="1" applyAlignment="1">
      <alignment vertical="center"/>
    </xf>
    <xf numFmtId="213" fontId="18" fillId="0" borderId="136" xfId="0" applyNumberFormat="1" applyFont="1" applyBorder="1" applyAlignment="1">
      <alignment vertical="center"/>
    </xf>
    <xf numFmtId="3" fontId="21" fillId="12" borderId="12" xfId="0" applyNumberFormat="1" applyFont="1" applyFill="1" applyBorder="1" applyAlignment="1" applyProtection="1">
      <alignment horizontal="center" vertical="center"/>
      <protection locked="0"/>
    </xf>
    <xf numFmtId="3" fontId="21" fillId="12" borderId="19" xfId="0" applyNumberFormat="1" applyFont="1" applyFill="1" applyBorder="1" applyAlignment="1" applyProtection="1">
      <alignment horizontal="center" vertical="center"/>
      <protection locked="0"/>
    </xf>
    <xf numFmtId="0" fontId="108" fillId="0" borderId="0" xfId="0" quotePrefix="1" applyFont="1"/>
    <xf numFmtId="3" fontId="21" fillId="0" borderId="137" xfId="0" applyNumberFormat="1" applyFont="1" applyBorder="1" applyAlignment="1" applyProtection="1">
      <alignment horizontal="left" vertical="center" indent="1"/>
      <protection locked="0"/>
    </xf>
    <xf numFmtId="233" fontId="19" fillId="13" borderId="15" xfId="0" applyNumberFormat="1" applyFont="1" applyFill="1" applyBorder="1" applyAlignment="1" applyProtection="1">
      <alignment vertical="center"/>
      <protection locked="0"/>
    </xf>
    <xf numFmtId="173" fontId="19" fillId="14" borderId="19" xfId="0" applyNumberFormat="1" applyFont="1" applyFill="1" applyBorder="1" applyAlignment="1" applyProtection="1">
      <alignment horizontal="center" vertical="center"/>
      <protection locked="0"/>
    </xf>
    <xf numFmtId="244" fontId="19" fillId="15" borderId="12" xfId="4" applyNumberFormat="1" applyFont="1" applyFill="1" applyBorder="1" applyAlignment="1" applyProtection="1">
      <alignment horizontal="center" vertical="center"/>
      <protection locked="0"/>
    </xf>
    <xf numFmtId="244" fontId="19" fillId="15" borderId="15" xfId="4" applyNumberFormat="1" applyFont="1" applyFill="1" applyBorder="1" applyAlignment="1" applyProtection="1">
      <alignment horizontal="center" vertical="center"/>
      <protection locked="0"/>
    </xf>
    <xf numFmtId="10" fontId="19" fillId="15" borderId="12" xfId="0" applyNumberFormat="1" applyFont="1" applyFill="1" applyBorder="1" applyAlignment="1" applyProtection="1">
      <alignment horizontal="center" vertical="center"/>
      <protection locked="0"/>
    </xf>
    <xf numFmtId="3" fontId="19" fillId="15" borderId="12" xfId="0" applyNumberFormat="1" applyFont="1" applyFill="1" applyBorder="1" applyAlignment="1" applyProtection="1">
      <alignment horizontal="center" vertical="center"/>
      <protection locked="0"/>
    </xf>
    <xf numFmtId="164" fontId="19" fillId="15" borderId="15" xfId="4" applyFont="1" applyFill="1" applyBorder="1" applyAlignment="1" applyProtection="1">
      <alignment vertical="center"/>
      <protection locked="0"/>
    </xf>
    <xf numFmtId="164" fontId="19" fillId="15" borderId="85" xfId="4" applyFont="1" applyFill="1" applyBorder="1" applyAlignment="1" applyProtection="1">
      <alignment vertical="center"/>
      <protection locked="0"/>
    </xf>
    <xf numFmtId="0" fontId="19" fillId="0" borderId="23" xfId="0" applyFont="1" applyBorder="1" applyAlignment="1">
      <alignment horizontal="left" vertical="center" indent="2"/>
    </xf>
    <xf numFmtId="3" fontId="109" fillId="0" borderId="51" xfId="0" applyNumberFormat="1" applyFont="1" applyBorder="1" applyAlignment="1" applyProtection="1">
      <alignment horizontal="center" vertical="center"/>
    </xf>
    <xf numFmtId="3" fontId="78" fillId="0" borderId="7" xfId="0" applyNumberFormat="1" applyFont="1" applyBorder="1" applyAlignment="1" applyProtection="1">
      <alignment horizontal="center" vertical="center"/>
    </xf>
    <xf numFmtId="168" fontId="58" fillId="0" borderId="23" xfId="0" applyNumberFormat="1" applyFont="1" applyBorder="1" applyAlignment="1" applyProtection="1">
      <alignment horizontal="left" vertical="center" indent="3"/>
    </xf>
    <xf numFmtId="1" fontId="58" fillId="0" borderId="24" xfId="6" applyNumberFormat="1" applyFont="1" applyFill="1" applyBorder="1" applyAlignment="1" applyProtection="1">
      <alignment horizontal="center" vertical="center"/>
    </xf>
    <xf numFmtId="0" fontId="110" fillId="0" borderId="0" xfId="0" applyFont="1" applyAlignment="1">
      <alignment horizontal="center"/>
    </xf>
    <xf numFmtId="3" fontId="21" fillId="0" borderId="8" xfId="0" applyNumberFormat="1" applyFont="1" applyBorder="1" applyAlignment="1" applyProtection="1">
      <alignment horizontal="left" vertical="center" indent="1"/>
    </xf>
    <xf numFmtId="0" fontId="15" fillId="0" borderId="11" xfId="0" applyFont="1" applyBorder="1" applyAlignment="1">
      <alignment horizontal="center" vertical="center"/>
    </xf>
    <xf numFmtId="208" fontId="15" fillId="0" borderId="11" xfId="0" applyNumberFormat="1" applyFont="1" applyBorder="1" applyAlignment="1">
      <alignment horizontal="center" vertical="center" wrapText="1"/>
    </xf>
    <xf numFmtId="3" fontId="32" fillId="0" borderId="40" xfId="0" applyNumberFormat="1" applyFont="1" applyBorder="1" applyAlignment="1" applyProtection="1">
      <alignment horizontal="center" vertical="center" wrapText="1"/>
    </xf>
    <xf numFmtId="172" fontId="32" fillId="0" borderId="1" xfId="0" applyNumberFormat="1" applyFont="1" applyBorder="1" applyAlignment="1" applyProtection="1">
      <alignment horizontal="center" vertical="center" wrapText="1"/>
    </xf>
    <xf numFmtId="3" fontId="18" fillId="0" borderId="11" xfId="0" applyNumberFormat="1" applyFont="1" applyBorder="1" applyProtection="1"/>
    <xf numFmtId="3" fontId="18" fillId="0" borderId="138" xfId="6" applyNumberFormat="1" applyFont="1" applyFill="1" applyBorder="1" applyAlignment="1" applyProtection="1">
      <alignment horizontal="center"/>
    </xf>
    <xf numFmtId="184" fontId="21" fillId="2" borderId="139" xfId="6" applyNumberFormat="1" applyFont="1" applyFill="1" applyBorder="1" applyAlignment="1" applyProtection="1">
      <alignment horizontal="center"/>
      <protection locked="0"/>
    </xf>
    <xf numFmtId="184" fontId="21" fillId="2" borderId="11" xfId="6" applyNumberFormat="1" applyFont="1" applyFill="1" applyBorder="1" applyAlignment="1" applyProtection="1">
      <alignment horizontal="center"/>
      <protection locked="0"/>
    </xf>
    <xf numFmtId="3" fontId="21" fillId="0" borderId="11" xfId="0" applyNumberFormat="1" applyFont="1" applyBorder="1" applyAlignment="1" applyProtection="1">
      <alignment horizontal="center"/>
    </xf>
    <xf numFmtId="3" fontId="19" fillId="0" borderId="30" xfId="0" applyNumberFormat="1" applyFont="1" applyBorder="1" applyAlignment="1">
      <alignment horizontal="centerContinuous" vertical="center"/>
    </xf>
    <xf numFmtId="3" fontId="36" fillId="0" borderId="27" xfId="0" applyNumberFormat="1" applyFont="1" applyBorder="1" applyAlignment="1">
      <alignment horizontal="centerContinuous" vertical="center"/>
    </xf>
    <xf numFmtId="3" fontId="36" fillId="0" borderId="40" xfId="0" applyNumberFormat="1" applyFont="1" applyBorder="1" applyAlignment="1">
      <alignment horizontal="centerContinuous" vertical="center"/>
    </xf>
    <xf numFmtId="3" fontId="36" fillId="0" borderId="66" xfId="0" applyNumberFormat="1" applyFont="1" applyBorder="1" applyAlignment="1">
      <alignment horizontal="centerContinuous" vertical="center"/>
    </xf>
    <xf numFmtId="3" fontId="36" fillId="0" borderId="26" xfId="0" applyNumberFormat="1" applyFont="1" applyBorder="1" applyAlignment="1">
      <alignment horizontal="centerContinuous" vertical="center"/>
    </xf>
    <xf numFmtId="3" fontId="36" fillId="0" borderId="29" xfId="0" applyNumberFormat="1" applyFont="1" applyBorder="1" applyAlignment="1">
      <alignment horizontal="centerContinuous" vertical="center"/>
    </xf>
    <xf numFmtId="3" fontId="19" fillId="0" borderId="17" xfId="0" applyNumberFormat="1" applyFont="1" applyBorder="1" applyAlignment="1">
      <alignment horizontal="centerContinuous" vertical="center"/>
    </xf>
    <xf numFmtId="3" fontId="36" fillId="0" borderId="87" xfId="0" applyNumberFormat="1" applyFont="1" applyBorder="1" applyAlignment="1">
      <alignment horizontal="center" vertical="center"/>
    </xf>
    <xf numFmtId="3" fontId="21" fillId="0" borderId="18" xfId="0" applyNumberFormat="1" applyFont="1" applyBorder="1" applyAlignment="1">
      <alignment horizontal="left" indent="1"/>
    </xf>
    <xf numFmtId="196" fontId="21" fillId="0" borderId="4" xfId="6" applyNumberFormat="1" applyFont="1" applyFill="1" applyBorder="1" applyProtection="1"/>
    <xf numFmtId="3" fontId="19" fillId="0" borderId="56" xfId="0" applyNumberFormat="1" applyFont="1" applyBorder="1" applyAlignment="1">
      <alignment horizontal="centerContinuous" vertical="center"/>
    </xf>
    <xf numFmtId="3" fontId="19" fillId="0" borderId="57" xfId="0" applyNumberFormat="1" applyFont="1" applyBorder="1" applyAlignment="1">
      <alignment horizontal="centerContinuous" vertical="center"/>
    </xf>
    <xf numFmtId="200" fontId="36" fillId="0" borderId="11" xfId="0" applyNumberFormat="1" applyFont="1" applyBorder="1" applyAlignment="1">
      <alignment vertical="center"/>
    </xf>
    <xf numFmtId="200" fontId="36" fillId="0" borderId="37" xfId="0" applyNumberFormat="1" applyFont="1" applyBorder="1" applyAlignment="1">
      <alignment vertical="center"/>
    </xf>
    <xf numFmtId="196" fontId="36" fillId="0" borderId="25" xfId="6" applyNumberFormat="1" applyFont="1" applyBorder="1" applyAlignment="1">
      <alignment vertical="center"/>
    </xf>
    <xf numFmtId="200" fontId="36" fillId="0" borderId="39" xfId="0" applyNumberFormat="1" applyFont="1" applyBorder="1" applyAlignment="1">
      <alignment vertical="center"/>
    </xf>
    <xf numFmtId="196" fontId="36" fillId="0" borderId="72" xfId="6" applyNumberFormat="1" applyFont="1" applyBorder="1" applyAlignment="1">
      <alignment vertical="center"/>
    </xf>
    <xf numFmtId="200" fontId="36" fillId="0" borderId="6" xfId="0" applyNumberFormat="1" applyFont="1" applyBorder="1" applyAlignment="1">
      <alignment vertical="center"/>
    </xf>
    <xf numFmtId="3" fontId="36" fillId="0" borderId="11" xfId="0" applyNumberFormat="1" applyFont="1" applyBorder="1" applyAlignment="1">
      <alignment horizontal="right" vertical="center" indent="1"/>
    </xf>
    <xf numFmtId="208" fontId="15" fillId="0" borderId="128" xfId="0" applyNumberFormat="1" applyFont="1" applyBorder="1" applyAlignment="1">
      <alignment horizontal="center" wrapText="1"/>
    </xf>
    <xf numFmtId="208" fontId="15" fillId="0" borderId="92" xfId="0" applyNumberFormat="1" applyFont="1" applyBorder="1" applyAlignment="1">
      <alignment horizontal="center" wrapText="1"/>
    </xf>
    <xf numFmtId="208" fontId="15" fillId="0" borderId="129" xfId="0" applyNumberFormat="1" applyFont="1" applyBorder="1" applyAlignment="1">
      <alignment horizontal="center" wrapText="1"/>
    </xf>
    <xf numFmtId="208" fontId="15" fillId="0" borderId="140" xfId="0" applyNumberFormat="1" applyFont="1" applyBorder="1" applyAlignment="1">
      <alignment horizontal="center" wrapText="1"/>
    </xf>
    <xf numFmtId="1" fontId="15" fillId="0" borderId="11" xfId="0" applyNumberFormat="1" applyFont="1" applyBorder="1" applyAlignment="1">
      <alignment horizontal="center" wrapText="1"/>
    </xf>
    <xf numFmtId="1" fontId="15" fillId="0" borderId="6" xfId="0" applyNumberFormat="1" applyFont="1" applyBorder="1" applyAlignment="1">
      <alignment horizontal="center" wrapText="1"/>
    </xf>
    <xf numFmtId="1" fontId="15" fillId="0" borderId="141" xfId="0" applyNumberFormat="1" applyFont="1" applyBorder="1" applyAlignment="1">
      <alignment horizontal="center" wrapText="1"/>
    </xf>
    <xf numFmtId="3" fontId="32" fillId="0" borderId="11" xfId="0" applyNumberFormat="1" applyFont="1" applyBorder="1" applyAlignment="1" applyProtection="1">
      <alignment horizontal="center" wrapText="1"/>
    </xf>
    <xf numFmtId="3" fontId="36" fillId="0" borderId="18" xfId="0" applyNumberFormat="1" applyFont="1" applyBorder="1" applyAlignment="1" applyProtection="1">
      <alignment horizontal="right" indent="1"/>
    </xf>
    <xf numFmtId="3" fontId="36" fillId="0" borderId="18" xfId="0" applyNumberFormat="1" applyFont="1" applyBorder="1" applyAlignment="1" applyProtection="1">
      <alignment horizontal="center"/>
    </xf>
    <xf numFmtId="206" fontId="32" fillId="0" borderId="15" xfId="0" applyNumberFormat="1" applyFont="1" applyBorder="1" applyProtection="1"/>
    <xf numFmtId="3" fontId="36" fillId="0" borderId="12" xfId="0" applyNumberFormat="1" applyFont="1" applyBorder="1" applyAlignment="1" applyProtection="1">
      <alignment horizontal="center"/>
    </xf>
    <xf numFmtId="3" fontId="36" fillId="0" borderId="38" xfId="0" applyNumberFormat="1" applyFont="1" applyBorder="1" applyAlignment="1" applyProtection="1">
      <alignment horizontal="center"/>
    </xf>
    <xf numFmtId="3" fontId="15" fillId="0" borderId="11" xfId="0" applyNumberFormat="1" applyFont="1" applyBorder="1" applyAlignment="1" applyProtection="1">
      <alignment horizontal="center"/>
    </xf>
    <xf numFmtId="206" fontId="32" fillId="0" borderId="11" xfId="0" applyNumberFormat="1" applyFont="1" applyBorder="1" applyProtection="1"/>
    <xf numFmtId="208" fontId="15" fillId="0" borderId="28" xfId="0" applyNumberFormat="1" applyFont="1" applyBorder="1" applyAlignment="1">
      <alignment horizontal="center" vertical="center" wrapText="1"/>
    </xf>
    <xf numFmtId="208" fontId="15" fillId="0" borderId="29" xfId="0" applyNumberFormat="1" applyFont="1" applyBorder="1" applyAlignment="1">
      <alignment horizontal="center" vertical="center" wrapText="1"/>
    </xf>
    <xf numFmtId="0" fontId="44" fillId="0" borderId="27" xfId="0" applyFont="1" applyBorder="1" applyAlignment="1">
      <alignment horizontal="center" vertical="center" wrapText="1"/>
    </xf>
    <xf numFmtId="209" fontId="20" fillId="0" borderId="30" xfId="0" applyNumberFormat="1" applyFont="1" applyBorder="1" applyAlignment="1">
      <alignment horizontal="center" wrapText="1"/>
    </xf>
    <xf numFmtId="3" fontId="18" fillId="0" borderId="26" xfId="0" applyNumberFormat="1" applyFont="1" applyBorder="1" applyAlignment="1" applyProtection="1">
      <alignment horizontal="center" vertical="center"/>
    </xf>
    <xf numFmtId="208" fontId="18" fillId="0" borderId="18" xfId="0" applyNumberFormat="1" applyFont="1" applyBorder="1" applyAlignment="1">
      <alignment horizontal="center" vertical="center" wrapText="1"/>
    </xf>
    <xf numFmtId="208" fontId="18" fillId="0" borderId="61" xfId="0" applyNumberFormat="1" applyFont="1" applyBorder="1" applyAlignment="1">
      <alignment horizontal="center" vertical="center" wrapText="1"/>
    </xf>
    <xf numFmtId="3" fontId="20" fillId="0" borderId="30" xfId="0" applyNumberFormat="1" applyFont="1" applyBorder="1" applyAlignment="1" applyProtection="1">
      <alignment horizontal="center"/>
    </xf>
    <xf numFmtId="9" fontId="20" fillId="0" borderId="56" xfId="6" applyFont="1" applyFill="1" applyBorder="1" applyAlignment="1" applyProtection="1">
      <alignment horizontal="center" wrapText="1"/>
    </xf>
    <xf numFmtId="9" fontId="20" fillId="0" borderId="30" xfId="6" applyFont="1" applyFill="1" applyBorder="1" applyAlignment="1" applyProtection="1">
      <alignment horizontal="center" wrapText="1"/>
    </xf>
    <xf numFmtId="0" fontId="19" fillId="0" borderId="7" xfId="0" applyFont="1" applyBorder="1" applyAlignment="1" applyProtection="1">
      <alignment horizontal="left" indent="2"/>
    </xf>
    <xf numFmtId="0" fontId="19" fillId="0" borderId="10" xfId="0" applyFont="1" applyBorder="1" applyProtection="1"/>
    <xf numFmtId="0" fontId="15" fillId="0" borderId="49" xfId="0" applyFont="1" applyBorder="1" applyAlignment="1" applyProtection="1">
      <alignment horizontal="left" vertical="center" indent="1"/>
    </xf>
    <xf numFmtId="3" fontId="20" fillId="0" borderId="14" xfId="0" applyNumberFormat="1" applyFont="1" applyBorder="1" applyAlignment="1" applyProtection="1">
      <alignment horizontal="center" vertical="center"/>
    </xf>
    <xf numFmtId="9" fontId="20" fillId="0" borderId="10" xfId="6" applyFont="1" applyFill="1" applyBorder="1" applyAlignment="1" applyProtection="1">
      <alignment horizontal="center" vertical="top" wrapText="1"/>
    </xf>
    <xf numFmtId="1" fontId="15" fillId="0" borderId="14" xfId="4" applyNumberFormat="1" applyFont="1" applyFill="1" applyBorder="1" applyAlignment="1" applyProtection="1">
      <alignment horizontal="center" vertical="center"/>
    </xf>
    <xf numFmtId="1" fontId="15" fillId="0" borderId="14" xfId="6" applyNumberFormat="1" applyFont="1" applyFill="1" applyBorder="1" applyAlignment="1" applyProtection="1">
      <alignment horizontal="center" vertical="center"/>
    </xf>
    <xf numFmtId="206" fontId="15" fillId="0" borderId="17" xfId="4" applyNumberFormat="1" applyFont="1" applyFill="1" applyBorder="1" applyAlignment="1" applyProtection="1">
      <alignment horizontal="right" vertical="center"/>
    </xf>
    <xf numFmtId="206" fontId="15" fillId="0" borderId="57" xfId="4" applyNumberFormat="1" applyFont="1" applyFill="1" applyBorder="1" applyAlignment="1" applyProtection="1">
      <alignment horizontal="right" vertical="center"/>
    </xf>
    <xf numFmtId="206" fontId="15" fillId="0" borderId="64" xfId="4" applyNumberFormat="1" applyFont="1" applyFill="1" applyBorder="1" applyAlignment="1" applyProtection="1">
      <alignment horizontal="right" vertical="center"/>
    </xf>
    <xf numFmtId="0" fontId="15" fillId="0" borderId="56" xfId="0" applyFont="1" applyBorder="1" applyAlignment="1" applyProtection="1">
      <alignment horizontal="left" vertical="center" indent="1"/>
    </xf>
    <xf numFmtId="206" fontId="15" fillId="0" borderId="30" xfId="4" applyNumberFormat="1" applyFont="1" applyFill="1" applyBorder="1" applyAlignment="1" applyProtection="1">
      <alignment vertical="center"/>
    </xf>
    <xf numFmtId="206" fontId="15" fillId="0" borderId="56" xfId="4" applyNumberFormat="1" applyFont="1" applyFill="1" applyBorder="1" applyAlignment="1" applyProtection="1">
      <alignment vertical="center"/>
    </xf>
    <xf numFmtId="206" fontId="15" fillId="0" borderId="26" xfId="4" applyNumberFormat="1" applyFont="1" applyFill="1" applyBorder="1" applyAlignment="1" applyProtection="1">
      <alignment vertical="center"/>
    </xf>
    <xf numFmtId="0" fontId="19" fillId="0" borderId="57" xfId="0" applyFont="1" applyBorder="1" applyProtection="1"/>
    <xf numFmtId="3" fontId="19" fillId="0" borderId="17" xfId="0" applyNumberFormat="1" applyFont="1" applyBorder="1" applyProtection="1"/>
    <xf numFmtId="3" fontId="19" fillId="0" borderId="57" xfId="0" applyNumberFormat="1" applyFont="1" applyBorder="1" applyProtection="1"/>
    <xf numFmtId="3" fontId="19" fillId="0" borderId="64" xfId="0" applyNumberFormat="1" applyFont="1" applyBorder="1" applyProtection="1"/>
    <xf numFmtId="206" fontId="15" fillId="0" borderId="17" xfId="6" applyNumberFormat="1" applyFont="1" applyFill="1" applyBorder="1" applyAlignment="1" applyProtection="1">
      <alignment horizontal="right" vertical="center"/>
    </xf>
    <xf numFmtId="9" fontId="20" fillId="0" borderId="30" xfId="6" applyFont="1" applyFill="1" applyBorder="1" applyAlignment="1" applyProtection="1">
      <alignment horizontal="center"/>
    </xf>
    <xf numFmtId="3" fontId="13" fillId="0" borderId="26" xfId="0" applyNumberFormat="1" applyFont="1" applyBorder="1" applyAlignment="1" applyProtection="1">
      <alignment horizontal="centerContinuous" vertical="center" wrapText="1"/>
    </xf>
    <xf numFmtId="3" fontId="13" fillId="0" borderId="56" xfId="0" applyNumberFormat="1" applyFont="1" applyBorder="1" applyAlignment="1" applyProtection="1">
      <alignment horizontal="centerContinuous" vertical="center" wrapText="1"/>
    </xf>
    <xf numFmtId="3" fontId="13" fillId="0" borderId="30" xfId="0" applyNumberFormat="1" applyFont="1" applyBorder="1" applyAlignment="1" applyProtection="1">
      <alignment horizontal="centerContinuous" vertical="center" wrapText="1"/>
    </xf>
    <xf numFmtId="9" fontId="20" fillId="0" borderId="14" xfId="6" applyFont="1" applyFill="1" applyBorder="1" applyAlignment="1" applyProtection="1">
      <alignment horizontal="center" vertical="center"/>
    </xf>
    <xf numFmtId="1" fontId="46" fillId="0" borderId="14" xfId="4" applyNumberFormat="1" applyFont="1" applyFill="1" applyBorder="1" applyAlignment="1" applyProtection="1">
      <alignment horizontal="center" vertical="center"/>
    </xf>
    <xf numFmtId="0" fontId="15" fillId="0" borderId="57" xfId="0" applyFont="1" applyBorder="1" applyAlignment="1" applyProtection="1">
      <alignment horizontal="right" vertical="center"/>
    </xf>
    <xf numFmtId="9" fontId="15" fillId="0" borderId="17" xfId="6" applyFont="1" applyFill="1" applyBorder="1" applyAlignment="1" applyProtection="1">
      <alignment horizontal="left" vertical="center"/>
    </xf>
    <xf numFmtId="9" fontId="15" fillId="0" borderId="30" xfId="6" applyFont="1" applyFill="1" applyBorder="1" applyAlignment="1" applyProtection="1">
      <alignment horizontal="right" vertical="center"/>
    </xf>
    <xf numFmtId="211" fontId="15" fillId="0" borderId="30" xfId="4" applyNumberFormat="1" applyFont="1" applyFill="1" applyBorder="1" applyAlignment="1" applyProtection="1">
      <alignment vertical="center"/>
    </xf>
    <xf numFmtId="3" fontId="19" fillId="0" borderId="64" xfId="0" applyNumberFormat="1" applyFont="1" applyBorder="1" applyAlignment="1" applyProtection="1">
      <alignment horizontal="right"/>
    </xf>
    <xf numFmtId="3" fontId="19" fillId="0" borderId="57" xfId="0" applyNumberFormat="1" applyFont="1" applyBorder="1" applyAlignment="1" applyProtection="1">
      <alignment horizontal="right"/>
    </xf>
    <xf numFmtId="3" fontId="19" fillId="0" borderId="17" xfId="0" applyNumberFormat="1" applyFont="1" applyBorder="1" applyAlignment="1" applyProtection="1">
      <alignment horizontal="right"/>
    </xf>
    <xf numFmtId="9" fontId="20" fillId="0" borderId="56" xfId="6" applyFont="1" applyFill="1" applyBorder="1" applyAlignment="1" applyProtection="1">
      <alignment horizontal="center"/>
    </xf>
    <xf numFmtId="9" fontId="20" fillId="0" borderId="10" xfId="6" applyFont="1" applyFill="1" applyBorder="1" applyAlignment="1" applyProtection="1">
      <alignment horizontal="center" vertical="center"/>
    </xf>
    <xf numFmtId="9" fontId="15" fillId="0" borderId="56" xfId="6" applyFont="1" applyFill="1" applyBorder="1" applyAlignment="1" applyProtection="1">
      <alignment horizontal="right" vertical="center"/>
    </xf>
    <xf numFmtId="10" fontId="19" fillId="0" borderId="7" xfId="6" applyNumberFormat="1" applyFont="1" applyFill="1" applyBorder="1" applyAlignment="1" applyProtection="1">
      <alignment horizontal="center"/>
    </xf>
    <xf numFmtId="166" fontId="15" fillId="0" borderId="49" xfId="6" applyNumberFormat="1" applyFont="1" applyFill="1" applyBorder="1" applyAlignment="1" applyProtection="1">
      <alignment horizontal="center" vertical="center"/>
    </xf>
    <xf numFmtId="3" fontId="33" fillId="0" borderId="30" xfId="0" applyNumberFormat="1" applyFont="1" applyBorder="1" applyAlignment="1" applyProtection="1">
      <alignment horizontal="centerContinuous" vertical="center" wrapText="1"/>
    </xf>
    <xf numFmtId="0" fontId="18" fillId="0" borderId="9" xfId="0" applyFont="1" applyBorder="1" applyAlignment="1">
      <alignment horizontal="center" vertical="center"/>
    </xf>
    <xf numFmtId="1" fontId="20" fillId="0" borderId="11"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3" fontId="19" fillId="0" borderId="7" xfId="0" applyNumberFormat="1" applyFont="1" applyBorder="1" applyAlignment="1">
      <alignment horizontal="left" vertical="center" indent="1"/>
    </xf>
    <xf numFmtId="0" fontId="12" fillId="0" borderId="49" xfId="0" applyFont="1" applyBorder="1" applyAlignment="1" applyProtection="1">
      <alignment horizontal="center" vertical="center"/>
    </xf>
    <xf numFmtId="234" fontId="15" fillId="0" borderId="42" xfId="0" applyNumberFormat="1" applyFont="1" applyBorder="1" applyProtection="1"/>
    <xf numFmtId="234" fontId="19" fillId="0" borderId="43" xfId="0" applyNumberFormat="1" applyFont="1" applyBorder="1" applyProtection="1"/>
    <xf numFmtId="0" fontId="19" fillId="0" borderId="7" xfId="0" applyFont="1" applyBorder="1" applyAlignment="1" applyProtection="1">
      <alignment horizontal="left" vertical="center" indent="2"/>
    </xf>
    <xf numFmtId="0" fontId="19" fillId="0" borderId="16" xfId="0" applyFont="1" applyBorder="1" applyAlignment="1" applyProtection="1">
      <alignment horizontal="left" vertical="center" indent="2"/>
    </xf>
    <xf numFmtId="234" fontId="19" fillId="0" borderId="44" xfId="0" applyNumberFormat="1" applyFont="1" applyBorder="1" applyProtection="1"/>
    <xf numFmtId="0" fontId="19" fillId="0" borderId="10" xfId="0" applyFont="1" applyBorder="1" applyAlignment="1" applyProtection="1">
      <alignment vertical="center"/>
    </xf>
    <xf numFmtId="234" fontId="19" fillId="0" borderId="68" xfId="0" applyNumberFormat="1" applyFont="1" applyBorder="1" applyProtection="1"/>
    <xf numFmtId="0" fontId="47" fillId="0" borderId="7" xfId="0" applyFont="1" applyBorder="1" applyAlignment="1" applyProtection="1">
      <alignment horizontal="left" vertical="center" indent="1"/>
    </xf>
    <xf numFmtId="234" fontId="15" fillId="0" borderId="43" xfId="0" applyNumberFormat="1" applyFont="1" applyBorder="1" applyProtection="1"/>
    <xf numFmtId="0" fontId="47" fillId="0" borderId="49" xfId="0" applyFont="1" applyBorder="1" applyAlignment="1" applyProtection="1">
      <alignment horizontal="left" vertical="center" indent="1"/>
    </xf>
    <xf numFmtId="0" fontId="19" fillId="0" borderId="69" xfId="0" applyFont="1" applyBorder="1" applyAlignment="1" applyProtection="1">
      <alignment horizontal="left" vertical="center" indent="2"/>
    </xf>
    <xf numFmtId="234" fontId="19" fillId="0" borderId="70" xfId="0" applyNumberFormat="1" applyFont="1" applyBorder="1" applyProtection="1"/>
    <xf numFmtId="3" fontId="25" fillId="0" borderId="56" xfId="0" applyNumberFormat="1" applyFont="1" applyBorder="1" applyAlignment="1" applyProtection="1">
      <alignment horizontal="centerContinuous" vertical="center" wrapText="1"/>
    </xf>
    <xf numFmtId="3" fontId="33" fillId="0" borderId="142" xfId="0" applyNumberFormat="1" applyFont="1" applyBorder="1" applyAlignment="1" applyProtection="1">
      <alignment horizontal="centerContinuous" vertical="center" wrapText="1"/>
    </xf>
    <xf numFmtId="3" fontId="33" fillId="0" borderId="143" xfId="0" applyNumberFormat="1" applyFont="1" applyBorder="1" applyAlignment="1" applyProtection="1">
      <alignment horizontal="centerContinuous" vertical="center" wrapText="1"/>
    </xf>
    <xf numFmtId="0" fontId="15" fillId="0" borderId="57" xfId="0" applyFont="1" applyBorder="1" applyAlignment="1" applyProtection="1">
      <alignment horizontal="center" vertical="center"/>
    </xf>
    <xf numFmtId="234" fontId="15" fillId="0" borderId="90" xfId="0" applyNumberFormat="1" applyFont="1" applyBorder="1" applyAlignment="1" applyProtection="1">
      <alignment vertical="center"/>
    </xf>
    <xf numFmtId="0" fontId="44" fillId="0" borderId="56" xfId="0" applyFont="1" applyBorder="1" applyProtection="1"/>
    <xf numFmtId="0" fontId="19" fillId="0" borderId="57" xfId="0" applyFont="1" applyBorder="1" applyAlignment="1" applyProtection="1">
      <alignment vertical="center"/>
    </xf>
    <xf numFmtId="234" fontId="19" fillId="0" borderId="90" xfId="0" applyNumberFormat="1" applyFont="1" applyBorder="1" applyProtection="1"/>
    <xf numFmtId="3" fontId="19" fillId="0" borderId="141" xfId="0" applyNumberFormat="1" applyFont="1" applyBorder="1" applyProtection="1"/>
    <xf numFmtId="235" fontId="15" fillId="0" borderId="39" xfId="4" applyNumberFormat="1" applyFont="1" applyFill="1" applyBorder="1" applyAlignment="1" applyProtection="1">
      <alignment horizontal="right" vertical="center"/>
    </xf>
    <xf numFmtId="235" fontId="15" fillId="0" borderId="36" xfId="4" applyNumberFormat="1" applyFont="1" applyFill="1" applyBorder="1" applyAlignment="1" applyProtection="1">
      <alignment horizontal="right" vertical="center"/>
    </xf>
    <xf numFmtId="235" fontId="15" fillId="0" borderId="25" xfId="4" applyNumberFormat="1" applyFont="1" applyFill="1" applyBorder="1" applyAlignment="1" applyProtection="1">
      <alignment horizontal="right" vertical="center"/>
    </xf>
    <xf numFmtId="0" fontId="19" fillId="0" borderId="9" xfId="0" applyFont="1" applyBorder="1" applyAlignment="1" applyProtection="1">
      <alignment horizontal="left" vertical="center" indent="2"/>
    </xf>
    <xf numFmtId="0" fontId="19" fillId="0" borderId="6" xfId="0" applyFont="1" applyBorder="1" applyAlignment="1" applyProtection="1">
      <alignment vertical="center"/>
    </xf>
    <xf numFmtId="235" fontId="19" fillId="0" borderId="6" xfId="4" applyNumberFormat="1" applyFont="1" applyFill="1" applyBorder="1" applyAlignment="1" applyProtection="1">
      <alignment vertical="center"/>
    </xf>
    <xf numFmtId="235" fontId="19" fillId="0" borderId="1" xfId="4" applyNumberFormat="1" applyFont="1" applyFill="1" applyBorder="1" applyAlignment="1" applyProtection="1">
      <alignment vertical="center"/>
    </xf>
    <xf numFmtId="0" fontId="27" fillId="0" borderId="144" xfId="0" applyFont="1" applyBorder="1" applyAlignment="1" applyProtection="1">
      <alignment horizontal="centerContinuous" vertical="center" shrinkToFit="1"/>
    </xf>
    <xf numFmtId="9" fontId="19" fillId="0" borderId="26" xfId="6" applyFont="1" applyFill="1" applyBorder="1" applyAlignment="1" applyProtection="1">
      <alignment horizontal="centerContinuous" vertical="center" shrinkToFit="1"/>
    </xf>
    <xf numFmtId="9" fontId="19" fillId="0" borderId="144" xfId="6" applyFont="1" applyFill="1" applyBorder="1" applyAlignment="1" applyProtection="1">
      <alignment horizontal="centerContinuous" vertical="center" shrinkToFit="1"/>
    </xf>
    <xf numFmtId="9" fontId="19" fillId="0" borderId="145" xfId="6" applyFont="1" applyFill="1" applyBorder="1" applyAlignment="1" applyProtection="1">
      <alignment horizontal="centerContinuous" vertical="center" shrinkToFit="1"/>
    </xf>
    <xf numFmtId="9" fontId="19" fillId="0" borderId="40" xfId="6" applyFont="1" applyFill="1" applyBorder="1" applyAlignment="1" applyProtection="1">
      <alignment horizontal="centerContinuous" vertical="center" shrinkToFit="1"/>
    </xf>
    <xf numFmtId="233" fontId="19" fillId="13" borderId="85" xfId="0" applyNumberFormat="1" applyFont="1" applyFill="1" applyBorder="1" applyAlignment="1" applyProtection="1">
      <alignment vertical="center"/>
      <protection locked="0"/>
    </xf>
    <xf numFmtId="233" fontId="19" fillId="0" borderId="43" xfId="0" applyNumberFormat="1" applyFont="1" applyBorder="1" applyAlignment="1" applyProtection="1">
      <alignment vertical="center"/>
    </xf>
    <xf numFmtId="0" fontId="19" fillId="0" borderId="7" xfId="0" applyFont="1" applyBorder="1" applyAlignment="1" applyProtection="1">
      <alignment horizontal="left" vertical="center" indent="1"/>
    </xf>
    <xf numFmtId="233" fontId="19" fillId="0" borderId="70" xfId="0" applyNumberFormat="1" applyFont="1" applyBorder="1" applyAlignment="1" applyProtection="1">
      <alignment vertical="center"/>
    </xf>
    <xf numFmtId="233" fontId="19" fillId="2" borderId="43" xfId="0" applyNumberFormat="1" applyFont="1" applyFill="1" applyBorder="1" applyAlignment="1" applyProtection="1">
      <alignment vertical="center"/>
      <protection locked="0"/>
    </xf>
    <xf numFmtId="233" fontId="19" fillId="0" borderId="85" xfId="0" applyNumberFormat="1" applyFont="1" applyBorder="1" applyAlignment="1" applyProtection="1">
      <alignment vertical="center"/>
    </xf>
    <xf numFmtId="0" fontId="19" fillId="0" borderId="16" xfId="0" applyFont="1" applyBorder="1" applyAlignment="1" applyProtection="1">
      <alignment horizontal="left" vertical="center" indent="1"/>
    </xf>
    <xf numFmtId="233" fontId="19" fillId="0" borderId="44" xfId="0" applyNumberFormat="1" applyFont="1" applyBorder="1" applyAlignment="1" applyProtection="1">
      <alignment vertical="center"/>
    </xf>
    <xf numFmtId="0" fontId="15" fillId="0" borderId="9" xfId="0" applyFont="1" applyBorder="1" applyAlignment="1" applyProtection="1">
      <alignment horizontal="left" vertical="center" indent="1"/>
    </xf>
    <xf numFmtId="211" fontId="15" fillId="0" borderId="11" xfId="4" applyNumberFormat="1" applyFont="1" applyFill="1" applyBorder="1" applyAlignment="1" applyProtection="1">
      <alignment horizontal="right" vertical="center"/>
    </xf>
    <xf numFmtId="0" fontId="19" fillId="0" borderId="56" xfId="0" applyFont="1" applyBorder="1" applyProtection="1"/>
    <xf numFmtId="3" fontId="19" fillId="0" borderId="26" xfId="0" applyNumberFormat="1" applyFont="1" applyBorder="1" applyProtection="1"/>
    <xf numFmtId="0" fontId="19" fillId="0" borderId="26" xfId="0" applyFont="1" applyBorder="1" applyProtection="1"/>
    <xf numFmtId="0" fontId="19" fillId="0" borderId="40" xfId="0" applyFont="1" applyBorder="1" applyProtection="1"/>
    <xf numFmtId="0" fontId="15" fillId="0" borderId="18" xfId="0" applyFont="1" applyBorder="1" applyAlignment="1" applyProtection="1">
      <alignment horizontal="left" vertical="center" indent="1"/>
    </xf>
    <xf numFmtId="9" fontId="19" fillId="0" borderId="68" xfId="6" applyFont="1" applyFill="1" applyBorder="1" applyProtection="1"/>
    <xf numFmtId="0" fontId="32" fillId="0" borderId="22" xfId="0" applyFont="1" applyBorder="1" applyAlignment="1">
      <alignment horizontal="center" vertical="center" wrapText="1"/>
    </xf>
    <xf numFmtId="0" fontId="19" fillId="0" borderId="15" xfId="0" applyFont="1" applyBorder="1" applyAlignment="1" applyProtection="1">
      <alignment horizontal="left" vertical="center" indent="2"/>
      <protection locked="0"/>
    </xf>
    <xf numFmtId="249" fontId="19" fillId="0" borderId="5" xfId="6" applyNumberFormat="1" applyFont="1" applyBorder="1" applyAlignment="1">
      <alignment horizontal="center" vertical="center"/>
    </xf>
    <xf numFmtId="0" fontId="19" fillId="0" borderId="12" xfId="0" applyFont="1" applyBorder="1" applyAlignment="1" applyProtection="1">
      <alignment horizontal="left" vertical="center" indent="2"/>
      <protection locked="0"/>
    </xf>
    <xf numFmtId="249" fontId="19" fillId="0" borderId="24" xfId="6" applyNumberFormat="1" applyFont="1" applyBorder="1" applyAlignment="1">
      <alignment horizontal="center" vertical="center"/>
    </xf>
    <xf numFmtId="249" fontId="19" fillId="0" borderId="4" xfId="6" applyNumberFormat="1" applyFont="1" applyBorder="1" applyAlignment="1">
      <alignment horizontal="center" vertical="center"/>
    </xf>
    <xf numFmtId="0" fontId="19" fillId="0" borderId="38" xfId="0" applyFont="1" applyBorder="1" applyAlignment="1" applyProtection="1">
      <alignment horizontal="left" vertical="center" indent="2"/>
      <protection locked="0"/>
    </xf>
    <xf numFmtId="249" fontId="19" fillId="0" borderId="68" xfId="6" applyNumberFormat="1" applyFont="1" applyBorder="1" applyAlignment="1">
      <alignment horizontal="center" vertical="center"/>
    </xf>
    <xf numFmtId="0" fontId="19" fillId="0" borderId="19" xfId="0" applyFont="1" applyBorder="1" applyAlignment="1" applyProtection="1">
      <alignment horizontal="left" vertical="center" indent="2"/>
    </xf>
    <xf numFmtId="0" fontId="19" fillId="0" borderId="15" xfId="0" applyFont="1" applyBorder="1" applyAlignment="1" applyProtection="1">
      <alignment horizontal="left" vertical="center" indent="2"/>
    </xf>
    <xf numFmtId="9" fontId="19" fillId="0" borderId="68" xfId="6" applyFont="1" applyFill="1" applyBorder="1" applyAlignment="1" applyProtection="1">
      <alignment vertical="center"/>
    </xf>
    <xf numFmtId="0" fontId="15" fillId="0" borderId="11" xfId="0" applyFont="1" applyBorder="1" applyAlignment="1" applyProtection="1">
      <alignment horizontal="left" vertical="center" indent="1"/>
    </xf>
    <xf numFmtId="0" fontId="15" fillId="0" borderId="11" xfId="0" applyFont="1" applyBorder="1" applyAlignment="1" applyProtection="1">
      <alignment horizontal="left" indent="1"/>
    </xf>
    <xf numFmtId="0" fontId="15" fillId="0" borderId="11" xfId="0" applyFont="1" applyBorder="1" applyAlignment="1" applyProtection="1">
      <alignment horizontal="left" vertical="center" indent="3"/>
    </xf>
    <xf numFmtId="190" fontId="15" fillId="0" borderId="11" xfId="4" applyNumberFormat="1" applyFont="1" applyFill="1" applyBorder="1" applyAlignment="1" applyProtection="1">
      <alignment horizontal="right" vertical="center"/>
    </xf>
    <xf numFmtId="9" fontId="19" fillId="0" borderId="57" xfId="6" applyFont="1" applyFill="1" applyBorder="1" applyAlignment="1" applyProtection="1">
      <alignment vertical="center"/>
    </xf>
    <xf numFmtId="9" fontId="19" fillId="0" borderId="64" xfId="6" applyFont="1" applyFill="1" applyBorder="1" applyAlignment="1" applyProtection="1">
      <alignment vertical="center"/>
    </xf>
    <xf numFmtId="9" fontId="19" fillId="0" borderId="90" xfId="6" applyFont="1" applyFill="1" applyBorder="1" applyAlignment="1" applyProtection="1">
      <alignment vertical="center"/>
    </xf>
    <xf numFmtId="0" fontId="25" fillId="0" borderId="56" xfId="0" applyFont="1" applyBorder="1" applyAlignment="1" applyProtection="1">
      <alignment horizontal="centerContinuous" vertical="center" shrinkToFit="1"/>
    </xf>
    <xf numFmtId="0" fontId="24" fillId="0" borderId="11" xfId="0" applyFont="1" applyBorder="1" applyAlignment="1" applyProtection="1">
      <alignment horizontal="center" vertical="center" wrapText="1"/>
    </xf>
    <xf numFmtId="3" fontId="15" fillId="0" borderId="11" xfId="0" applyNumberFormat="1" applyFont="1" applyBorder="1" applyAlignment="1" applyProtection="1">
      <alignment horizontal="center" wrapText="1"/>
    </xf>
    <xf numFmtId="9" fontId="19" fillId="0" borderId="56" xfId="6" applyFont="1" applyFill="1" applyBorder="1" applyProtection="1"/>
    <xf numFmtId="9" fontId="19" fillId="0" borderId="26" xfId="6" applyFont="1" applyFill="1" applyBorder="1" applyProtection="1"/>
    <xf numFmtId="9" fontId="19" fillId="0" borderId="40" xfId="6" applyFont="1" applyFill="1" applyBorder="1" applyProtection="1"/>
    <xf numFmtId="0" fontId="20" fillId="0" borderId="56" xfId="0" applyFont="1" applyBorder="1" applyAlignment="1" applyProtection="1">
      <alignment horizontal="center" vertical="center"/>
    </xf>
    <xf numFmtId="233" fontId="19" fillId="2" borderId="70" xfId="0" applyNumberFormat="1" applyFont="1" applyFill="1" applyBorder="1" applyAlignment="1" applyProtection="1">
      <alignment vertical="center"/>
      <protection locked="0"/>
    </xf>
    <xf numFmtId="0" fontId="15" fillId="0" borderId="9" xfId="0" applyFont="1" applyBorder="1" applyAlignment="1" applyProtection="1">
      <alignment horizontal="left" indent="1"/>
    </xf>
    <xf numFmtId="233" fontId="15" fillId="0" borderId="1" xfId="0" applyNumberFormat="1" applyFont="1" applyBorder="1" applyAlignment="1" applyProtection="1">
      <alignment horizontal="center" wrapText="1"/>
    </xf>
    <xf numFmtId="0" fontId="20" fillId="0" borderId="49" xfId="0" applyFont="1" applyBorder="1" applyAlignment="1" applyProtection="1">
      <alignment horizontal="center" vertical="center"/>
    </xf>
    <xf numFmtId="233" fontId="15" fillId="0" borderId="68" xfId="0" applyNumberFormat="1" applyFont="1" applyBorder="1" applyAlignment="1" applyProtection="1">
      <alignment horizontal="center" wrapText="1"/>
    </xf>
    <xf numFmtId="0" fontId="15" fillId="0" borderId="9" xfId="0" applyFont="1" applyBorder="1" applyAlignment="1" applyProtection="1">
      <alignment horizontal="right" vertical="center" indent="2"/>
    </xf>
    <xf numFmtId="233" fontId="15" fillId="0" borderId="11" xfId="0" applyNumberFormat="1" applyFont="1" applyBorder="1" applyAlignment="1" applyProtection="1">
      <alignment vertical="center"/>
    </xf>
    <xf numFmtId="233" fontId="15" fillId="0" borderId="1" xfId="0" applyNumberFormat="1" applyFont="1" applyBorder="1" applyAlignment="1" applyProtection="1">
      <alignment vertical="center"/>
    </xf>
    <xf numFmtId="3" fontId="15" fillId="0" borderId="17" xfId="0" applyNumberFormat="1" applyFont="1" applyBorder="1" applyAlignment="1" applyProtection="1">
      <alignment horizontal="center" vertical="center" wrapText="1"/>
    </xf>
    <xf numFmtId="3" fontId="15" fillId="0" borderId="90" xfId="0" applyNumberFormat="1" applyFont="1" applyBorder="1" applyAlignment="1" applyProtection="1">
      <alignment horizontal="center" vertical="center" wrapText="1"/>
    </xf>
    <xf numFmtId="0" fontId="25" fillId="0" borderId="9" xfId="0" applyFont="1" applyBorder="1" applyAlignment="1" applyProtection="1">
      <alignment horizontal="centerContinuous" vertical="center" shrinkToFit="1"/>
    </xf>
    <xf numFmtId="0" fontId="25" fillId="0" borderId="6" xfId="0" applyFont="1" applyBorder="1" applyAlignment="1" applyProtection="1">
      <alignment horizontal="centerContinuous" vertical="center" shrinkToFit="1"/>
    </xf>
    <xf numFmtId="0" fontId="27" fillId="0" borderId="76" xfId="0" applyFont="1" applyBorder="1" applyAlignment="1" applyProtection="1">
      <alignment horizontal="centerContinuous" vertical="center" shrinkToFit="1"/>
    </xf>
    <xf numFmtId="9" fontId="19" fillId="0" borderId="6" xfId="6" applyFont="1" applyFill="1" applyBorder="1" applyAlignment="1" applyProtection="1">
      <alignment horizontal="centerContinuous" vertical="center" shrinkToFit="1"/>
    </xf>
    <xf numFmtId="9" fontId="19" fillId="0" borderId="76" xfId="6" applyFont="1" applyFill="1" applyBorder="1" applyAlignment="1" applyProtection="1">
      <alignment horizontal="centerContinuous" vertical="center" shrinkToFit="1"/>
    </xf>
    <xf numFmtId="9" fontId="19" fillId="0" borderId="1" xfId="6" applyFont="1" applyFill="1" applyBorder="1" applyAlignment="1" applyProtection="1">
      <alignment horizontal="centerContinuous" vertical="center" shrinkToFit="1"/>
    </xf>
    <xf numFmtId="0" fontId="45" fillId="0" borderId="56" xfId="0" applyFont="1" applyBorder="1" applyAlignment="1" applyProtection="1">
      <alignment horizontal="centerContinuous" vertical="center" shrinkToFit="1"/>
    </xf>
    <xf numFmtId="3" fontId="19" fillId="0" borderId="26" xfId="0" applyNumberFormat="1" applyFont="1" applyBorder="1" applyAlignment="1" applyProtection="1">
      <alignment horizontal="centerContinuous" shrinkToFit="1"/>
    </xf>
    <xf numFmtId="0" fontId="19" fillId="0" borderId="56" xfId="0" applyFont="1" applyBorder="1" applyAlignment="1" applyProtection="1">
      <alignment horizontal="centerContinuous" vertical="center" shrinkToFit="1"/>
    </xf>
    <xf numFmtId="0" fontId="19" fillId="0" borderId="49" xfId="0" applyFont="1" applyBorder="1" applyAlignment="1" applyProtection="1">
      <alignment horizontal="centerContinuous" vertical="center" shrinkToFit="1"/>
    </xf>
    <xf numFmtId="3" fontId="108" fillId="0" borderId="58" xfId="0" applyNumberFormat="1" applyFont="1" applyBorder="1" applyAlignment="1" applyProtection="1">
      <alignment horizontal="center"/>
      <protection locked="0"/>
    </xf>
    <xf numFmtId="3" fontId="111" fillId="0" borderId="0" xfId="0" applyNumberFormat="1" applyFont="1" applyAlignment="1">
      <alignment horizontal="center"/>
    </xf>
    <xf numFmtId="190" fontId="15" fillId="0" borderId="51" xfId="0" applyNumberFormat="1" applyFont="1" applyBorder="1" applyAlignment="1" applyProtection="1">
      <alignment vertical="center"/>
    </xf>
    <xf numFmtId="200" fontId="21" fillId="0" borderId="7" xfId="0" applyNumberFormat="1" applyFont="1" applyBorder="1" applyProtection="1">
      <protection locked="0"/>
    </xf>
    <xf numFmtId="200" fontId="21" fillId="0" borderId="12" xfId="0" applyNumberFormat="1" applyFont="1" applyBorder="1" applyProtection="1">
      <protection locked="0"/>
    </xf>
    <xf numFmtId="0" fontId="19" fillId="0" borderId="10" xfId="0" applyFont="1" applyBorder="1" applyAlignment="1">
      <alignment horizontal="right"/>
    </xf>
    <xf numFmtId="182" fontId="19" fillId="0" borderId="68" xfId="4" applyNumberFormat="1" applyFont="1" applyBorder="1" applyProtection="1">
      <protection locked="0"/>
    </xf>
    <xf numFmtId="164" fontId="19" fillId="0" borderId="68" xfId="0" applyNumberFormat="1" applyFont="1" applyBorder="1" applyProtection="1">
      <protection locked="0"/>
    </xf>
    <xf numFmtId="0" fontId="110" fillId="0" borderId="0" xfId="0" applyFont="1" applyAlignment="1">
      <alignment horizontal="left" indent="1"/>
    </xf>
    <xf numFmtId="188" fontId="110" fillId="0" borderId="68" xfId="4" applyNumberFormat="1" applyFont="1" applyBorder="1" applyProtection="1">
      <protection locked="0"/>
    </xf>
    <xf numFmtId="183" fontId="19" fillId="0" borderId="68" xfId="4" applyNumberFormat="1" applyFont="1" applyFill="1" applyBorder="1" applyProtection="1">
      <protection locked="0"/>
    </xf>
    <xf numFmtId="169" fontId="19" fillId="0" borderId="68" xfId="4" applyNumberFormat="1" applyFont="1" applyBorder="1" applyProtection="1">
      <protection locked="0"/>
    </xf>
    <xf numFmtId="183" fontId="19" fillId="0" borderId="68" xfId="4" applyNumberFormat="1" applyFont="1" applyBorder="1" applyProtection="1">
      <protection locked="0"/>
    </xf>
    <xf numFmtId="188" fontId="19" fillId="0" borderId="68" xfId="4" applyNumberFormat="1" applyFont="1" applyBorder="1" applyProtection="1">
      <protection locked="0"/>
    </xf>
    <xf numFmtId="164" fontId="19" fillId="11" borderId="68" xfId="0" applyNumberFormat="1" applyFont="1" applyFill="1" applyBorder="1" applyProtection="1"/>
    <xf numFmtId="169" fontId="19" fillId="0" borderId="68" xfId="4" applyNumberFormat="1" applyFont="1" applyFill="1" applyBorder="1" applyProtection="1">
      <protection locked="0"/>
    </xf>
    <xf numFmtId="169" fontId="19" fillId="11" borderId="68" xfId="4" applyNumberFormat="1" applyFont="1" applyFill="1" applyBorder="1"/>
    <xf numFmtId="169" fontId="19" fillId="0" borderId="68" xfId="4" applyNumberFormat="1" applyFont="1" applyBorder="1" applyAlignment="1" applyProtection="1">
      <protection locked="0"/>
    </xf>
    <xf numFmtId="277" fontId="19" fillId="0" borderId="18" xfId="0" applyNumberFormat="1" applyFont="1" applyBorder="1" applyAlignment="1" applyProtection="1">
      <alignment vertical="center"/>
      <protection locked="0"/>
    </xf>
    <xf numFmtId="277" fontId="19" fillId="0" borderId="12" xfId="0" applyNumberFormat="1" applyFont="1" applyBorder="1" applyAlignment="1" applyProtection="1">
      <alignment vertical="center"/>
      <protection locked="0"/>
    </xf>
    <xf numFmtId="277" fontId="19" fillId="0" borderId="18" xfId="0" applyNumberFormat="1" applyFont="1" applyBorder="1" applyAlignment="1" applyProtection="1">
      <alignment vertical="center"/>
    </xf>
    <xf numFmtId="164" fontId="19" fillId="0" borderId="0" xfId="0" applyNumberFormat="1" applyFont="1" applyProtection="1"/>
    <xf numFmtId="278" fontId="19" fillId="0" borderId="12" xfId="0" applyNumberFormat="1" applyFont="1" applyBorder="1" applyAlignment="1" applyProtection="1">
      <alignment vertical="center"/>
      <protection locked="0"/>
    </xf>
    <xf numFmtId="3" fontId="19" fillId="0" borderId="16" xfId="0" applyNumberFormat="1" applyFont="1" applyBorder="1" applyAlignment="1" applyProtection="1">
      <alignment horizontal="left" vertical="center" indent="3"/>
    </xf>
    <xf numFmtId="277" fontId="19" fillId="0" borderId="19" xfId="0" applyNumberFormat="1" applyFont="1" applyBorder="1" applyAlignment="1" applyProtection="1">
      <alignment vertical="center"/>
      <protection locked="0"/>
    </xf>
    <xf numFmtId="3" fontId="19" fillId="0" borderId="9" xfId="0" applyNumberFormat="1" applyFont="1" applyBorder="1" applyAlignment="1" applyProtection="1">
      <alignment horizontal="left" vertical="center" indent="3"/>
    </xf>
    <xf numFmtId="277" fontId="19" fillId="11" borderId="11" xfId="0" applyNumberFormat="1" applyFont="1" applyFill="1" applyBorder="1" applyAlignment="1" applyProtection="1">
      <alignment horizontal="center" vertical="center"/>
      <protection locked="0"/>
    </xf>
    <xf numFmtId="277" fontId="19" fillId="11" borderId="19" xfId="0" applyNumberFormat="1" applyFont="1" applyFill="1" applyBorder="1" applyAlignment="1">
      <alignment vertical="center"/>
    </xf>
    <xf numFmtId="0" fontId="111" fillId="0" borderId="0" xfId="0" applyFont="1" applyAlignment="1">
      <alignment horizontal="center"/>
    </xf>
    <xf numFmtId="3" fontId="108" fillId="0" borderId="0" xfId="0" applyNumberFormat="1" applyFont="1" applyAlignment="1">
      <alignment horizontal="center"/>
    </xf>
    <xf numFmtId="0" fontId="110" fillId="0" borderId="0" xfId="0" applyFont="1"/>
    <xf numFmtId="0" fontId="65" fillId="0" borderId="69" xfId="0" applyFont="1" applyBorder="1" applyAlignment="1" applyProtection="1">
      <alignment horizontal="left" indent="4"/>
      <protection locked="0"/>
    </xf>
    <xf numFmtId="231" fontId="21" fillId="0" borderId="5" xfId="6" applyNumberFormat="1" applyFont="1" applyFill="1" applyBorder="1" applyAlignment="1">
      <alignment horizontal="center"/>
    </xf>
    <xf numFmtId="231" fontId="21" fillId="0" borderId="24" xfId="6" applyNumberFormat="1" applyFont="1" applyFill="1" applyBorder="1" applyAlignment="1">
      <alignment horizontal="center"/>
    </xf>
    <xf numFmtId="10" fontId="21" fillId="0" borderId="4" xfId="6" applyNumberFormat="1" applyFont="1" applyFill="1" applyBorder="1" applyAlignment="1">
      <alignment horizontal="center"/>
    </xf>
    <xf numFmtId="0" fontId="21" fillId="0" borderId="69" xfId="0" applyFont="1" applyBorder="1" applyAlignment="1" applyProtection="1">
      <alignment horizontal="left" indent="3"/>
    </xf>
    <xf numFmtId="0" fontId="65" fillId="0" borderId="69" xfId="0" applyFont="1" applyBorder="1" applyAlignment="1" applyProtection="1">
      <alignment horizontal="left" indent="3"/>
    </xf>
    <xf numFmtId="200" fontId="65" fillId="0" borderId="10" xfId="0" applyNumberFormat="1" applyFont="1" applyBorder="1" applyProtection="1"/>
    <xf numFmtId="206" fontId="65" fillId="0" borderId="24" xfId="0" applyNumberFormat="1" applyFont="1" applyBorder="1" applyAlignment="1" applyProtection="1">
      <alignment horizontal="right"/>
    </xf>
    <xf numFmtId="3" fontId="65" fillId="2" borderId="2" xfId="0" applyNumberFormat="1" applyFont="1" applyFill="1" applyBorder="1" applyAlignment="1" applyProtection="1">
      <alignment horizontal="center"/>
      <protection locked="0"/>
    </xf>
    <xf numFmtId="213" fontId="21" fillId="1" borderId="38" xfId="0" applyNumberFormat="1" applyFont="1" applyFill="1" applyBorder="1" applyAlignment="1" applyProtection="1">
      <alignment horizontal="right"/>
    </xf>
    <xf numFmtId="0" fontId="65" fillId="0" borderId="69" xfId="0" applyFont="1" applyBorder="1" applyAlignment="1" applyProtection="1">
      <alignment horizontal="left" indent="4"/>
    </xf>
    <xf numFmtId="206" fontId="21" fillId="0" borderId="69" xfId="0" applyNumberFormat="1" applyFont="1" applyBorder="1" applyProtection="1"/>
    <xf numFmtId="9" fontId="18" fillId="1" borderId="23" xfId="6" applyFont="1" applyFill="1" applyBorder="1" applyAlignment="1" applyProtection="1">
      <alignment horizontal="right"/>
    </xf>
    <xf numFmtId="0" fontId="21" fillId="0" borderId="8" xfId="0" applyFont="1" applyBorder="1" applyAlignment="1" applyProtection="1">
      <alignment horizontal="left" indent="3"/>
      <protection locked="0"/>
    </xf>
    <xf numFmtId="0" fontId="21" fillId="0" borderId="7" xfId="0" applyFont="1" applyBorder="1" applyAlignment="1" applyProtection="1">
      <alignment horizontal="left" indent="3"/>
      <protection locked="0"/>
    </xf>
    <xf numFmtId="0" fontId="21" fillId="0" borderId="8" xfId="0" applyFont="1" applyBorder="1" applyAlignment="1" applyProtection="1">
      <alignment horizontal="left" indent="2"/>
      <protection locked="0"/>
    </xf>
    <xf numFmtId="0" fontId="21" fillId="0" borderId="7" xfId="0" applyFont="1" applyBorder="1" applyAlignment="1" applyProtection="1">
      <alignment horizontal="left" indent="2"/>
      <protection locked="0"/>
    </xf>
    <xf numFmtId="0" fontId="65" fillId="0" borderId="16" xfId="0" applyFont="1" applyBorder="1" applyAlignment="1" applyProtection="1">
      <alignment horizontal="left" indent="2"/>
      <protection locked="0"/>
    </xf>
    <xf numFmtId="0" fontId="21" fillId="0" borderId="69" xfId="0" applyFont="1" applyBorder="1" applyAlignment="1" applyProtection="1">
      <alignment horizontal="left" indent="3"/>
      <protection locked="0"/>
    </xf>
    <xf numFmtId="3" fontId="39" fillId="0" borderId="10" xfId="0" applyNumberFormat="1" applyFont="1" applyBorder="1" applyAlignment="1" applyProtection="1">
      <alignment horizontal="right" vertical="center"/>
    </xf>
    <xf numFmtId="3" fontId="65" fillId="0" borderId="10" xfId="0" applyNumberFormat="1" applyFont="1" applyBorder="1" applyAlignment="1" applyProtection="1">
      <alignment horizontal="left" vertical="center" indent="1"/>
    </xf>
    <xf numFmtId="0" fontId="39" fillId="0" borderId="19" xfId="0" applyFont="1" applyBorder="1" applyAlignment="1" applyProtection="1">
      <alignment horizontal="left" vertical="center" indent="2"/>
      <protection locked="0"/>
    </xf>
    <xf numFmtId="0" fontId="39" fillId="0" borderId="19" xfId="0" applyFont="1" applyBorder="1" applyAlignment="1" applyProtection="1">
      <alignment horizontal="left" vertical="center" indent="2"/>
    </xf>
    <xf numFmtId="0" fontId="39" fillId="0" borderId="38" xfId="0" applyFont="1" applyBorder="1" applyAlignment="1" applyProtection="1">
      <alignment horizontal="left" vertical="center" indent="2"/>
    </xf>
    <xf numFmtId="0" fontId="39" fillId="0" borderId="12" xfId="0" applyFont="1" applyBorder="1" applyAlignment="1" applyProtection="1">
      <alignment horizontal="left" vertical="center" indent="2"/>
    </xf>
    <xf numFmtId="0" fontId="39" fillId="0" borderId="7" xfId="0" applyFont="1" applyBorder="1" applyAlignment="1" applyProtection="1">
      <alignment horizontal="left" vertical="center" indent="2"/>
    </xf>
    <xf numFmtId="0" fontId="39" fillId="0" borderId="69" xfId="0" applyFont="1" applyBorder="1" applyAlignment="1" applyProtection="1">
      <alignment horizontal="left" vertical="center" indent="2"/>
    </xf>
    <xf numFmtId="0" fontId="39" fillId="0" borderId="16" xfId="0" applyFont="1" applyBorder="1" applyAlignment="1" applyProtection="1">
      <alignment horizontal="left" vertical="center" indent="2"/>
    </xf>
    <xf numFmtId="0" fontId="45" fillId="0" borderId="26" xfId="0" applyFont="1" applyBorder="1" applyAlignment="1" applyProtection="1">
      <alignment horizontal="centerContinuous" vertical="center" shrinkToFit="1"/>
    </xf>
    <xf numFmtId="0" fontId="19" fillId="0" borderId="26" xfId="0" applyFont="1" applyBorder="1" applyAlignment="1" applyProtection="1">
      <alignment horizontal="centerContinuous" vertical="center" shrinkToFit="1"/>
    </xf>
    <xf numFmtId="0" fontId="19" fillId="0" borderId="13" xfId="0" applyFont="1" applyBorder="1" applyAlignment="1" applyProtection="1">
      <alignment horizontal="left" vertical="center" indent="2"/>
    </xf>
    <xf numFmtId="0" fontId="19" fillId="0" borderId="62" xfId="0" applyFont="1" applyBorder="1" applyAlignment="1" applyProtection="1">
      <alignment horizontal="left" vertical="center" indent="2"/>
    </xf>
    <xf numFmtId="0" fontId="19" fillId="0" borderId="6" xfId="0" applyFont="1" applyBorder="1" applyAlignment="1" applyProtection="1">
      <alignment horizontal="left" vertical="center" indent="2"/>
    </xf>
    <xf numFmtId="0" fontId="19" fillId="0" borderId="61" xfId="0" applyFont="1" applyBorder="1" applyAlignment="1" applyProtection="1">
      <alignment horizontal="centerContinuous" vertical="center" shrinkToFit="1"/>
    </xf>
    <xf numFmtId="3" fontId="19" fillId="0" borderId="13" xfId="0" applyNumberFormat="1" applyFont="1" applyBorder="1" applyAlignment="1" applyProtection="1">
      <alignment horizontal="left" vertical="center" indent="1"/>
    </xf>
    <xf numFmtId="0" fontId="19" fillId="0" borderId="67" xfId="0" applyFont="1" applyBorder="1" applyAlignment="1" applyProtection="1">
      <alignment horizontal="left" vertical="center" indent="1"/>
    </xf>
    <xf numFmtId="0" fontId="19" fillId="0" borderId="13" xfId="0" applyFont="1" applyBorder="1" applyAlignment="1" applyProtection="1">
      <alignment horizontal="left" vertical="center" indent="1"/>
    </xf>
    <xf numFmtId="0" fontId="19" fillId="0" borderId="62" xfId="0" applyFont="1" applyBorder="1" applyAlignment="1" applyProtection="1">
      <alignment horizontal="left" vertical="center" indent="1"/>
    </xf>
    <xf numFmtId="0" fontId="15" fillId="0" borderId="6" xfId="0" applyFont="1" applyBorder="1" applyAlignment="1" applyProtection="1">
      <alignment horizontal="left" vertical="center" indent="1"/>
    </xf>
    <xf numFmtId="3" fontId="19" fillId="0" borderId="61" xfId="0" applyNumberFormat="1" applyFont="1" applyBorder="1" applyAlignment="1" applyProtection="1">
      <alignment horizontal="left" vertical="center" indent="4"/>
    </xf>
    <xf numFmtId="3" fontId="19" fillId="0" borderId="13" xfId="0" applyNumberFormat="1" applyFont="1" applyBorder="1" applyAlignment="1" applyProtection="1">
      <alignment horizontal="left" vertical="center" indent="4"/>
    </xf>
    <xf numFmtId="3" fontId="12" fillId="0" borderId="0" xfId="0" applyNumberFormat="1" applyFont="1" applyAlignment="1" applyProtection="1">
      <alignment horizontal="centerContinuous" vertical="center"/>
    </xf>
    <xf numFmtId="3" fontId="19" fillId="0" borderId="62" xfId="0" applyNumberFormat="1" applyFont="1" applyBorder="1" applyAlignment="1" applyProtection="1">
      <alignment horizontal="left" vertical="center" indent="4"/>
    </xf>
    <xf numFmtId="10" fontId="19" fillId="0" borderId="12" xfId="6" applyNumberFormat="1" applyFont="1" applyFill="1" applyBorder="1" applyAlignment="1" applyProtection="1">
      <alignment horizontal="center" vertical="center"/>
    </xf>
    <xf numFmtId="173" fontId="19" fillId="0" borderId="19" xfId="0" applyNumberFormat="1" applyFont="1" applyBorder="1" applyAlignment="1" applyProtection="1">
      <alignment horizontal="center" vertical="center"/>
    </xf>
    <xf numFmtId="3" fontId="112" fillId="0" borderId="0" xfId="0" applyNumberFormat="1" applyFont="1" applyAlignment="1">
      <alignment horizontal="center"/>
    </xf>
    <xf numFmtId="208" fontId="15" fillId="0" borderId="146" xfId="0" applyNumberFormat="1" applyFont="1" applyBorder="1" applyAlignment="1">
      <alignment horizontal="center" vertical="center" wrapText="1"/>
    </xf>
    <xf numFmtId="208" fontId="15" fillId="0" borderId="40" xfId="0" applyNumberFormat="1" applyFont="1" applyBorder="1" applyAlignment="1">
      <alignment horizontal="center" vertical="center" wrapText="1"/>
    </xf>
    <xf numFmtId="188" fontId="19" fillId="0" borderId="68" xfId="4" applyNumberFormat="1" applyFont="1" applyBorder="1" applyProtection="1"/>
    <xf numFmtId="0" fontId="19" fillId="0" borderId="2" xfId="0" applyFont="1" applyBorder="1" applyAlignment="1">
      <alignment horizontal="center" vertical="center"/>
    </xf>
    <xf numFmtId="278" fontId="19" fillId="0" borderId="38" xfId="0" applyNumberFormat="1" applyFont="1" applyBorder="1" applyAlignment="1" applyProtection="1">
      <alignment vertical="center"/>
      <protection locked="0"/>
    </xf>
    <xf numFmtId="277" fontId="19" fillId="0" borderId="12" xfId="0" applyNumberFormat="1" applyFont="1" applyBorder="1" applyAlignment="1" applyProtection="1">
      <alignment vertical="center"/>
    </xf>
    <xf numFmtId="0" fontId="15" fillId="0" borderId="0" xfId="0" applyFont="1" applyAlignment="1">
      <alignment horizontal="left" indent="1"/>
    </xf>
    <xf numFmtId="0" fontId="26" fillId="0" borderId="0" xfId="0" applyFont="1" applyAlignment="1" applyProtection="1">
      <alignment horizontal="center"/>
    </xf>
    <xf numFmtId="0" fontId="34" fillId="0" borderId="0" xfId="0" applyFont="1" applyAlignment="1">
      <alignment horizontal="left" vertical="center" indent="1"/>
    </xf>
    <xf numFmtId="0" fontId="19" fillId="0" borderId="34" xfId="0" applyFont="1" applyBorder="1" applyAlignment="1" applyProtection="1">
      <alignment horizontal="center" vertical="center"/>
    </xf>
    <xf numFmtId="280" fontId="44" fillId="2" borderId="35" xfId="4" applyNumberFormat="1" applyFont="1" applyFill="1" applyBorder="1" applyAlignment="1" applyProtection="1">
      <alignment horizontal="center" vertical="center"/>
      <protection locked="0"/>
    </xf>
    <xf numFmtId="164" fontId="44" fillId="2" borderId="35" xfId="4" applyFont="1" applyFill="1" applyBorder="1" applyAlignment="1" applyProtection="1">
      <alignment horizontal="center" vertical="center"/>
      <protection locked="0"/>
    </xf>
    <xf numFmtId="164" fontId="44" fillId="2" borderId="4" xfId="4" applyFont="1" applyFill="1" applyBorder="1" applyAlignment="1" applyProtection="1">
      <alignment horizontal="center" vertical="center"/>
      <protection locked="0"/>
    </xf>
    <xf numFmtId="2" fontId="21" fillId="0" borderId="0" xfId="0" applyNumberFormat="1" applyFont="1" applyAlignment="1">
      <alignment horizontal="right" vertical="center"/>
    </xf>
    <xf numFmtId="3" fontId="60" fillId="0" borderId="127" xfId="0" applyNumberFormat="1" applyFont="1" applyBorder="1" applyAlignment="1">
      <alignment horizontal="center" vertical="center"/>
    </xf>
    <xf numFmtId="180" fontId="60" fillId="0" borderId="127" xfId="0" applyNumberFormat="1" applyFont="1" applyBorder="1" applyAlignment="1">
      <alignment horizontal="center" vertical="center"/>
    </xf>
    <xf numFmtId="2" fontId="54" fillId="0" borderId="0" xfId="0" quotePrefix="1" applyNumberFormat="1" applyFont="1" applyAlignment="1">
      <alignment horizontal="right" vertical="center"/>
    </xf>
    <xf numFmtId="2" fontId="60" fillId="0" borderId="0" xfId="0" applyNumberFormat="1" applyFont="1" applyAlignment="1">
      <alignment horizontal="center" vertical="center"/>
    </xf>
    <xf numFmtId="0" fontId="60" fillId="0" borderId="127" xfId="0" applyFont="1" applyBorder="1" applyAlignment="1">
      <alignment horizontal="center" vertical="center"/>
    </xf>
    <xf numFmtId="273" fontId="60" fillId="0" borderId="127" xfId="0" applyNumberFormat="1" applyFont="1" applyBorder="1" applyAlignment="1">
      <alignment horizontal="center" vertical="center"/>
    </xf>
    <xf numFmtId="255" fontId="19" fillId="0" borderId="0" xfId="0" applyNumberFormat="1" applyFont="1"/>
    <xf numFmtId="253" fontId="60" fillId="0" borderId="127" xfId="6" applyNumberFormat="1" applyFont="1" applyFill="1" applyBorder="1" applyAlignment="1">
      <alignment horizontal="center" vertical="center"/>
    </xf>
    <xf numFmtId="274" fontId="60" fillId="0" borderId="127" xfId="0" applyNumberFormat="1" applyFont="1" applyBorder="1" applyAlignment="1">
      <alignment horizontal="center" vertical="center"/>
    </xf>
    <xf numFmtId="272" fontId="2" fillId="0" borderId="0" xfId="5" applyNumberFormat="1"/>
    <xf numFmtId="0" fontId="15" fillId="0" borderId="9" xfId="0" applyFont="1" applyBorder="1" applyAlignment="1">
      <alignment horizontal="centerContinuous"/>
    </xf>
    <xf numFmtId="3" fontId="19" fillId="0" borderId="23" xfId="0" applyNumberFormat="1" applyFont="1" applyBorder="1" applyAlignment="1" applyProtection="1">
      <alignment horizontal="left" vertical="center" indent="3"/>
    </xf>
    <xf numFmtId="3" fontId="19" fillId="0" borderId="34" xfId="0" applyNumberFormat="1" applyFont="1" applyBorder="1" applyAlignment="1" applyProtection="1">
      <alignment horizontal="left" vertical="center" indent="3"/>
    </xf>
    <xf numFmtId="3" fontId="19" fillId="0" borderId="20" xfId="0" applyNumberFormat="1" applyFont="1" applyBorder="1" applyAlignment="1" applyProtection="1">
      <alignment horizontal="left" vertical="center" indent="3"/>
    </xf>
    <xf numFmtId="281" fontId="19" fillId="0" borderId="11" xfId="0" applyNumberFormat="1" applyFont="1" applyBorder="1" applyAlignment="1" applyProtection="1">
      <alignment vertical="center"/>
      <protection locked="0"/>
    </xf>
    <xf numFmtId="0" fontId="19" fillId="0" borderId="11" xfId="0" applyFont="1" applyBorder="1" applyAlignment="1">
      <alignment horizontal="left" indent="3"/>
    </xf>
    <xf numFmtId="277" fontId="19" fillId="0" borderId="42" xfId="0" applyNumberFormat="1" applyFont="1" applyBorder="1" applyAlignment="1" applyProtection="1">
      <alignment vertical="center"/>
      <protection locked="0"/>
    </xf>
    <xf numFmtId="277" fontId="19" fillId="0" borderId="42" xfId="0" applyNumberFormat="1" applyFont="1" applyBorder="1" applyAlignment="1" applyProtection="1">
      <alignment vertical="center"/>
    </xf>
    <xf numFmtId="278" fontId="19" fillId="0" borderId="43" xfId="0" applyNumberFormat="1" applyFont="1" applyBorder="1" applyAlignment="1" applyProtection="1">
      <alignment vertical="center"/>
      <protection locked="0"/>
    </xf>
    <xf numFmtId="277" fontId="19" fillId="0" borderId="44" xfId="0" applyNumberFormat="1" applyFont="1" applyBorder="1" applyAlignment="1" applyProtection="1">
      <alignment vertical="center"/>
      <protection locked="0"/>
    </xf>
    <xf numFmtId="3" fontId="19" fillId="0" borderId="37" xfId="0" applyNumberFormat="1" applyFont="1" applyBorder="1" applyAlignment="1" applyProtection="1">
      <alignment horizontal="left" vertical="center" indent="3"/>
    </xf>
    <xf numFmtId="0" fontId="19" fillId="0" borderId="36" xfId="0" applyFont="1" applyBorder="1"/>
    <xf numFmtId="277" fontId="19" fillId="0" borderId="1" xfId="0" applyNumberFormat="1" applyFont="1" applyBorder="1" applyAlignment="1" applyProtection="1">
      <alignment vertical="center"/>
      <protection locked="0"/>
    </xf>
    <xf numFmtId="0" fontId="19" fillId="0" borderId="61" xfId="0" applyFont="1" applyBorder="1"/>
    <xf numFmtId="0" fontId="19" fillId="0" borderId="62" xfId="0" applyFont="1" applyBorder="1"/>
    <xf numFmtId="3" fontId="47" fillId="0" borderId="10" xfId="0" applyNumberFormat="1" applyFont="1" applyBorder="1" applyAlignment="1" applyProtection="1">
      <alignment horizontal="centerContinuous" vertical="center"/>
    </xf>
    <xf numFmtId="0" fontId="47" fillId="0" borderId="0" xfId="0" applyFont="1" applyAlignment="1">
      <alignment horizontal="centerContinuous"/>
    </xf>
    <xf numFmtId="0" fontId="47" fillId="0" borderId="68" xfId="0" applyFont="1" applyBorder="1" applyAlignment="1">
      <alignment horizontal="centerContinuous"/>
    </xf>
    <xf numFmtId="0" fontId="19" fillId="0" borderId="24" xfId="0" applyFont="1" applyBorder="1" applyAlignment="1" applyProtection="1">
      <alignment horizontal="center" vertical="center"/>
      <protection locked="0"/>
    </xf>
    <xf numFmtId="0" fontId="19" fillId="0" borderId="34" xfId="0" applyFont="1" applyBorder="1" applyAlignment="1">
      <alignment horizontal="left" vertical="center" indent="2"/>
    </xf>
    <xf numFmtId="0" fontId="19" fillId="0" borderId="35" xfId="0" applyFont="1" applyBorder="1" applyAlignment="1">
      <alignment horizontal="center" vertical="center"/>
    </xf>
    <xf numFmtId="0" fontId="19" fillId="0" borderId="4" xfId="0" applyFont="1" applyBorder="1" applyAlignment="1" applyProtection="1">
      <alignment horizontal="center" vertical="center"/>
      <protection locked="0"/>
    </xf>
    <xf numFmtId="164" fontId="19" fillId="0" borderId="22" xfId="0" applyNumberFormat="1" applyFont="1" applyBorder="1" applyProtection="1">
      <protection locked="0"/>
    </xf>
    <xf numFmtId="164" fontId="19" fillId="0" borderId="24" xfId="0" applyNumberFormat="1" applyFont="1" applyBorder="1" applyProtection="1">
      <protection locked="0"/>
    </xf>
    <xf numFmtId="279" fontId="19" fillId="0" borderId="24" xfId="0" applyNumberFormat="1" applyFont="1" applyBorder="1" applyProtection="1"/>
    <xf numFmtId="279" fontId="19" fillId="0" borderId="4" xfId="0" applyNumberFormat="1" applyFont="1" applyBorder="1" applyProtection="1"/>
    <xf numFmtId="0" fontId="19" fillId="0" borderId="71" xfId="0" applyFont="1" applyBorder="1"/>
    <xf numFmtId="0" fontId="19" fillId="0" borderId="50" xfId="0" applyFont="1" applyBorder="1"/>
    <xf numFmtId="0" fontId="19" fillId="0" borderId="60" xfId="0" applyFont="1" applyBorder="1"/>
    <xf numFmtId="9" fontId="19" fillId="0" borderId="35" xfId="6" applyFont="1" applyBorder="1" applyAlignment="1" applyProtection="1">
      <alignment horizontal="center" vertical="center"/>
    </xf>
    <xf numFmtId="9" fontId="19" fillId="0" borderId="2" xfId="6" applyFont="1" applyFill="1" applyBorder="1" applyAlignment="1" applyProtection="1">
      <alignment horizontal="center" vertical="center"/>
    </xf>
    <xf numFmtId="188" fontId="19" fillId="0" borderId="68" xfId="4" applyNumberFormat="1" applyFont="1" applyFill="1" applyBorder="1" applyProtection="1">
      <protection locked="0"/>
    </xf>
    <xf numFmtId="0" fontId="113" fillId="0" borderId="0" xfId="0" applyFont="1" applyAlignment="1">
      <alignment horizontal="center"/>
    </xf>
    <xf numFmtId="200" fontId="65" fillId="2" borderId="69" xfId="0" applyNumberFormat="1" applyFont="1" applyFill="1" applyBorder="1" applyProtection="1"/>
    <xf numFmtId="200" fontId="65" fillId="0" borderId="19" xfId="0" applyNumberFormat="1" applyFont="1" applyBorder="1" applyProtection="1"/>
    <xf numFmtId="200" fontId="39" fillId="0" borderId="12" xfId="0" applyNumberFormat="1" applyFont="1" applyBorder="1" applyAlignment="1" applyProtection="1">
      <alignment vertical="center"/>
    </xf>
    <xf numFmtId="200" fontId="39" fillId="0" borderId="38" xfId="0" applyNumberFormat="1" applyFont="1" applyBorder="1" applyAlignment="1" applyProtection="1">
      <alignment vertical="center"/>
    </xf>
    <xf numFmtId="200" fontId="39" fillId="0" borderId="19" xfId="0" applyNumberFormat="1" applyFont="1" applyBorder="1" applyAlignment="1" applyProtection="1">
      <alignment vertical="center"/>
    </xf>
    <xf numFmtId="233" fontId="39" fillId="0" borderId="19" xfId="0" applyNumberFormat="1" applyFont="1" applyBorder="1" applyAlignment="1" applyProtection="1">
      <alignment vertical="center"/>
    </xf>
    <xf numFmtId="238" fontId="29" fillId="0" borderId="0" xfId="4" applyNumberFormat="1" applyFont="1" applyFill="1" applyBorder="1" applyAlignment="1" applyProtection="1">
      <alignment vertical="center"/>
    </xf>
    <xf numFmtId="3" fontId="19" fillId="0" borderId="10" xfId="0" applyNumberFormat="1" applyFont="1" applyBorder="1" applyAlignment="1" applyProtection="1">
      <alignment horizontal="center"/>
    </xf>
    <xf numFmtId="2" fontId="18" fillId="0" borderId="84" xfId="0" applyNumberFormat="1" applyFont="1" applyBorder="1" applyAlignment="1">
      <alignment horizontal="center"/>
    </xf>
    <xf numFmtId="0" fontId="113" fillId="0" borderId="0" xfId="0" applyFont="1" applyAlignment="1">
      <alignment horizontal="left" indent="2"/>
    </xf>
    <xf numFmtId="200" fontId="21" fillId="0" borderId="10" xfId="0" applyNumberFormat="1" applyFont="1" applyBorder="1" applyProtection="1">
      <protection locked="0"/>
    </xf>
    <xf numFmtId="200" fontId="21" fillId="0" borderId="16" xfId="0" applyNumberFormat="1" applyFont="1" applyBorder="1"/>
    <xf numFmtId="200" fontId="21" fillId="0" borderId="19" xfId="0" applyNumberFormat="1" applyFont="1" applyBorder="1"/>
    <xf numFmtId="233" fontId="19" fillId="15" borderId="12" xfId="0" applyNumberFormat="1" applyFont="1" applyFill="1" applyBorder="1" applyAlignment="1" applyProtection="1">
      <alignment vertical="center"/>
      <protection locked="0"/>
    </xf>
    <xf numFmtId="233" fontId="19" fillId="15" borderId="38" xfId="0" applyNumberFormat="1" applyFont="1" applyFill="1" applyBorder="1" applyAlignment="1" applyProtection="1">
      <alignment vertical="center"/>
      <protection locked="0"/>
    </xf>
    <xf numFmtId="233" fontId="19" fillId="15" borderId="70" xfId="0" applyNumberFormat="1" applyFont="1" applyFill="1" applyBorder="1" applyAlignment="1" applyProtection="1">
      <alignment vertical="center"/>
      <protection locked="0"/>
    </xf>
    <xf numFmtId="200" fontId="19" fillId="15" borderId="15" xfId="0" applyNumberFormat="1" applyFont="1" applyFill="1" applyBorder="1" applyAlignment="1" applyProtection="1">
      <alignment vertical="center"/>
      <protection locked="0"/>
    </xf>
    <xf numFmtId="200" fontId="19" fillId="15" borderId="12" xfId="0" applyNumberFormat="1" applyFont="1" applyFill="1" applyBorder="1" applyAlignment="1" applyProtection="1">
      <alignment vertical="center"/>
      <protection locked="0"/>
    </xf>
    <xf numFmtId="206" fontId="19" fillId="15" borderId="8" xfId="0" applyNumberFormat="1" applyFont="1" applyFill="1" applyBorder="1" applyAlignment="1" applyProtection="1">
      <alignment vertical="center"/>
      <protection locked="0"/>
    </xf>
    <xf numFmtId="206" fontId="19" fillId="15" borderId="7" xfId="0" applyNumberFormat="1" applyFont="1" applyFill="1" applyBorder="1" applyAlignment="1" applyProtection="1">
      <alignment vertical="center"/>
      <protection locked="0"/>
    </xf>
    <xf numFmtId="206" fontId="19" fillId="15" borderId="16" xfId="0" applyNumberFormat="1" applyFont="1" applyFill="1" applyBorder="1" applyAlignment="1" applyProtection="1">
      <alignment vertical="center"/>
      <protection locked="0"/>
    </xf>
    <xf numFmtId="264" fontId="15" fillId="15" borderId="15" xfId="6" applyNumberFormat="1" applyFont="1" applyFill="1" applyBorder="1" applyAlignment="1" applyProtection="1">
      <alignment horizontal="center" vertical="center"/>
      <protection locked="0"/>
    </xf>
    <xf numFmtId="264" fontId="15" fillId="15" borderId="12" xfId="6" applyNumberFormat="1" applyFont="1" applyFill="1" applyBorder="1" applyAlignment="1" applyProtection="1">
      <alignment horizontal="center" vertical="center"/>
      <protection locked="0"/>
    </xf>
    <xf numFmtId="264" fontId="15" fillId="15" borderId="19" xfId="6" applyNumberFormat="1" applyFont="1" applyFill="1" applyBorder="1" applyAlignment="1" applyProtection="1">
      <alignment horizontal="center" vertical="center"/>
      <protection locked="0"/>
    </xf>
    <xf numFmtId="213" fontId="21" fillId="15" borderId="8" xfId="0" applyNumberFormat="1" applyFont="1" applyFill="1" applyBorder="1" applyProtection="1">
      <protection locked="0"/>
    </xf>
    <xf numFmtId="213" fontId="21" fillId="15" borderId="15" xfId="0" applyNumberFormat="1" applyFont="1" applyFill="1" applyBorder="1" applyProtection="1">
      <protection locked="0"/>
    </xf>
    <xf numFmtId="206" fontId="21" fillId="15" borderId="8" xfId="0" applyNumberFormat="1" applyFont="1" applyFill="1" applyBorder="1" applyProtection="1">
      <protection locked="0"/>
    </xf>
    <xf numFmtId="206" fontId="21" fillId="15" borderId="15" xfId="0" applyNumberFormat="1" applyFont="1" applyFill="1" applyBorder="1" applyProtection="1">
      <protection locked="0"/>
    </xf>
    <xf numFmtId="206" fontId="21" fillId="15" borderId="7" xfId="0" applyNumberFormat="1" applyFont="1" applyFill="1" applyBorder="1" applyProtection="1">
      <protection locked="0"/>
    </xf>
    <xf numFmtId="206" fontId="21" fillId="15" borderId="12" xfId="0" applyNumberFormat="1" applyFont="1" applyFill="1" applyBorder="1" applyProtection="1">
      <protection locked="0"/>
    </xf>
    <xf numFmtId="206" fontId="21" fillId="15" borderId="69" xfId="0" applyNumberFormat="1" applyFont="1" applyFill="1" applyBorder="1" applyProtection="1">
      <protection locked="0"/>
    </xf>
    <xf numFmtId="206" fontId="21" fillId="15" borderId="38" xfId="0" applyNumberFormat="1" applyFont="1" applyFill="1" applyBorder="1" applyProtection="1">
      <protection locked="0"/>
    </xf>
    <xf numFmtId="200" fontId="21" fillId="15" borderId="12" xfId="0" applyNumberFormat="1" applyFont="1" applyFill="1" applyBorder="1" applyProtection="1">
      <protection locked="0"/>
    </xf>
    <xf numFmtId="233" fontId="19" fillId="0" borderId="12" xfId="0" applyNumberFormat="1" applyFont="1" applyBorder="1" applyAlignment="1" applyProtection="1">
      <alignment horizontal="center" vertical="center"/>
    </xf>
    <xf numFmtId="164" fontId="19" fillId="0" borderId="15" xfId="4" applyFont="1" applyFill="1" applyBorder="1" applyAlignment="1" applyProtection="1">
      <alignment vertical="center"/>
    </xf>
    <xf numFmtId="10" fontId="19" fillId="0" borderId="12" xfId="0" applyNumberFormat="1" applyFont="1" applyBorder="1" applyAlignment="1" applyProtection="1">
      <alignment horizontal="center" vertical="center"/>
    </xf>
    <xf numFmtId="164" fontId="19" fillId="0" borderId="12" xfId="4" applyFont="1" applyFill="1" applyBorder="1" applyAlignment="1" applyProtection="1">
      <alignment vertical="center"/>
    </xf>
    <xf numFmtId="3" fontId="19" fillId="0" borderId="12" xfId="0" applyNumberFormat="1" applyFont="1" applyBorder="1" applyAlignment="1" applyProtection="1">
      <alignment horizontal="center" vertical="center"/>
    </xf>
    <xf numFmtId="3" fontId="110" fillId="0" borderId="0" xfId="0" applyNumberFormat="1" applyFont="1" applyAlignment="1" applyProtection="1">
      <alignment horizontal="right"/>
    </xf>
    <xf numFmtId="0" fontId="114" fillId="0" borderId="0" xfId="0" applyFont="1" applyAlignment="1" applyProtection="1">
      <alignment horizontal="right"/>
    </xf>
    <xf numFmtId="219" fontId="20" fillId="0" borderId="34" xfId="0" applyNumberFormat="1" applyFont="1" applyBorder="1" applyAlignment="1" applyProtection="1">
      <alignment horizontal="right" vertical="center"/>
    </xf>
    <xf numFmtId="0" fontId="115" fillId="0" borderId="0" xfId="0" quotePrefix="1" applyFont="1"/>
    <xf numFmtId="233" fontId="19" fillId="15" borderId="43" xfId="0" applyNumberFormat="1" applyFont="1" applyFill="1" applyBorder="1" applyAlignment="1" applyProtection="1">
      <alignment vertical="center"/>
      <protection locked="0"/>
    </xf>
    <xf numFmtId="0" fontId="39" fillId="0" borderId="0" xfId="0" applyFont="1"/>
    <xf numFmtId="0" fontId="15" fillId="0" borderId="49" xfId="0" applyFont="1" applyBorder="1" applyAlignment="1">
      <alignment horizontal="center" vertical="center"/>
    </xf>
    <xf numFmtId="0" fontId="15" fillId="0" borderId="21" xfId="0" applyFont="1" applyBorder="1" applyAlignment="1">
      <alignment horizontal="center" vertical="center"/>
    </xf>
    <xf numFmtId="0" fontId="19" fillId="0" borderId="1" xfId="0" applyFont="1" applyBorder="1" applyAlignment="1">
      <alignment horizontal="right" vertical="center" indent="1"/>
    </xf>
    <xf numFmtId="3" fontId="110" fillId="0" borderId="0" xfId="0" applyNumberFormat="1" applyFont="1" applyAlignment="1">
      <alignment horizontal="center"/>
    </xf>
    <xf numFmtId="0" fontId="116" fillId="0" borderId="0" xfId="0" applyFont="1" applyAlignment="1">
      <alignment horizontal="center"/>
    </xf>
    <xf numFmtId="0" fontId="32" fillId="0" borderId="18" xfId="0" applyFont="1" applyBorder="1" applyAlignment="1">
      <alignment horizontal="center" vertical="center" wrapText="1"/>
    </xf>
    <xf numFmtId="0" fontId="32" fillId="0" borderId="21" xfId="0" applyFont="1" applyBorder="1" applyAlignment="1">
      <alignment horizontal="center" vertical="center" wrapText="1"/>
    </xf>
    <xf numFmtId="0" fontId="22" fillId="0" borderId="22" xfId="0" applyFont="1" applyBorder="1" applyAlignment="1" applyProtection="1">
      <alignment horizontal="center" vertical="center" wrapText="1"/>
    </xf>
    <xf numFmtId="0" fontId="32" fillId="0" borderId="18" xfId="0" applyFont="1" applyBorder="1" applyAlignment="1" applyProtection="1">
      <alignment horizontal="center" vertical="center" wrapText="1"/>
    </xf>
    <xf numFmtId="0" fontId="32" fillId="0" borderId="10" xfId="0" applyFont="1" applyBorder="1" applyAlignment="1">
      <alignment horizontal="center" vertical="center" wrapText="1"/>
    </xf>
    <xf numFmtId="0" fontId="32" fillId="0" borderId="49" xfId="0" applyFont="1" applyBorder="1" applyAlignment="1">
      <alignment horizontal="center" vertical="center" shrinkToFit="1"/>
    </xf>
    <xf numFmtId="0" fontId="117" fillId="0" borderId="0" xfId="0" applyFont="1" applyProtection="1"/>
    <xf numFmtId="0" fontId="15" fillId="0" borderId="9" xfId="0" applyFont="1" applyBorder="1" applyAlignment="1">
      <alignment horizontal="right" indent="1"/>
    </xf>
    <xf numFmtId="0" fontId="19" fillId="0" borderId="147" xfId="0" applyFont="1" applyBorder="1" applyAlignment="1">
      <alignment horizontal="center" vertical="center"/>
    </xf>
    <xf numFmtId="0" fontId="19" fillId="0" borderId="146" xfId="0" applyFont="1" applyBorder="1" applyAlignment="1">
      <alignment horizontal="center" vertical="center"/>
    </xf>
    <xf numFmtId="0" fontId="19" fillId="0" borderId="28" xfId="0" applyFont="1" applyBorder="1" applyAlignment="1">
      <alignment horizontal="center" vertical="center"/>
    </xf>
    <xf numFmtId="0" fontId="19" fillId="0" borderId="148" xfId="0" applyFont="1" applyBorder="1" applyAlignment="1">
      <alignment horizontal="center" vertical="center"/>
    </xf>
    <xf numFmtId="0" fontId="20" fillId="0" borderId="6" xfId="0" applyFont="1" applyBorder="1" applyAlignment="1">
      <alignment horizontal="right" vertical="center" indent="1"/>
    </xf>
    <xf numFmtId="0" fontId="20" fillId="0" borderId="61" xfId="0" applyFont="1" applyBorder="1" applyAlignment="1">
      <alignment horizontal="right" vertical="center" indent="1"/>
    </xf>
    <xf numFmtId="0" fontId="18" fillId="0" borderId="149" xfId="0" applyFont="1" applyBorder="1" applyAlignment="1">
      <alignment horizontal="right" vertical="center" indent="1"/>
    </xf>
    <xf numFmtId="0" fontId="36" fillId="0" borderId="27" xfId="0" applyFont="1" applyBorder="1" applyAlignment="1">
      <alignment horizontal="center" vertical="center"/>
    </xf>
    <xf numFmtId="3" fontId="20" fillId="0" borderId="11" xfId="0" applyNumberFormat="1" applyFont="1" applyBorder="1" applyAlignment="1" applyProtection="1">
      <alignment horizontal="right" indent="1"/>
    </xf>
    <xf numFmtId="3" fontId="20" fillId="0" borderId="11" xfId="0" applyNumberFormat="1" applyFont="1" applyBorder="1" applyAlignment="1" applyProtection="1">
      <alignment horizontal="right" indent="2"/>
    </xf>
    <xf numFmtId="0" fontId="20" fillId="0" borderId="11" xfId="0" applyFont="1" applyBorder="1" applyAlignment="1">
      <alignment horizontal="right" indent="1"/>
    </xf>
    <xf numFmtId="3" fontId="18" fillId="0" borderId="56" xfId="0" applyNumberFormat="1" applyFont="1" applyBorder="1"/>
    <xf numFmtId="3" fontId="18" fillId="0" borderId="66" xfId="0" applyNumberFormat="1" applyFont="1" applyBorder="1" applyAlignment="1">
      <alignment horizontal="center"/>
    </xf>
    <xf numFmtId="3" fontId="36" fillId="0" borderId="49" xfId="0" applyNumberFormat="1" applyFont="1" applyBorder="1" applyAlignment="1">
      <alignment horizontal="left" indent="1"/>
    </xf>
    <xf numFmtId="0" fontId="19" fillId="0" borderId="41" xfId="0" applyFont="1" applyBorder="1"/>
    <xf numFmtId="3" fontId="36" fillId="0" borderId="7" xfId="0" applyNumberFormat="1" applyFont="1" applyBorder="1" applyAlignment="1">
      <alignment horizontal="left" indent="1"/>
    </xf>
    <xf numFmtId="0" fontId="19" fillId="0" borderId="51" xfId="0" applyFont="1" applyBorder="1"/>
    <xf numFmtId="3" fontId="36" fillId="0" borderId="16" xfId="0" applyNumberFormat="1" applyFont="1" applyBorder="1" applyAlignment="1">
      <alignment horizontal="left" indent="1"/>
    </xf>
    <xf numFmtId="3" fontId="18" fillId="0" borderId="63" xfId="0" applyNumberFormat="1" applyFont="1" applyBorder="1"/>
    <xf numFmtId="0" fontId="19" fillId="0" borderId="63" xfId="0" applyFont="1" applyBorder="1"/>
    <xf numFmtId="0" fontId="36" fillId="0" borderId="9" xfId="0" applyFont="1" applyBorder="1" applyAlignment="1">
      <alignment horizontal="centerContinuous"/>
    </xf>
    <xf numFmtId="0" fontId="19" fillId="0" borderId="39" xfId="0" applyFont="1" applyBorder="1" applyAlignment="1">
      <alignment horizontal="centerContinuous"/>
    </xf>
    <xf numFmtId="0" fontId="36" fillId="0" borderId="8" xfId="0" applyFont="1" applyBorder="1" applyAlignment="1">
      <alignment horizontal="left" indent="1"/>
    </xf>
    <xf numFmtId="0" fontId="19" fillId="0" borderId="54" xfId="0" applyFont="1" applyBorder="1"/>
    <xf numFmtId="3" fontId="36" fillId="0" borderId="49" xfId="0" applyNumberFormat="1" applyFont="1" applyBorder="1" applyAlignment="1">
      <alignment horizontal="left" indent="3"/>
    </xf>
    <xf numFmtId="3" fontId="18" fillId="0" borderId="61" xfId="0" applyNumberFormat="1" applyFont="1" applyBorder="1" applyAlignment="1">
      <alignment horizontal="center"/>
    </xf>
    <xf numFmtId="3" fontId="20" fillId="0" borderId="9" xfId="0" applyNumberFormat="1" applyFont="1" applyBorder="1"/>
    <xf numFmtId="3" fontId="20" fillId="0" borderId="76" xfId="0" applyNumberFormat="1" applyFont="1" applyBorder="1" applyAlignment="1">
      <alignment horizontal="right"/>
    </xf>
    <xf numFmtId="3" fontId="20" fillId="0" borderId="39" xfId="0" applyNumberFormat="1" applyFont="1" applyBorder="1" applyAlignment="1">
      <alignment horizontal="right" indent="1"/>
    </xf>
    <xf numFmtId="0" fontId="12" fillId="0" borderId="57" xfId="0" applyFont="1" applyBorder="1" applyAlignment="1" applyProtection="1">
      <alignment horizontal="right" vertical="center" indent="1"/>
    </xf>
    <xf numFmtId="9" fontId="20" fillId="0" borderId="57" xfId="6" applyFont="1" applyFill="1" applyBorder="1" applyAlignment="1" applyProtection="1">
      <alignment horizontal="right" vertical="center" indent="1"/>
    </xf>
    <xf numFmtId="0" fontId="37" fillId="0" borderId="56" xfId="0" applyFont="1" applyBorder="1" applyAlignment="1">
      <alignment horizontal="left" indent="1"/>
    </xf>
    <xf numFmtId="3" fontId="65" fillId="0" borderId="7" xfId="0" applyNumberFormat="1" applyFont="1" applyBorder="1" applyAlignment="1" applyProtection="1">
      <alignment horizontal="left" indent="1"/>
    </xf>
    <xf numFmtId="0" fontId="37" fillId="0" borderId="57" xfId="0" applyFont="1" applyBorder="1" applyAlignment="1">
      <alignment horizontal="left" indent="1"/>
    </xf>
    <xf numFmtId="3" fontId="20" fillId="0" borderId="56" xfId="0" applyNumberFormat="1" applyFont="1" applyBorder="1" applyAlignment="1" applyProtection="1">
      <alignment horizontal="center" vertical="center"/>
    </xf>
    <xf numFmtId="0" fontId="20" fillId="0" borderId="26" xfId="0" applyFont="1" applyBorder="1" applyAlignment="1">
      <alignment horizontal="right" vertical="center" indent="1"/>
    </xf>
    <xf numFmtId="0" fontId="19" fillId="0" borderId="62" xfId="0" applyFont="1" applyBorder="1" applyAlignment="1">
      <alignment horizontal="right" vertical="center" indent="1"/>
    </xf>
    <xf numFmtId="0" fontId="20" fillId="0" borderId="62" xfId="0" applyFont="1" applyBorder="1" applyAlignment="1">
      <alignment horizontal="right" vertical="center" indent="1"/>
    </xf>
    <xf numFmtId="0" fontId="15" fillId="0" borderId="6" xfId="0" applyFont="1" applyBorder="1" applyAlignment="1">
      <alignment horizontal="right" indent="1"/>
    </xf>
    <xf numFmtId="0" fontId="15" fillId="0" borderId="61" xfId="0" applyFont="1" applyBorder="1" applyAlignment="1">
      <alignment horizontal="right" vertical="center" indent="1"/>
    </xf>
    <xf numFmtId="0" fontId="19" fillId="0" borderId="64" xfId="0" applyFont="1" applyBorder="1" applyAlignment="1">
      <alignment horizontal="right" vertical="center" indent="1"/>
    </xf>
    <xf numFmtId="206" fontId="21" fillId="0" borderId="20" xfId="0" applyNumberFormat="1" applyFont="1" applyBorder="1" applyAlignment="1">
      <alignment vertical="center"/>
    </xf>
    <xf numFmtId="217" fontId="21" fillId="0" borderId="71" xfId="6" applyNumberFormat="1" applyFont="1" applyBorder="1" applyAlignment="1">
      <alignment vertical="center"/>
    </xf>
    <xf numFmtId="201" fontId="21" fillId="0" borderId="71" xfId="6" applyNumberFormat="1" applyFont="1" applyBorder="1" applyAlignment="1">
      <alignment vertical="center"/>
    </xf>
    <xf numFmtId="217" fontId="21" fillId="0" borderId="18" xfId="6" applyNumberFormat="1" applyFont="1" applyBorder="1" applyAlignment="1">
      <alignment vertical="center"/>
    </xf>
    <xf numFmtId="206" fontId="21" fillId="0" borderId="23" xfId="0" applyNumberFormat="1" applyFont="1" applyBorder="1" applyAlignment="1">
      <alignment vertical="center"/>
    </xf>
    <xf numFmtId="217" fontId="21" fillId="0" borderId="50" xfId="6" applyNumberFormat="1" applyFont="1" applyBorder="1" applyAlignment="1">
      <alignment vertical="center"/>
    </xf>
    <xf numFmtId="201" fontId="21" fillId="0" borderId="50" xfId="6" applyNumberFormat="1" applyFont="1" applyBorder="1" applyAlignment="1">
      <alignment vertical="center"/>
    </xf>
    <xf numFmtId="217" fontId="21" fillId="0" borderId="12" xfId="6" applyNumberFormat="1" applyFont="1" applyBorder="1" applyAlignment="1">
      <alignment vertical="center"/>
    </xf>
    <xf numFmtId="206" fontId="21" fillId="0" borderId="34" xfId="0" applyNumberFormat="1" applyFont="1" applyBorder="1" applyAlignment="1">
      <alignment vertical="center"/>
    </xf>
    <xf numFmtId="3" fontId="21" fillId="0" borderId="49" xfId="0" applyNumberFormat="1" applyFont="1" applyBorder="1" applyAlignment="1">
      <alignment horizontal="left" vertical="center" indent="1"/>
    </xf>
    <xf numFmtId="3" fontId="21" fillId="0" borderId="7" xfId="0" applyNumberFormat="1" applyFont="1" applyBorder="1" applyAlignment="1">
      <alignment horizontal="left" vertical="center" indent="1"/>
    </xf>
    <xf numFmtId="3" fontId="20" fillId="0" borderId="9" xfId="0" applyNumberFormat="1" applyFont="1" applyBorder="1" applyAlignment="1">
      <alignment horizontal="center" vertical="center"/>
    </xf>
    <xf numFmtId="3" fontId="20" fillId="0" borderId="37" xfId="0" applyNumberFormat="1" applyFont="1" applyBorder="1" applyAlignment="1">
      <alignment horizontal="center" vertical="center"/>
    </xf>
    <xf numFmtId="3" fontId="20" fillId="0" borderId="72" xfId="0" applyNumberFormat="1" applyFont="1" applyBorder="1" applyAlignment="1">
      <alignment horizontal="center" vertical="center"/>
    </xf>
    <xf numFmtId="3" fontId="20" fillId="0" borderId="25" xfId="0" applyNumberFormat="1" applyFont="1" applyBorder="1" applyAlignment="1">
      <alignment horizontal="center" vertical="center"/>
    </xf>
    <xf numFmtId="3" fontId="20" fillId="0" borderId="39" xfId="0" applyNumberFormat="1" applyFont="1" applyBorder="1" applyAlignment="1">
      <alignment horizontal="center" vertical="center"/>
    </xf>
    <xf numFmtId="257" fontId="36" fillId="0" borderId="34" xfId="6" applyNumberFormat="1" applyFont="1" applyBorder="1" applyAlignment="1">
      <alignment horizontal="center" vertical="center"/>
    </xf>
    <xf numFmtId="0" fontId="19" fillId="0" borderId="0" xfId="0" applyFont="1" applyAlignment="1">
      <alignment horizontal="centerContinuous" vertical="center" wrapText="1"/>
    </xf>
    <xf numFmtId="0" fontId="46" fillId="0" borderId="11" xfId="0" applyFont="1" applyBorder="1" applyAlignment="1">
      <alignment horizontal="left" vertical="center" indent="3"/>
    </xf>
    <xf numFmtId="0" fontId="118" fillId="0" borderId="0" xfId="0" applyFont="1" applyAlignment="1">
      <alignment horizontal="center"/>
    </xf>
    <xf numFmtId="3" fontId="60" fillId="0" borderId="127" xfId="0" applyNumberFormat="1" applyFont="1" applyBorder="1" applyAlignment="1">
      <alignment horizontal="left" vertical="center" indent="1"/>
    </xf>
    <xf numFmtId="3" fontId="54" fillId="0" borderId="0" xfId="0" applyNumberFormat="1" applyFont="1" applyAlignment="1" applyProtection="1">
      <alignment horizontal="center"/>
    </xf>
    <xf numFmtId="282" fontId="36" fillId="0" borderId="36" xfId="0" applyNumberFormat="1" applyFont="1" applyBorder="1" applyAlignment="1">
      <alignment horizontal="center"/>
    </xf>
    <xf numFmtId="282" fontId="20" fillId="0" borderId="36" xfId="0" applyNumberFormat="1" applyFont="1" applyBorder="1" applyAlignment="1">
      <alignment horizontal="center"/>
    </xf>
    <xf numFmtId="0" fontId="107" fillId="0" borderId="0" xfId="0" applyFont="1" applyAlignment="1">
      <alignment horizontal="left" indent="1"/>
    </xf>
    <xf numFmtId="0" fontId="108" fillId="0" borderId="0" xfId="0" applyFont="1" applyAlignment="1">
      <alignment horizontal="center" vertical="center"/>
    </xf>
    <xf numFmtId="0" fontId="15" fillId="0" borderId="18" xfId="0" applyFont="1" applyBorder="1" applyAlignment="1">
      <alignment horizontal="center"/>
    </xf>
    <xf numFmtId="10" fontId="19" fillId="0" borderId="12" xfId="6" applyNumberFormat="1" applyFont="1" applyBorder="1" applyAlignment="1">
      <alignment horizontal="center"/>
    </xf>
    <xf numFmtId="10" fontId="19" fillId="0" borderId="19" xfId="6" applyNumberFormat="1" applyFont="1" applyBorder="1" applyAlignment="1">
      <alignment horizontal="center"/>
    </xf>
    <xf numFmtId="0" fontId="19" fillId="0" borderId="12" xfId="0" applyFont="1" applyBorder="1" applyAlignment="1">
      <alignment horizontal="center" vertical="center"/>
    </xf>
    <xf numFmtId="3" fontId="19" fillId="0" borderId="8" xfId="0" applyNumberFormat="1" applyFont="1" applyBorder="1" applyAlignment="1" applyProtection="1">
      <alignment horizontal="left" vertical="center" indent="4"/>
    </xf>
    <xf numFmtId="3" fontId="19" fillId="0" borderId="77" xfId="0" applyNumberFormat="1" applyFont="1" applyBorder="1" applyAlignment="1" applyProtection="1">
      <alignment horizontal="left" vertical="center" indent="4"/>
    </xf>
    <xf numFmtId="3" fontId="19" fillId="0" borderId="85" xfId="0" applyNumberFormat="1" applyFont="1" applyBorder="1" applyAlignment="1" applyProtection="1">
      <alignment horizontal="left" vertical="center" indent="4"/>
    </xf>
    <xf numFmtId="166" fontId="21" fillId="0" borderId="18" xfId="6" applyNumberFormat="1" applyFont="1" applyBorder="1" applyAlignment="1" applyProtection="1">
      <alignment horizontal="center"/>
      <protection locked="0"/>
    </xf>
    <xf numFmtId="166" fontId="21" fillId="0" borderId="12" xfId="6" applyNumberFormat="1" applyFont="1" applyBorder="1" applyAlignment="1" applyProtection="1">
      <alignment horizontal="center"/>
      <protection locked="0"/>
    </xf>
    <xf numFmtId="166" fontId="21" fillId="0" borderId="19" xfId="6" applyNumberFormat="1" applyFont="1" applyBorder="1" applyAlignment="1" applyProtection="1">
      <alignment horizontal="center"/>
      <protection locked="0"/>
    </xf>
    <xf numFmtId="3" fontId="78" fillId="0" borderId="11" xfId="0" applyNumberFormat="1" applyFont="1" applyBorder="1" applyAlignment="1">
      <alignment horizontal="center" wrapText="1"/>
    </xf>
    <xf numFmtId="0" fontId="119" fillId="0" borderId="0" xfId="0" applyFont="1" applyAlignment="1">
      <alignment horizontal="center" vertical="center"/>
    </xf>
    <xf numFmtId="0" fontId="111" fillId="0" borderId="0" xfId="0" applyFont="1" applyAlignment="1">
      <alignment horizontal="center" vertical="center"/>
    </xf>
    <xf numFmtId="3" fontId="15" fillId="0" borderId="48" xfId="0" applyNumberFormat="1" applyFont="1" applyBorder="1" applyAlignment="1">
      <alignment horizontal="left" vertical="center"/>
    </xf>
    <xf numFmtId="202" fontId="18" fillId="15" borderId="3" xfId="0" applyNumberFormat="1" applyFont="1" applyFill="1" applyBorder="1" applyAlignment="1">
      <alignment vertical="center"/>
    </xf>
    <xf numFmtId="202" fontId="20" fillId="0" borderId="3" xfId="0" applyNumberFormat="1" applyFont="1" applyBorder="1" applyAlignment="1">
      <alignment vertical="center"/>
    </xf>
    <xf numFmtId="3" fontId="15" fillId="0" borderId="16" xfId="0" applyNumberFormat="1" applyFont="1" applyBorder="1" applyAlignment="1">
      <alignment horizontal="left" vertical="center"/>
    </xf>
    <xf numFmtId="0" fontId="19" fillId="0" borderId="63" xfId="0" applyFont="1" applyBorder="1" applyAlignment="1">
      <alignment vertical="center"/>
    </xf>
    <xf numFmtId="190" fontId="20" fillId="2" borderId="35" xfId="0" applyNumberFormat="1" applyFont="1" applyFill="1" applyBorder="1" applyAlignment="1">
      <alignment vertical="center"/>
    </xf>
    <xf numFmtId="190" fontId="20" fillId="0" borderId="35" xfId="0" applyNumberFormat="1" applyFont="1" applyBorder="1" applyAlignment="1">
      <alignment vertical="center"/>
    </xf>
    <xf numFmtId="190" fontId="20" fillId="0" borderId="4" xfId="0" applyNumberFormat="1" applyFont="1" applyBorder="1" applyAlignment="1">
      <alignment vertical="center"/>
    </xf>
    <xf numFmtId="3" fontId="15" fillId="0" borderId="9" xfId="0" applyNumberFormat="1" applyFont="1" applyBorder="1" applyAlignment="1">
      <alignment horizontal="left" vertical="center"/>
    </xf>
    <xf numFmtId="0" fontId="19" fillId="0" borderId="39" xfId="0" applyFont="1" applyBorder="1" applyAlignment="1">
      <alignment vertical="center"/>
    </xf>
    <xf numFmtId="190" fontId="20" fillId="2" borderId="36" xfId="0" applyNumberFormat="1" applyFont="1" applyFill="1" applyBorder="1" applyAlignment="1">
      <alignment vertical="center"/>
    </xf>
    <xf numFmtId="190" fontId="20" fillId="0" borderId="36" xfId="0" applyNumberFormat="1" applyFont="1" applyBorder="1" applyAlignment="1">
      <alignment vertical="center"/>
    </xf>
    <xf numFmtId="275" fontId="20" fillId="0" borderId="25" xfId="0" applyNumberFormat="1" applyFont="1" applyBorder="1" applyAlignment="1">
      <alignment vertical="center"/>
    </xf>
    <xf numFmtId="3" fontId="15" fillId="0" borderId="8" xfId="0" applyNumberFormat="1" applyFont="1" applyBorder="1" applyAlignment="1">
      <alignment horizontal="left" vertical="center"/>
    </xf>
    <xf numFmtId="3" fontId="18" fillId="0" borderId="41" xfId="0" applyNumberFormat="1" applyFont="1" applyBorder="1" applyAlignment="1">
      <alignment vertical="center"/>
    </xf>
    <xf numFmtId="202" fontId="20" fillId="2" borderId="3" xfId="0" applyNumberFormat="1" applyFont="1" applyFill="1" applyBorder="1" applyAlignment="1">
      <alignment vertical="center"/>
    </xf>
    <xf numFmtId="168" fontId="20" fillId="0" borderId="25" xfId="0" applyNumberFormat="1" applyFont="1" applyBorder="1" applyAlignment="1">
      <alignment vertical="center"/>
    </xf>
    <xf numFmtId="190" fontId="20" fillId="0" borderId="25" xfId="0" applyNumberFormat="1" applyFont="1" applyBorder="1" applyAlignment="1">
      <alignment vertical="center"/>
    </xf>
    <xf numFmtId="190" fontId="20" fillId="16" borderId="36" xfId="0" applyNumberFormat="1" applyFont="1" applyFill="1" applyBorder="1" applyAlignment="1">
      <alignment vertical="center"/>
    </xf>
    <xf numFmtId="202" fontId="20" fillId="16" borderId="3" xfId="0" applyNumberFormat="1" applyFont="1" applyFill="1" applyBorder="1" applyAlignment="1">
      <alignment vertical="center"/>
    </xf>
    <xf numFmtId="9" fontId="44" fillId="0" borderId="0" xfId="0" applyNumberFormat="1" applyFont="1" applyAlignment="1" applyProtection="1">
      <alignment horizontal="center" vertical="center"/>
      <protection locked="0"/>
    </xf>
    <xf numFmtId="0" fontId="19" fillId="0" borderId="37" xfId="0" applyFont="1" applyBorder="1"/>
    <xf numFmtId="0" fontId="18" fillId="0" borderId="72" xfId="0" applyFont="1" applyBorder="1" applyAlignment="1">
      <alignment horizontal="right" indent="1"/>
    </xf>
    <xf numFmtId="202" fontId="20" fillId="0" borderId="11" xfId="0" applyNumberFormat="1" applyFont="1" applyBorder="1"/>
    <xf numFmtId="202" fontId="20" fillId="0" borderId="6" xfId="0" applyNumberFormat="1" applyFont="1" applyBorder="1"/>
    <xf numFmtId="202" fontId="20" fillId="0" borderId="1" xfId="0" applyNumberFormat="1" applyFont="1" applyBorder="1"/>
    <xf numFmtId="190" fontId="21" fillId="0" borderId="33" xfId="0" applyNumberFormat="1" applyFont="1" applyBorder="1"/>
    <xf numFmtId="189" fontId="21" fillId="0" borderId="68" xfId="0" applyNumberFormat="1" applyFont="1" applyBorder="1"/>
    <xf numFmtId="230" fontId="21" fillId="0" borderId="33" xfId="0" applyNumberFormat="1" applyFont="1" applyBorder="1"/>
    <xf numFmtId="237" fontId="21" fillId="0" borderId="68" xfId="0" applyNumberFormat="1" applyFont="1" applyBorder="1"/>
    <xf numFmtId="3" fontId="19" fillId="0" borderId="33" xfId="0" applyNumberFormat="1" applyFont="1" applyBorder="1" applyAlignment="1">
      <alignment horizontal="center"/>
    </xf>
    <xf numFmtId="3" fontId="19" fillId="0" borderId="31" xfId="0" applyNumberFormat="1" applyFont="1" applyBorder="1" applyAlignment="1">
      <alignment horizontal="center"/>
    </xf>
    <xf numFmtId="3" fontId="19" fillId="0" borderId="32" xfId="0" applyNumberFormat="1" applyFont="1" applyBorder="1" applyAlignment="1">
      <alignment horizontal="center"/>
    </xf>
    <xf numFmtId="190" fontId="21" fillId="0" borderId="86" xfId="0" applyNumberFormat="1" applyFont="1" applyBorder="1"/>
    <xf numFmtId="189" fontId="21" fillId="0" borderId="90" xfId="0" applyNumberFormat="1" applyFont="1" applyBorder="1"/>
    <xf numFmtId="230" fontId="21" fillId="0" borderId="86" xfId="0" applyNumberFormat="1" applyFont="1" applyBorder="1"/>
    <xf numFmtId="237" fontId="21" fillId="0" borderId="90" xfId="0" applyNumberFormat="1" applyFont="1" applyBorder="1"/>
    <xf numFmtId="3" fontId="19" fillId="0" borderId="38" xfId="0" applyNumberFormat="1" applyFont="1" applyBorder="1"/>
    <xf numFmtId="190" fontId="18" fillId="0" borderId="23" xfId="0" applyNumberFormat="1" applyFont="1" applyBorder="1" applyAlignment="1">
      <alignment vertical="center"/>
    </xf>
    <xf numFmtId="189" fontId="18" fillId="0" borderId="43" xfId="0" applyNumberFormat="1" applyFont="1" applyBorder="1" applyAlignment="1">
      <alignment vertical="center"/>
    </xf>
    <xf numFmtId="237" fontId="18" fillId="0" borderId="43" xfId="0" applyNumberFormat="1" applyFont="1" applyBorder="1" applyAlignment="1">
      <alignment vertical="center"/>
    </xf>
    <xf numFmtId="3" fontId="19" fillId="0" borderId="14" xfId="0" applyNumberFormat="1" applyFont="1" applyBorder="1" applyAlignment="1">
      <alignment horizontal="left" indent="2"/>
    </xf>
    <xf numFmtId="230" fontId="18" fillId="0" borderId="23" xfId="0" applyNumberFormat="1" applyFont="1" applyBorder="1" applyAlignment="1">
      <alignment vertical="center"/>
    </xf>
    <xf numFmtId="3" fontId="47" fillId="0" borderId="0" xfId="0" applyNumberFormat="1" applyFont="1" applyAlignment="1">
      <alignment horizontal="centerContinuous"/>
    </xf>
    <xf numFmtId="3" fontId="36" fillId="0" borderId="38" xfId="0" applyNumberFormat="1" applyFont="1" applyBorder="1" applyAlignment="1">
      <alignment horizontal="left" vertical="center" indent="1"/>
    </xf>
    <xf numFmtId="3" fontId="36" fillId="0" borderId="14" xfId="0" applyNumberFormat="1" applyFont="1" applyBorder="1" applyAlignment="1">
      <alignment horizontal="center" vertical="center" wrapText="1"/>
    </xf>
    <xf numFmtId="257" fontId="36" fillId="0" borderId="33" xfId="6" applyNumberFormat="1" applyFont="1" applyFill="1" applyBorder="1" applyAlignment="1">
      <alignment horizontal="center" vertical="center"/>
    </xf>
    <xf numFmtId="257" fontId="36" fillId="0" borderId="31" xfId="6" applyNumberFormat="1" applyFont="1" applyFill="1" applyBorder="1" applyAlignment="1">
      <alignment horizontal="center" vertical="center"/>
    </xf>
    <xf numFmtId="257" fontId="36" fillId="0" borderId="59" xfId="6" applyNumberFormat="1" applyFont="1" applyFill="1" applyBorder="1" applyAlignment="1">
      <alignment horizontal="center" vertical="center"/>
    </xf>
    <xf numFmtId="257" fontId="36" fillId="0" borderId="68" xfId="6" applyNumberFormat="1" applyFont="1" applyFill="1" applyBorder="1" applyAlignment="1">
      <alignment horizontal="center" vertical="center"/>
    </xf>
    <xf numFmtId="3" fontId="36" fillId="0" borderId="19" xfId="0" applyNumberFormat="1" applyFont="1" applyBorder="1" applyAlignment="1">
      <alignment horizontal="center" vertical="center" wrapText="1"/>
    </xf>
    <xf numFmtId="0" fontId="81" fillId="0" borderId="0" xfId="0" applyFont="1"/>
    <xf numFmtId="3" fontId="0" fillId="0" borderId="0" xfId="0" applyNumberFormat="1" applyAlignment="1">
      <alignment vertical="center"/>
    </xf>
    <xf numFmtId="1" fontId="0" fillId="0" borderId="0" xfId="0" applyNumberFormat="1" applyAlignment="1">
      <alignment horizontal="right" vertical="center"/>
    </xf>
    <xf numFmtId="0" fontId="82" fillId="0" borderId="0" xfId="0" applyFont="1"/>
    <xf numFmtId="284" fontId="36" fillId="0" borderId="18" xfId="0" applyNumberFormat="1" applyFont="1" applyBorder="1" applyAlignment="1">
      <alignment vertical="center"/>
    </xf>
    <xf numFmtId="284" fontId="36" fillId="0" borderId="61" xfId="0" applyNumberFormat="1" applyFont="1" applyBorder="1" applyAlignment="1">
      <alignment vertical="center"/>
    </xf>
    <xf numFmtId="284" fontId="36" fillId="0" borderId="19" xfId="0" applyNumberFormat="1" applyFont="1" applyBorder="1" applyAlignment="1">
      <alignment vertical="center"/>
    </xf>
    <xf numFmtId="284" fontId="36" fillId="0" borderId="62" xfId="0" applyNumberFormat="1" applyFont="1" applyBorder="1" applyAlignment="1">
      <alignment vertical="center"/>
    </xf>
    <xf numFmtId="284" fontId="15" fillId="0" borderId="30" xfId="0" applyNumberFormat="1" applyFont="1" applyBorder="1" applyAlignment="1">
      <alignment vertical="center"/>
    </xf>
    <xf numFmtId="284" fontId="15" fillId="0" borderId="26" xfId="0" applyNumberFormat="1" applyFont="1" applyBorder="1" applyAlignment="1">
      <alignment vertical="center"/>
    </xf>
    <xf numFmtId="284" fontId="39" fillId="0" borderId="19" xfId="0" applyNumberFormat="1" applyFont="1" applyBorder="1" applyAlignment="1">
      <alignment vertical="center"/>
    </xf>
    <xf numFmtId="284" fontId="39" fillId="0" borderId="62" xfId="0" applyNumberFormat="1" applyFont="1" applyBorder="1" applyAlignment="1">
      <alignment vertical="center"/>
    </xf>
    <xf numFmtId="285" fontId="36" fillId="0" borderId="7" xfId="0" applyNumberFormat="1" applyFont="1" applyBorder="1" applyAlignment="1">
      <alignment horizontal="right" vertical="center"/>
    </xf>
    <xf numFmtId="285" fontId="36" fillId="0" borderId="2" xfId="0" applyNumberFormat="1" applyFont="1" applyBorder="1" applyAlignment="1">
      <alignment horizontal="right" vertical="center"/>
    </xf>
    <xf numFmtId="285" fontId="36" fillId="0" borderId="13" xfId="0" applyNumberFormat="1" applyFont="1" applyBorder="1" applyAlignment="1">
      <alignment horizontal="right" vertical="center"/>
    </xf>
    <xf numFmtId="285" fontId="36" fillId="0" borderId="43" xfId="0" applyNumberFormat="1" applyFont="1" applyBorder="1" applyAlignment="1">
      <alignment horizontal="right" vertical="center"/>
    </xf>
    <xf numFmtId="3" fontId="36" fillId="0" borderId="9" xfId="0" applyNumberFormat="1" applyFont="1" applyBorder="1" applyAlignment="1">
      <alignment horizontal="left" vertical="center" indent="1"/>
    </xf>
    <xf numFmtId="0" fontId="36" fillId="0" borderId="9" xfId="0" applyFont="1" applyBorder="1" applyAlignment="1">
      <alignment horizontal="right" vertical="center" indent="2"/>
    </xf>
    <xf numFmtId="0" fontId="36" fillId="0" borderId="16" xfId="0" applyFont="1" applyBorder="1" applyAlignment="1">
      <alignment horizontal="right" vertical="center" indent="2"/>
    </xf>
    <xf numFmtId="0" fontId="36" fillId="0" borderId="11" xfId="0" applyFont="1" applyBorder="1" applyAlignment="1">
      <alignment horizontal="center" vertical="center"/>
    </xf>
    <xf numFmtId="286" fontId="19" fillId="0" borderId="22" xfId="6" applyNumberFormat="1" applyFont="1" applyBorder="1" applyAlignment="1" applyProtection="1">
      <alignment vertical="center"/>
    </xf>
    <xf numFmtId="286" fontId="19" fillId="0" borderId="24" xfId="6" applyNumberFormat="1" applyFont="1" applyBorder="1" applyAlignment="1" applyProtection="1">
      <alignment vertical="center"/>
    </xf>
    <xf numFmtId="286" fontId="15" fillId="0" borderId="5" xfId="6" applyNumberFormat="1" applyFont="1" applyBorder="1" applyAlignment="1" applyProtection="1">
      <alignment vertical="center"/>
    </xf>
    <xf numFmtId="286" fontId="15" fillId="0" borderId="24" xfId="6" applyNumberFormat="1" applyFont="1" applyBorder="1" applyAlignment="1" applyProtection="1">
      <alignment vertical="center"/>
    </xf>
    <xf numFmtId="286" fontId="19" fillId="0" borderId="47" xfId="6" applyNumberFormat="1" applyFont="1" applyBorder="1" applyAlignment="1" applyProtection="1">
      <alignment vertical="center"/>
    </xf>
    <xf numFmtId="286" fontId="15" fillId="0" borderId="4" xfId="6" applyNumberFormat="1" applyFont="1" applyBorder="1" applyAlignment="1" applyProtection="1">
      <alignment vertical="center"/>
    </xf>
    <xf numFmtId="286" fontId="15" fillId="0" borderId="32" xfId="6" applyNumberFormat="1" applyFont="1" applyBorder="1" applyAlignment="1" applyProtection="1">
      <alignment vertical="center"/>
    </xf>
    <xf numFmtId="286" fontId="15" fillId="0" borderId="25" xfId="6" applyNumberFormat="1" applyFont="1" applyBorder="1" applyAlignment="1" applyProtection="1">
      <alignment vertical="center"/>
    </xf>
    <xf numFmtId="286" fontId="15" fillId="0" borderId="47" xfId="6" applyNumberFormat="1" applyFont="1" applyBorder="1" applyAlignment="1" applyProtection="1">
      <alignment vertical="center"/>
    </xf>
    <xf numFmtId="286" fontId="15" fillId="0" borderId="5" xfId="0" applyNumberFormat="1" applyFont="1" applyBorder="1" applyAlignment="1" applyProtection="1">
      <alignment vertical="center"/>
    </xf>
    <xf numFmtId="286" fontId="19" fillId="0" borderId="47" xfId="0" applyNumberFormat="1" applyFont="1" applyBorder="1" applyAlignment="1" applyProtection="1">
      <alignment vertical="center"/>
    </xf>
    <xf numFmtId="286" fontId="19" fillId="0" borderId="37" xfId="6" applyNumberFormat="1" applyFont="1" applyBorder="1" applyAlignment="1">
      <alignment horizontal="center" vertical="center"/>
    </xf>
    <xf numFmtId="286" fontId="19" fillId="0" borderId="36" xfId="6" applyNumberFormat="1" applyFont="1" applyBorder="1" applyAlignment="1">
      <alignment horizontal="center" vertical="center"/>
    </xf>
    <xf numFmtId="286" fontId="19" fillId="0" borderId="25" xfId="6" applyNumberFormat="1" applyFont="1" applyBorder="1" applyAlignment="1">
      <alignment horizontal="center" vertical="center"/>
    </xf>
    <xf numFmtId="286" fontId="19" fillId="0" borderId="34" xfId="6" applyNumberFormat="1" applyFont="1" applyBorder="1" applyAlignment="1">
      <alignment horizontal="center" vertical="center"/>
    </xf>
    <xf numFmtId="286" fontId="19" fillId="0" borderId="35" xfId="6" applyNumberFormat="1" applyFont="1" applyBorder="1" applyAlignment="1">
      <alignment horizontal="center" vertical="center"/>
    </xf>
    <xf numFmtId="286" fontId="19" fillId="0" borderId="4" xfId="6" applyNumberFormat="1" applyFont="1" applyBorder="1" applyAlignment="1">
      <alignment horizontal="center" vertical="center"/>
    </xf>
    <xf numFmtId="287" fontId="36" fillId="0" borderId="7" xfId="0" applyNumberFormat="1" applyFont="1" applyBorder="1" applyAlignment="1">
      <alignment horizontal="center" vertical="center"/>
    </xf>
    <xf numFmtId="287" fontId="36" fillId="0" borderId="2" xfId="0" applyNumberFormat="1" applyFont="1" applyBorder="1" applyAlignment="1">
      <alignment horizontal="center" vertical="center"/>
    </xf>
    <xf numFmtId="287" fontId="36" fillId="0" borderId="13" xfId="0" applyNumberFormat="1" applyFont="1" applyBorder="1" applyAlignment="1">
      <alignment horizontal="center" vertical="center"/>
    </xf>
    <xf numFmtId="287" fontId="36" fillId="0" borderId="43" xfId="0" applyNumberFormat="1" applyFont="1" applyBorder="1" applyAlignment="1">
      <alignment horizontal="center" vertical="center"/>
    </xf>
    <xf numFmtId="208" fontId="19" fillId="0" borderId="18" xfId="0" applyNumberFormat="1" applyFont="1" applyBorder="1" applyAlignment="1">
      <alignment horizontal="left" indent="1"/>
    </xf>
    <xf numFmtId="208" fontId="18" fillId="0" borderId="0" xfId="0" applyNumberFormat="1" applyFont="1"/>
    <xf numFmtId="0" fontId="15" fillId="0" borderId="10" xfId="0" applyFont="1" applyBorder="1" applyAlignment="1">
      <alignment horizontal="left" vertical="center" indent="1"/>
    </xf>
    <xf numFmtId="208" fontId="19" fillId="0" borderId="12" xfId="0" applyNumberFormat="1" applyFont="1" applyBorder="1" applyAlignment="1">
      <alignment horizontal="left" indent="1"/>
    </xf>
    <xf numFmtId="208" fontId="19" fillId="0" borderId="19" xfId="0" applyNumberFormat="1" applyFont="1" applyBorder="1" applyAlignment="1">
      <alignment horizontal="left" indent="1"/>
    </xf>
    <xf numFmtId="3" fontId="15" fillId="0" borderId="1" xfId="0" applyNumberFormat="1" applyFont="1" applyBorder="1" applyAlignment="1" applyProtection="1">
      <alignment horizontal="center" vertical="center" shrinkToFit="1"/>
    </xf>
    <xf numFmtId="181" fontId="19" fillId="2" borderId="21" xfId="6" applyNumberFormat="1" applyFont="1" applyFill="1" applyBorder="1" applyAlignment="1" applyProtection="1">
      <alignment horizontal="center" vertical="center"/>
      <protection locked="0"/>
    </xf>
    <xf numFmtId="181" fontId="19" fillId="2" borderId="22" xfId="6" applyNumberFormat="1" applyFont="1" applyFill="1" applyBorder="1" applyAlignment="1" applyProtection="1">
      <alignment horizontal="center" vertical="center"/>
      <protection locked="0"/>
    </xf>
    <xf numFmtId="181" fontId="19" fillId="0" borderId="20" xfId="6" applyNumberFormat="1" applyFont="1" applyFill="1" applyBorder="1" applyAlignment="1" applyProtection="1">
      <alignment horizontal="center" vertical="center"/>
    </xf>
    <xf numFmtId="181" fontId="19" fillId="0" borderId="48" xfId="6" applyNumberFormat="1" applyFont="1" applyFill="1" applyBorder="1" applyAlignment="1" applyProtection="1">
      <alignment horizontal="center" vertical="center"/>
    </xf>
    <xf numFmtId="181" fontId="19" fillId="2" borderId="3" xfId="6" applyNumberFormat="1" applyFont="1" applyFill="1" applyBorder="1" applyAlignment="1" applyProtection="1">
      <alignment horizontal="center" vertical="center"/>
      <protection locked="0"/>
    </xf>
    <xf numFmtId="181" fontId="19" fillId="2" borderId="5" xfId="6" applyNumberFormat="1" applyFont="1" applyFill="1" applyBorder="1" applyAlignment="1" applyProtection="1">
      <alignment horizontal="center" vertical="center"/>
      <protection locked="0"/>
    </xf>
    <xf numFmtId="181" fontId="19" fillId="0" borderId="86" xfId="6" applyNumberFormat="1" applyFont="1" applyFill="1" applyBorder="1" applyAlignment="1" applyProtection="1">
      <alignment horizontal="center" vertical="center"/>
    </xf>
    <xf numFmtId="181" fontId="19" fillId="2" borderId="84" xfId="6" applyNumberFormat="1" applyFont="1" applyFill="1" applyBorder="1" applyAlignment="1" applyProtection="1">
      <alignment horizontal="center" vertical="center"/>
      <protection locked="0"/>
    </xf>
    <xf numFmtId="181" fontId="19" fillId="2" borderId="87" xfId="6" applyNumberFormat="1" applyFont="1" applyFill="1" applyBorder="1" applyAlignment="1" applyProtection="1">
      <alignment horizontal="center" vertical="center"/>
      <protection locked="0"/>
    </xf>
    <xf numFmtId="284" fontId="21" fillId="0" borderId="20" xfId="0" applyNumberFormat="1" applyFont="1" applyBorder="1" applyProtection="1"/>
    <xf numFmtId="284" fontId="21" fillId="0" borderId="23" xfId="0" applyNumberFormat="1" applyFont="1" applyBorder="1" applyProtection="1"/>
    <xf numFmtId="284" fontId="21" fillId="0" borderId="34" xfId="0" applyNumberFormat="1" applyFont="1" applyBorder="1" applyProtection="1"/>
    <xf numFmtId="284" fontId="21" fillId="0" borderId="41" xfId="0" applyNumberFormat="1" applyFont="1" applyBorder="1" applyProtection="1"/>
    <xf numFmtId="284" fontId="21" fillId="0" borderId="51" xfId="0" applyNumberFormat="1" applyFont="1" applyBorder="1" applyProtection="1"/>
    <xf numFmtId="284" fontId="21" fillId="0" borderId="63" xfId="0" applyNumberFormat="1" applyFont="1" applyBorder="1" applyProtection="1"/>
    <xf numFmtId="284" fontId="21" fillId="0" borderId="61" xfId="0" applyNumberFormat="1" applyFont="1" applyBorder="1" applyProtection="1"/>
    <xf numFmtId="284" fontId="21" fillId="0" borderId="13" xfId="0" applyNumberFormat="1" applyFont="1" applyBorder="1" applyProtection="1"/>
    <xf numFmtId="284" fontId="21" fillId="0" borderId="62" xfId="0" applyNumberFormat="1" applyFont="1" applyBorder="1" applyProtection="1"/>
    <xf numFmtId="284" fontId="21" fillId="0" borderId="67" xfId="0" applyNumberFormat="1" applyFont="1" applyBorder="1" applyProtection="1"/>
    <xf numFmtId="284" fontId="21" fillId="0" borderId="45" xfId="0" applyNumberFormat="1" applyFont="1" applyBorder="1" applyProtection="1"/>
    <xf numFmtId="284" fontId="21" fillId="0" borderId="52" xfId="0" applyNumberFormat="1" applyFont="1" applyBorder="1" applyProtection="1"/>
    <xf numFmtId="284" fontId="21" fillId="0" borderId="18" xfId="0" applyNumberFormat="1" applyFont="1" applyBorder="1" applyProtection="1"/>
    <xf numFmtId="284" fontId="21" fillId="0" borderId="12" xfId="0" applyNumberFormat="1" applyFont="1" applyBorder="1" applyProtection="1"/>
    <xf numFmtId="284" fontId="21" fillId="0" borderId="38" xfId="0" applyNumberFormat="1" applyFont="1" applyBorder="1" applyProtection="1"/>
    <xf numFmtId="284" fontId="36" fillId="0" borderId="12" xfId="0" applyNumberFormat="1" applyFont="1" applyBorder="1"/>
    <xf numFmtId="284" fontId="36" fillId="0" borderId="13" xfId="0" applyNumberFormat="1" applyFont="1" applyBorder="1"/>
    <xf numFmtId="284" fontId="36" fillId="0" borderId="7" xfId="0" applyNumberFormat="1" applyFont="1" applyBorder="1"/>
    <xf numFmtId="284" fontId="36" fillId="0" borderId="98" xfId="0" applyNumberFormat="1" applyFont="1" applyBorder="1"/>
    <xf numFmtId="284" fontId="36" fillId="0" borderId="150" xfId="0" applyNumberFormat="1" applyFont="1" applyBorder="1"/>
    <xf numFmtId="284" fontId="36" fillId="0" borderId="151" xfId="0" applyNumberFormat="1" applyFont="1" applyBorder="1"/>
    <xf numFmtId="284" fontId="36" fillId="0" borderId="152" xfId="0" applyNumberFormat="1" applyFont="1" applyBorder="1"/>
    <xf numFmtId="284" fontId="36" fillId="0" borderId="153" xfId="0" applyNumberFormat="1" applyFont="1" applyBorder="1"/>
    <xf numFmtId="284" fontId="36" fillId="0" borderId="12" xfId="3" applyNumberFormat="1" applyFont="1" applyBorder="1"/>
    <xf numFmtId="284" fontId="36" fillId="0" borderId="7" xfId="3" applyNumberFormat="1" applyFont="1" applyBorder="1"/>
    <xf numFmtId="284" fontId="36" fillId="0" borderId="98" xfId="3" applyNumberFormat="1" applyFont="1" applyBorder="1"/>
    <xf numFmtId="284" fontId="36" fillId="0" borderId="13" xfId="3" applyNumberFormat="1" applyFont="1" applyBorder="1"/>
    <xf numFmtId="284" fontId="36" fillId="0" borderId="12" xfId="3" applyNumberFormat="1" applyFont="1" applyFill="1" applyBorder="1"/>
    <xf numFmtId="284" fontId="36" fillId="0" borderId="98" xfId="3" applyNumberFormat="1" applyFont="1" applyFill="1" applyBorder="1"/>
    <xf numFmtId="284" fontId="36" fillId="0" borderId="15" xfId="0" applyNumberFormat="1" applyFont="1" applyBorder="1"/>
    <xf numFmtId="284" fontId="36" fillId="0" borderId="77" xfId="0" applyNumberFormat="1" applyFont="1" applyBorder="1"/>
    <xf numFmtId="284" fontId="36" fillId="0" borderId="8" xfId="0" applyNumberFormat="1" applyFont="1" applyBorder="1"/>
    <xf numFmtId="284" fontId="36" fillId="0" borderId="154" xfId="0" applyNumberFormat="1" applyFont="1" applyBorder="1"/>
    <xf numFmtId="284" fontId="20" fillId="0" borderId="12" xfId="0" applyNumberFormat="1" applyFont="1" applyBorder="1"/>
    <xf numFmtId="284" fontId="20" fillId="0" borderId="13" xfId="0" applyNumberFormat="1" applyFont="1" applyBorder="1"/>
    <xf numFmtId="284" fontId="20" fillId="0" borderId="7" xfId="0" applyNumberFormat="1" applyFont="1" applyBorder="1"/>
    <xf numFmtId="284" fontId="20" fillId="0" borderId="98" xfId="0" applyNumberFormat="1" applyFont="1" applyBorder="1"/>
    <xf numFmtId="284" fontId="20" fillId="0" borderId="19" xfId="0" applyNumberFormat="1" applyFont="1" applyBorder="1"/>
    <xf numFmtId="284" fontId="20" fillId="0" borderId="62" xfId="0" applyNumberFormat="1" applyFont="1" applyBorder="1"/>
    <xf numFmtId="284" fontId="20" fillId="0" borderId="16" xfId="0" applyNumberFormat="1" applyFont="1" applyBorder="1"/>
    <xf numFmtId="284" fontId="20" fillId="0" borderId="155" xfId="0" applyNumberFormat="1" applyFont="1" applyBorder="1"/>
    <xf numFmtId="284" fontId="21" fillId="0" borderId="12" xfId="0" applyNumberFormat="1" applyFont="1" applyBorder="1"/>
    <xf numFmtId="284" fontId="21" fillId="0" borderId="13" xfId="0" applyNumberFormat="1" applyFont="1" applyBorder="1"/>
    <xf numFmtId="284" fontId="21" fillId="0" borderId="15" xfId="0" applyNumberFormat="1" applyFont="1" applyBorder="1"/>
    <xf numFmtId="284" fontId="21" fillId="0" borderId="77" xfId="0" applyNumberFormat="1" applyFont="1" applyBorder="1"/>
    <xf numFmtId="288" fontId="15" fillId="0" borderId="35" xfId="6" applyNumberFormat="1" applyFont="1" applyBorder="1" applyAlignment="1" applyProtection="1">
      <alignment vertical="center"/>
    </xf>
    <xf numFmtId="288" fontId="15" fillId="0" borderId="4" xfId="6" applyNumberFormat="1" applyFont="1" applyBorder="1" applyAlignment="1" applyProtection="1">
      <alignment vertical="center"/>
    </xf>
    <xf numFmtId="284" fontId="36" fillId="0" borderId="48" xfId="0" applyNumberFormat="1" applyFont="1" applyBorder="1" applyAlignment="1">
      <alignment vertical="center"/>
    </xf>
    <xf numFmtId="284" fontId="36" fillId="0" borderId="3" xfId="0" applyNumberFormat="1" applyFont="1" applyBorder="1" applyAlignment="1">
      <alignment vertical="center"/>
    </xf>
    <xf numFmtId="284" fontId="36" fillId="0" borderId="5" xfId="0" applyNumberFormat="1" applyFont="1" applyBorder="1" applyAlignment="1">
      <alignment vertical="center"/>
    </xf>
    <xf numFmtId="284" fontId="36" fillId="0" borderId="23" xfId="0" applyNumberFormat="1" applyFont="1" applyBorder="1" applyAlignment="1">
      <alignment vertical="center"/>
    </xf>
    <xf numFmtId="284" fontId="36" fillId="0" borderId="2" xfId="0" applyNumberFormat="1" applyFont="1" applyBorder="1" applyAlignment="1">
      <alignment vertical="center"/>
    </xf>
    <xf numFmtId="284" fontId="36" fillId="0" borderId="24" xfId="0" applyNumberFormat="1" applyFont="1" applyBorder="1" applyAlignment="1">
      <alignment vertical="center"/>
    </xf>
    <xf numFmtId="284" fontId="36" fillId="0" borderId="34" xfId="0" applyNumberFormat="1" applyFont="1" applyBorder="1" applyAlignment="1">
      <alignment vertical="center"/>
    </xf>
    <xf numFmtId="284" fontId="36" fillId="0" borderId="35" xfId="0" applyNumberFormat="1" applyFont="1" applyBorder="1" applyAlignment="1">
      <alignment vertical="center"/>
    </xf>
    <xf numFmtId="284" fontId="36" fillId="0" borderId="4" xfId="0" applyNumberFormat="1" applyFont="1" applyBorder="1" applyAlignment="1">
      <alignment vertical="center"/>
    </xf>
    <xf numFmtId="285" fontId="36" fillId="0" borderId="20" xfId="0" applyNumberFormat="1" applyFont="1" applyBorder="1" applyAlignment="1">
      <alignment vertical="center"/>
    </xf>
    <xf numFmtId="285" fontId="36" fillId="0" borderId="23" xfId="0" applyNumberFormat="1" applyFont="1" applyBorder="1" applyAlignment="1">
      <alignment vertical="center"/>
    </xf>
    <xf numFmtId="285" fontId="36" fillId="0" borderId="34" xfId="0" applyNumberFormat="1" applyFont="1" applyBorder="1" applyAlignment="1">
      <alignment vertical="center"/>
    </xf>
    <xf numFmtId="284" fontId="19" fillId="0" borderId="2" xfId="0" applyNumberFormat="1" applyFont="1" applyBorder="1"/>
    <xf numFmtId="284" fontId="19" fillId="0" borderId="24" xfId="0" applyNumberFormat="1" applyFont="1" applyBorder="1"/>
    <xf numFmtId="220" fontId="33" fillId="0" borderId="0" xfId="0" applyNumberFormat="1" applyFont="1" applyAlignment="1" applyProtection="1">
      <alignment horizontal="left"/>
    </xf>
    <xf numFmtId="208" fontId="46" fillId="0" borderId="0" xfId="4" applyNumberFormat="1" applyFont="1" applyFill="1" applyBorder="1" applyAlignment="1" applyProtection="1">
      <alignment horizontal="center" vertical="center"/>
    </xf>
    <xf numFmtId="208" fontId="46" fillId="0" borderId="10" xfId="4" applyNumberFormat="1" applyFont="1" applyFill="1" applyBorder="1" applyAlignment="1" applyProtection="1">
      <alignment horizontal="center" vertical="center"/>
    </xf>
    <xf numFmtId="208" fontId="46" fillId="0" borderId="14" xfId="4" applyNumberFormat="1" applyFont="1" applyFill="1" applyBorder="1" applyAlignment="1" applyProtection="1">
      <alignment horizontal="center" vertical="center"/>
    </xf>
    <xf numFmtId="208" fontId="42" fillId="0" borderId="9" xfId="0" applyNumberFormat="1" applyFont="1" applyBorder="1" applyAlignment="1">
      <alignment horizontal="center" vertical="center"/>
    </xf>
    <xf numFmtId="208" fontId="42" fillId="0" borderId="11" xfId="0" applyNumberFormat="1" applyFont="1" applyBorder="1" applyAlignment="1">
      <alignment horizontal="center" vertical="center"/>
    </xf>
    <xf numFmtId="208" fontId="42" fillId="0" borderId="6" xfId="0" applyNumberFormat="1" applyFont="1" applyBorder="1" applyAlignment="1">
      <alignment horizontal="center" vertical="center"/>
    </xf>
    <xf numFmtId="208" fontId="42" fillId="0" borderId="1" xfId="0" applyNumberFormat="1" applyFont="1" applyBorder="1" applyAlignment="1">
      <alignment horizontal="center" vertical="center"/>
    </xf>
    <xf numFmtId="210" fontId="33" fillId="0" borderId="0" xfId="0" applyNumberFormat="1" applyFont="1" applyAlignment="1">
      <alignment horizontal="right" indent="1"/>
    </xf>
    <xf numFmtId="208" fontId="20" fillId="2" borderId="36" xfId="0" applyNumberFormat="1" applyFont="1" applyFill="1" applyBorder="1" applyAlignment="1">
      <alignment horizontal="centerContinuous" vertical="center"/>
    </xf>
    <xf numFmtId="208" fontId="20" fillId="2" borderId="6" xfId="0" applyNumberFormat="1" applyFont="1" applyFill="1" applyBorder="1" applyAlignment="1">
      <alignment horizontal="centerContinuous" vertical="center"/>
    </xf>
    <xf numFmtId="208" fontId="20" fillId="2" borderId="1" xfId="0" applyNumberFormat="1" applyFont="1" applyFill="1" applyBorder="1" applyAlignment="1">
      <alignment horizontal="centerContinuous" vertical="center"/>
    </xf>
    <xf numFmtId="0" fontId="32" fillId="0" borderId="37" xfId="0" applyFont="1" applyBorder="1" applyAlignment="1">
      <alignment horizontal="center" vertical="center"/>
    </xf>
    <xf numFmtId="0" fontId="32" fillId="0" borderId="36" xfId="0" applyFont="1" applyBorder="1" applyAlignment="1">
      <alignment horizontal="center" vertical="center"/>
    </xf>
    <xf numFmtId="0" fontId="32" fillId="0" borderId="25" xfId="0" applyFont="1" applyBorder="1" applyAlignment="1">
      <alignment horizontal="center" vertical="center"/>
    </xf>
    <xf numFmtId="208" fontId="21" fillId="0" borderId="12" xfId="0" applyNumberFormat="1" applyFont="1" applyBorder="1" applyAlignment="1">
      <alignment horizontal="center" vertical="center"/>
    </xf>
    <xf numFmtId="208" fontId="21" fillId="0" borderId="19" xfId="0" applyNumberFormat="1" applyFont="1" applyBorder="1" applyAlignment="1">
      <alignment horizontal="center" vertical="center"/>
    </xf>
    <xf numFmtId="0" fontId="36" fillId="0" borderId="18" xfId="0" applyFont="1" applyBorder="1" applyAlignment="1">
      <alignment horizontal="right" indent="1"/>
    </xf>
    <xf numFmtId="1" fontId="0" fillId="0" borderId="0" xfId="0" applyNumberFormat="1" applyAlignment="1">
      <alignment horizontal="right" vertical="center" indent="1"/>
    </xf>
    <xf numFmtId="210" fontId="33" fillId="0" borderId="0" xfId="0" applyNumberFormat="1" applyFont="1" applyAlignment="1">
      <alignment horizontal="left"/>
    </xf>
    <xf numFmtId="1" fontId="24" fillId="0" borderId="0" xfId="0" applyNumberFormat="1" applyFont="1" applyAlignment="1" applyProtection="1">
      <alignment horizontal="left" vertical="center"/>
    </xf>
    <xf numFmtId="210" fontId="24" fillId="0" borderId="0" xfId="0" applyNumberFormat="1" applyFont="1" applyAlignment="1">
      <alignment horizontal="center"/>
    </xf>
    <xf numFmtId="3" fontId="20" fillId="0" borderId="39" xfId="0" applyNumberFormat="1" applyFont="1" applyBorder="1" applyAlignment="1">
      <alignment horizontal="center" vertical="center" wrapText="1"/>
    </xf>
    <xf numFmtId="3" fontId="20" fillId="0" borderId="36" xfId="0" applyNumberFormat="1" applyFont="1" applyBorder="1" applyAlignment="1">
      <alignment horizontal="center" vertical="center" wrapText="1"/>
    </xf>
    <xf numFmtId="3" fontId="20" fillId="0" borderId="25" xfId="0" applyNumberFormat="1" applyFont="1" applyBorder="1" applyAlignment="1">
      <alignment horizontal="center" vertical="center" wrapText="1"/>
    </xf>
    <xf numFmtId="3" fontId="20" fillId="0" borderId="39" xfId="0" applyNumberFormat="1" applyFont="1" applyBorder="1" applyAlignment="1">
      <alignment horizontal="center" vertical="center" wrapText="1" shrinkToFit="1"/>
    </xf>
    <xf numFmtId="3" fontId="20" fillId="0" borderId="36" xfId="0" applyNumberFormat="1" applyFont="1" applyBorder="1" applyAlignment="1">
      <alignment horizontal="center" vertical="center" wrapText="1" shrinkToFit="1"/>
    </xf>
    <xf numFmtId="3" fontId="20" fillId="0" borderId="25" xfId="0" applyNumberFormat="1" applyFont="1" applyBorder="1" applyAlignment="1">
      <alignment horizontal="center" vertical="center" wrapText="1" shrinkToFit="1"/>
    </xf>
    <xf numFmtId="220" fontId="33" fillId="0" borderId="0" xfId="0" applyNumberFormat="1" applyFont="1" applyAlignment="1" applyProtection="1">
      <alignment horizontal="left" vertical="center"/>
    </xf>
    <xf numFmtId="1" fontId="12" fillId="0" borderId="0" xfId="0" applyNumberFormat="1" applyFont="1" applyAlignment="1">
      <alignment horizontal="center"/>
    </xf>
    <xf numFmtId="210" fontId="33" fillId="0" borderId="0" xfId="0" applyNumberFormat="1" applyFont="1" applyAlignment="1" applyProtection="1">
      <alignment horizontal="left"/>
    </xf>
    <xf numFmtId="3" fontId="42" fillId="0" borderId="1" xfId="0" applyNumberFormat="1" applyFont="1" applyBorder="1" applyAlignment="1" applyProtection="1">
      <alignment horizontal="center" vertical="center"/>
    </xf>
    <xf numFmtId="3" fontId="42" fillId="0" borderId="11" xfId="0" applyNumberFormat="1" applyFont="1" applyBorder="1" applyAlignment="1" applyProtection="1">
      <alignment horizontal="center" vertical="center"/>
    </xf>
    <xf numFmtId="3" fontId="32" fillId="0" borderId="11" xfId="0" applyNumberFormat="1" applyFont="1" applyBorder="1" applyAlignment="1" applyProtection="1">
      <alignment horizontal="center" vertical="center" wrapText="1"/>
    </xf>
    <xf numFmtId="3" fontId="32" fillId="0" borderId="19" xfId="0" applyNumberFormat="1" applyFont="1" applyBorder="1" applyAlignment="1" applyProtection="1">
      <alignment horizontal="center" vertical="center"/>
    </xf>
    <xf numFmtId="226" fontId="32" fillId="0" borderId="17" xfId="0" applyNumberFormat="1" applyFont="1" applyBorder="1" applyAlignment="1" applyProtection="1">
      <alignment vertical="center"/>
    </xf>
    <xf numFmtId="206" fontId="32" fillId="0" borderId="11" xfId="0" applyNumberFormat="1" applyFont="1" applyBorder="1" applyAlignment="1" applyProtection="1">
      <alignment vertical="center"/>
    </xf>
    <xf numFmtId="3" fontId="36" fillId="0" borderId="19" xfId="0" applyNumberFormat="1" applyFont="1" applyBorder="1" applyAlignment="1" applyProtection="1">
      <alignment horizontal="center" vertical="center"/>
    </xf>
    <xf numFmtId="206" fontId="32" fillId="0" borderId="17" xfId="0" applyNumberFormat="1" applyFont="1" applyBorder="1" applyAlignment="1" applyProtection="1">
      <alignment vertical="center"/>
    </xf>
    <xf numFmtId="0" fontId="20" fillId="0" borderId="56" xfId="0" applyFont="1" applyBorder="1" applyAlignment="1">
      <alignment horizontal="center" vertical="center" wrapText="1"/>
    </xf>
    <xf numFmtId="208" fontId="15" fillId="0" borderId="28" xfId="0" applyNumberFormat="1" applyFont="1" applyBorder="1" applyAlignment="1">
      <alignment horizontal="center" wrapText="1"/>
    </xf>
    <xf numFmtId="208" fontId="15" fillId="0" borderId="146" xfId="0" applyNumberFormat="1" applyFont="1" applyBorder="1" applyAlignment="1">
      <alignment horizontal="center" wrapText="1"/>
    </xf>
    <xf numFmtId="208" fontId="15" fillId="0" borderId="40" xfId="0" applyNumberFormat="1" applyFont="1" applyBorder="1" applyAlignment="1">
      <alignment horizontal="center" wrapText="1"/>
    </xf>
    <xf numFmtId="0" fontId="18" fillId="0" borderId="11" xfId="0" applyFont="1" applyBorder="1" applyAlignment="1">
      <alignment horizontal="center" wrapText="1"/>
    </xf>
    <xf numFmtId="0" fontId="15" fillId="0" borderId="11" xfId="0" applyFont="1" applyBorder="1" applyAlignment="1">
      <alignment horizontal="center" vertical="center" wrapText="1"/>
    </xf>
    <xf numFmtId="0" fontId="25" fillId="0" borderId="0" xfId="0" applyFont="1" applyAlignment="1" applyProtection="1">
      <alignment horizontal="center" vertical="center"/>
    </xf>
    <xf numFmtId="179" fontId="50" fillId="0" borderId="0" xfId="0" applyNumberFormat="1" applyFont="1" applyAlignment="1">
      <alignment horizontal="left" indent="2"/>
    </xf>
    <xf numFmtId="265" fontId="31" fillId="0" borderId="0" xfId="0" applyNumberFormat="1" applyFont="1" applyAlignment="1">
      <alignment horizontal="center" vertical="center"/>
    </xf>
    <xf numFmtId="265" fontId="18" fillId="0" borderId="0" xfId="0" applyNumberFormat="1" applyFont="1" applyAlignment="1">
      <alignment vertical="center"/>
    </xf>
    <xf numFmtId="210" fontId="12" fillId="0" borderId="0" xfId="0" applyNumberFormat="1" applyFont="1" applyAlignment="1" applyProtection="1">
      <alignment horizontal="left" vertical="center" indent="1"/>
    </xf>
    <xf numFmtId="1" fontId="15" fillId="0" borderId="35" xfId="0" applyNumberFormat="1" applyFont="1" applyBorder="1" applyAlignment="1">
      <alignment horizontal="center" vertical="center"/>
    </xf>
    <xf numFmtId="1" fontId="15" fillId="0" borderId="60" xfId="0" applyNumberFormat="1" applyFont="1" applyBorder="1" applyAlignment="1">
      <alignment horizontal="center" vertical="center"/>
    </xf>
    <xf numFmtId="1" fontId="15" fillId="0" borderId="44" xfId="0" applyNumberFormat="1" applyFont="1" applyBorder="1" applyAlignment="1">
      <alignment horizontal="center" vertical="center"/>
    </xf>
    <xf numFmtId="1" fontId="12" fillId="2" borderId="11" xfId="0" applyNumberFormat="1"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290" fontId="19" fillId="0" borderId="2" xfId="0" applyNumberFormat="1" applyFont="1" applyBorder="1"/>
    <xf numFmtId="0" fontId="109" fillId="0" borderId="0" xfId="0" applyFont="1" applyAlignment="1">
      <alignment horizontal="center" vertical="center"/>
    </xf>
    <xf numFmtId="3" fontId="15" fillId="0" borderId="11" xfId="0" applyNumberFormat="1" applyFont="1" applyBorder="1" applyAlignment="1">
      <alignment horizontal="centerContinuous" vertical="center" wrapText="1"/>
    </xf>
    <xf numFmtId="3" fontId="15" fillId="0" borderId="30" xfId="0" applyNumberFormat="1" applyFont="1" applyBorder="1" applyAlignment="1">
      <alignment horizontal="centerContinuous" vertical="center"/>
    </xf>
    <xf numFmtId="3" fontId="36" fillId="0" borderId="18" xfId="0" applyNumberFormat="1" applyFont="1" applyBorder="1" applyAlignment="1">
      <alignment horizontal="left" indent="1"/>
    </xf>
    <xf numFmtId="284" fontId="36" fillId="0" borderId="20" xfId="0" applyNumberFormat="1" applyFont="1" applyBorder="1" applyProtection="1"/>
    <xf numFmtId="196" fontId="36" fillId="0" borderId="22" xfId="6" applyNumberFormat="1" applyFont="1" applyFill="1" applyBorder="1" applyProtection="1"/>
    <xf numFmtId="284" fontId="36" fillId="0" borderId="41" xfId="0" applyNumberFormat="1" applyFont="1" applyBorder="1" applyProtection="1"/>
    <xf numFmtId="284" fontId="36" fillId="0" borderId="61" xfId="0" applyNumberFormat="1" applyFont="1" applyBorder="1" applyProtection="1"/>
    <xf numFmtId="284" fontId="36" fillId="0" borderId="23" xfId="0" applyNumberFormat="1" applyFont="1" applyBorder="1" applyProtection="1"/>
    <xf numFmtId="196" fontId="36" fillId="0" borderId="24" xfId="6" applyNumberFormat="1" applyFont="1" applyFill="1" applyBorder="1" applyProtection="1"/>
    <xf numFmtId="284" fontId="36" fillId="0" borderId="51" xfId="0" applyNumberFormat="1" applyFont="1" applyBorder="1" applyProtection="1"/>
    <xf numFmtId="284" fontId="36" fillId="0" borderId="13" xfId="0" applyNumberFormat="1" applyFont="1" applyBorder="1" applyProtection="1"/>
    <xf numFmtId="3" fontId="36" fillId="0" borderId="19" xfId="0" applyNumberFormat="1" applyFont="1" applyBorder="1" applyAlignment="1">
      <alignment horizontal="left" indent="1"/>
    </xf>
    <xf numFmtId="284" fontId="36" fillId="0" borderId="34" xfId="0" applyNumberFormat="1" applyFont="1" applyBorder="1" applyProtection="1"/>
    <xf numFmtId="196" fontId="36" fillId="0" borderId="4" xfId="6" applyNumberFormat="1" applyFont="1" applyFill="1" applyBorder="1" applyProtection="1"/>
    <xf numFmtId="284" fontId="36" fillId="0" borderId="63" xfId="0" applyNumberFormat="1" applyFont="1" applyBorder="1" applyProtection="1"/>
    <xf numFmtId="284" fontId="36" fillId="0" borderId="62" xfId="0" applyNumberFormat="1" applyFont="1" applyBorder="1" applyProtection="1"/>
    <xf numFmtId="284" fontId="36" fillId="0" borderId="18" xfId="0" applyNumberFormat="1" applyFont="1" applyBorder="1" applyProtection="1"/>
    <xf numFmtId="284" fontId="36" fillId="0" borderId="12" xfId="0" applyNumberFormat="1" applyFont="1" applyBorder="1" applyProtection="1"/>
    <xf numFmtId="3" fontId="36" fillId="0" borderId="38" xfId="0" applyNumberFormat="1" applyFont="1" applyBorder="1" applyAlignment="1">
      <alignment horizontal="left" indent="1"/>
    </xf>
    <xf numFmtId="284" fontId="36" fillId="0" borderId="38" xfId="0" applyNumberFormat="1" applyFont="1" applyBorder="1" applyProtection="1"/>
    <xf numFmtId="284" fontId="36" fillId="0" borderId="45" xfId="0" applyNumberFormat="1" applyFont="1" applyBorder="1" applyProtection="1"/>
    <xf numFmtId="284" fontId="36" fillId="0" borderId="52" xfId="0" applyNumberFormat="1" applyFont="1" applyBorder="1" applyProtection="1"/>
    <xf numFmtId="284" fontId="36" fillId="0" borderId="67" xfId="0" applyNumberFormat="1" applyFont="1" applyBorder="1" applyProtection="1"/>
    <xf numFmtId="0" fontId="18" fillId="17" borderId="0" xfId="0" applyFont="1" applyFill="1" applyAlignment="1">
      <alignment horizontal="left" indent="2"/>
    </xf>
    <xf numFmtId="0" fontId="0" fillId="17" borderId="0" xfId="0" applyFill="1"/>
    <xf numFmtId="3" fontId="36" fillId="17" borderId="27" xfId="0" applyNumberFormat="1" applyFont="1" applyFill="1" applyBorder="1" applyAlignment="1">
      <alignment horizontal="centerContinuous" vertical="center"/>
    </xf>
    <xf numFmtId="3" fontId="36" fillId="17" borderId="40" xfId="0" applyNumberFormat="1" applyFont="1" applyFill="1" applyBorder="1" applyAlignment="1">
      <alignment horizontal="centerContinuous" vertical="center"/>
    </xf>
    <xf numFmtId="3" fontId="36" fillId="17" borderId="66" xfId="0" applyNumberFormat="1" applyFont="1" applyFill="1" applyBorder="1" applyAlignment="1">
      <alignment horizontal="centerContinuous" vertical="center"/>
    </xf>
    <xf numFmtId="3" fontId="36" fillId="17" borderId="26" xfId="0" applyNumberFormat="1" applyFont="1" applyFill="1" applyBorder="1" applyAlignment="1">
      <alignment horizontal="centerContinuous" vertical="center"/>
    </xf>
    <xf numFmtId="3" fontId="36" fillId="17" borderId="29" xfId="0" applyNumberFormat="1" applyFont="1" applyFill="1" applyBorder="1" applyAlignment="1">
      <alignment horizontal="centerContinuous" vertical="center"/>
    </xf>
    <xf numFmtId="284" fontId="20" fillId="0" borderId="30" xfId="0" applyNumberFormat="1" applyFont="1" applyBorder="1" applyAlignment="1">
      <alignment vertical="center"/>
    </xf>
    <xf numFmtId="284" fontId="20" fillId="0" borderId="26" xfId="0" applyNumberFormat="1" applyFont="1" applyBorder="1" applyAlignment="1">
      <alignment vertical="center"/>
    </xf>
    <xf numFmtId="0" fontId="36" fillId="0" borderId="40" xfId="0" applyFont="1" applyBorder="1" applyAlignment="1">
      <alignment vertical="center"/>
    </xf>
    <xf numFmtId="0" fontId="83" fillId="0" borderId="0" xfId="0" applyFont="1"/>
    <xf numFmtId="284" fontId="77" fillId="0" borderId="19" xfId="0" applyNumberFormat="1" applyFont="1" applyBorder="1" applyAlignment="1">
      <alignment vertical="center"/>
    </xf>
    <xf numFmtId="284" fontId="77" fillId="0" borderId="62" xfId="0" applyNumberFormat="1" applyFont="1" applyBorder="1" applyAlignment="1">
      <alignment vertical="center"/>
    </xf>
    <xf numFmtId="0" fontId="36" fillId="0" borderId="44" xfId="0" applyFont="1" applyBorder="1" applyAlignment="1">
      <alignment vertical="center"/>
    </xf>
    <xf numFmtId="209" fontId="18" fillId="0" borderId="30" xfId="0" applyNumberFormat="1" applyFont="1" applyBorder="1" applyAlignment="1">
      <alignment horizontal="center" wrapText="1"/>
    </xf>
    <xf numFmtId="0" fontId="83" fillId="0" borderId="11" xfId="0" applyFont="1" applyBorder="1"/>
    <xf numFmtId="0" fontId="83" fillId="0" borderId="1" xfId="0" applyFont="1" applyBorder="1"/>
    <xf numFmtId="0" fontId="21" fillId="0" borderId="62" xfId="0" applyFont="1" applyBorder="1" applyAlignment="1">
      <alignment horizontal="right" vertical="center" indent="1"/>
    </xf>
    <xf numFmtId="0" fontId="18" fillId="0" borderId="26" xfId="0" applyFont="1" applyBorder="1" applyAlignment="1">
      <alignment horizontal="left" vertical="center" indent="1"/>
    </xf>
    <xf numFmtId="0" fontId="65" fillId="0" borderId="62" xfId="0" applyFont="1" applyBorder="1" applyAlignment="1">
      <alignment horizontal="left" vertical="center" indent="1"/>
    </xf>
    <xf numFmtId="0" fontId="84" fillId="0" borderId="9" xfId="0" applyFont="1" applyBorder="1"/>
    <xf numFmtId="0" fontId="18" fillId="0" borderId="26" xfId="0" applyFont="1" applyBorder="1" applyAlignment="1">
      <alignment horizontal="center" vertical="center"/>
    </xf>
    <xf numFmtId="0" fontId="65" fillId="0" borderId="9" xfId="0" applyFont="1" applyBorder="1" applyAlignment="1">
      <alignment horizontal="center"/>
    </xf>
    <xf numFmtId="200" fontId="65" fillId="0" borderId="11" xfId="0" applyNumberFormat="1" applyFont="1" applyBorder="1"/>
    <xf numFmtId="200" fontId="65" fillId="0" borderId="6" xfId="0" applyNumberFormat="1" applyFont="1" applyBorder="1"/>
    <xf numFmtId="3" fontId="44" fillId="0" borderId="0" xfId="0" applyNumberFormat="1" applyFont="1"/>
    <xf numFmtId="0" fontId="15" fillId="0" borderId="0" xfId="0" applyFont="1" applyAlignment="1">
      <alignment horizontal="left" indent="3"/>
    </xf>
    <xf numFmtId="216" fontId="21" fillId="15" borderId="12" xfId="0" applyNumberFormat="1" applyFont="1" applyFill="1" applyBorder="1" applyAlignment="1" applyProtection="1">
      <alignment vertical="center"/>
      <protection locked="0"/>
    </xf>
    <xf numFmtId="284" fontId="18" fillId="2" borderId="37" xfId="6" applyNumberFormat="1" applyFont="1" applyFill="1" applyBorder="1" applyAlignment="1" applyProtection="1">
      <alignment horizontal="center" vertical="center"/>
    </xf>
    <xf numFmtId="284" fontId="18" fillId="2" borderId="36" xfId="6" applyNumberFormat="1" applyFont="1" applyFill="1" applyBorder="1" applyAlignment="1" applyProtection="1">
      <alignment horizontal="center" vertical="center"/>
    </xf>
    <xf numFmtId="284" fontId="18" fillId="2" borderId="25" xfId="6" applyNumberFormat="1" applyFont="1" applyFill="1" applyBorder="1" applyAlignment="1" applyProtection="1">
      <alignment horizontal="center" vertical="center"/>
    </xf>
    <xf numFmtId="208" fontId="18" fillId="0" borderId="9" xfId="0" applyNumberFormat="1" applyFont="1" applyBorder="1" applyAlignment="1">
      <alignment horizontal="center" wrapText="1"/>
    </xf>
    <xf numFmtId="216" fontId="21" fillId="0" borderId="7" xfId="0" applyNumberFormat="1" applyFont="1" applyBorder="1" applyAlignment="1" applyProtection="1">
      <alignment vertical="center"/>
      <protection locked="0"/>
    </xf>
    <xf numFmtId="284" fontId="18" fillId="2" borderId="9" xfId="6" applyNumberFormat="1" applyFont="1" applyFill="1" applyBorder="1" applyAlignment="1" applyProtection="1">
      <alignment horizontal="center" vertical="center"/>
    </xf>
    <xf numFmtId="291" fontId="36" fillId="3" borderId="15" xfId="0" applyNumberFormat="1" applyFont="1" applyFill="1" applyBorder="1" applyAlignment="1" applyProtection="1">
      <alignment horizontal="center" vertical="center"/>
      <protection locked="0"/>
    </xf>
    <xf numFmtId="291" fontId="36" fillId="3" borderId="17" xfId="0" applyNumberFormat="1" applyFont="1" applyFill="1" applyBorder="1" applyAlignment="1" applyProtection="1">
      <alignment horizontal="center" vertical="center"/>
      <protection locked="0"/>
    </xf>
    <xf numFmtId="291" fontId="36" fillId="3" borderId="18" xfId="0" applyNumberFormat="1" applyFont="1" applyFill="1" applyBorder="1" applyAlignment="1" applyProtection="1">
      <alignment horizontal="center" vertical="center"/>
      <protection locked="0"/>
    </xf>
    <xf numFmtId="292" fontId="15" fillId="0" borderId="21" xfId="0" applyNumberFormat="1" applyFont="1" applyBorder="1" applyAlignment="1">
      <alignment horizontal="center"/>
    </xf>
    <xf numFmtId="292" fontId="15" fillId="0" borderId="71" xfId="0" applyNumberFormat="1" applyFont="1" applyBorder="1" applyAlignment="1">
      <alignment horizontal="center"/>
    </xf>
    <xf numFmtId="292" fontId="15" fillId="0" borderId="42" xfId="0" applyNumberFormat="1" applyFont="1" applyBorder="1" applyAlignment="1">
      <alignment horizontal="center"/>
    </xf>
    <xf numFmtId="0" fontId="19" fillId="0" borderId="39" xfId="0" applyFont="1" applyBorder="1" applyAlignment="1">
      <alignment horizontal="right" vertical="center" indent="1"/>
    </xf>
    <xf numFmtId="0" fontId="33" fillId="0" borderId="0" xfId="0" applyFont="1" applyAlignment="1">
      <alignment horizontal="left" indent="2"/>
    </xf>
    <xf numFmtId="293" fontId="32" fillId="0" borderId="1" xfId="0" applyNumberFormat="1" applyFont="1" applyBorder="1" applyAlignment="1" applyProtection="1">
      <alignment horizontal="center" vertical="center"/>
    </xf>
    <xf numFmtId="3" fontId="18" fillId="0" borderId="9" xfId="0" applyNumberFormat="1" applyFont="1" applyBorder="1" applyAlignment="1">
      <alignment horizontal="right" vertical="center"/>
    </xf>
    <xf numFmtId="3" fontId="18" fillId="0" borderId="18" xfId="0" applyNumberFormat="1" applyFont="1" applyBorder="1" applyAlignment="1">
      <alignment horizontal="left" vertical="center" indent="1"/>
    </xf>
    <xf numFmtId="3" fontId="18" fillId="0" borderId="12" xfId="0" applyNumberFormat="1" applyFont="1" applyBorder="1" applyAlignment="1">
      <alignment horizontal="left" vertical="center" indent="1"/>
    </xf>
    <xf numFmtId="3" fontId="18" fillId="0" borderId="19" xfId="0" applyNumberFormat="1" applyFont="1" applyBorder="1" applyAlignment="1">
      <alignment horizontal="left" vertical="center" indent="1"/>
    </xf>
    <xf numFmtId="3" fontId="19" fillId="0" borderId="8" xfId="0" applyNumberFormat="1" applyFont="1" applyBorder="1" applyAlignment="1" applyProtection="1">
      <alignment horizontal="left" vertical="center" indent="3"/>
    </xf>
    <xf numFmtId="286" fontId="19" fillId="0" borderId="5" xfId="6" applyNumberFormat="1" applyFont="1" applyBorder="1" applyAlignment="1" applyProtection="1">
      <alignment vertical="center"/>
    </xf>
    <xf numFmtId="190" fontId="19" fillId="0" borderId="54" xfId="0" applyNumberFormat="1" applyFont="1" applyBorder="1" applyAlignment="1" applyProtection="1">
      <alignment vertical="center"/>
    </xf>
    <xf numFmtId="189" fontId="19" fillId="0" borderId="55" xfId="0" applyNumberFormat="1" applyFont="1" applyBorder="1" applyAlignment="1" applyProtection="1">
      <alignment vertical="center"/>
    </xf>
    <xf numFmtId="189" fontId="19" fillId="0" borderId="77" xfId="0" applyNumberFormat="1" applyFont="1" applyBorder="1" applyAlignment="1" applyProtection="1">
      <alignment vertical="center"/>
    </xf>
    <xf numFmtId="189" fontId="19" fillId="0" borderId="78" xfId="0" applyNumberFormat="1" applyFont="1" applyBorder="1" applyAlignment="1" applyProtection="1">
      <alignment vertical="center"/>
    </xf>
    <xf numFmtId="3" fontId="12" fillId="0" borderId="10" xfId="0" applyNumberFormat="1" applyFont="1" applyBorder="1" applyAlignment="1">
      <alignment horizontal="left" indent="1"/>
    </xf>
    <xf numFmtId="294" fontId="36" fillId="0" borderId="12" xfId="0" applyNumberFormat="1" applyFont="1" applyBorder="1" applyAlignment="1" applyProtection="1">
      <alignment horizontal="right" indent="1"/>
    </xf>
    <xf numFmtId="294" fontId="36" fillId="0" borderId="38" xfId="0" applyNumberFormat="1" applyFont="1" applyBorder="1" applyAlignment="1" applyProtection="1">
      <alignment horizontal="right" indent="1"/>
    </xf>
    <xf numFmtId="3" fontId="15" fillId="0" borderId="34" xfId="0" applyNumberFormat="1" applyFont="1" applyBorder="1" applyAlignment="1">
      <alignment horizontal="left" vertical="center" indent="1"/>
    </xf>
    <xf numFmtId="0" fontId="18" fillId="0" borderId="18" xfId="0" applyFont="1" applyBorder="1" applyAlignment="1" applyProtection="1">
      <alignment horizontal="center"/>
    </xf>
    <xf numFmtId="0" fontId="18" fillId="0" borderId="17" xfId="0" applyFont="1" applyBorder="1" applyAlignment="1" applyProtection="1">
      <alignment horizontal="center"/>
    </xf>
    <xf numFmtId="0" fontId="20" fillId="0" borderId="11" xfId="0" applyFont="1" applyBorder="1" applyAlignment="1" applyProtection="1">
      <alignment horizontal="center"/>
    </xf>
    <xf numFmtId="0" fontId="21" fillId="0" borderId="15" xfId="0" applyFont="1" applyBorder="1" applyAlignment="1" applyProtection="1">
      <alignment horizontal="left" indent="1"/>
    </xf>
    <xf numFmtId="0" fontId="15" fillId="0" borderId="14" xfId="0" applyFont="1" applyBorder="1" applyProtection="1"/>
    <xf numFmtId="3" fontId="21" fillId="0" borderId="10" xfId="0" applyNumberFormat="1" applyFont="1" applyBorder="1" applyAlignment="1" applyProtection="1">
      <alignment horizontal="left" indent="1"/>
    </xf>
    <xf numFmtId="3" fontId="18" fillId="0" borderId="9" xfId="0" applyNumberFormat="1" applyFont="1" applyBorder="1" applyAlignment="1">
      <alignment horizontal="center" vertical="center"/>
    </xf>
    <xf numFmtId="3" fontId="18" fillId="0" borderId="9" xfId="0" applyNumberFormat="1" applyFont="1" applyBorder="1" applyAlignment="1">
      <alignment horizontal="right" vertical="center" indent="1"/>
    </xf>
    <xf numFmtId="0" fontId="36" fillId="0" borderId="19" xfId="0" applyFont="1" applyBorder="1" applyAlignment="1">
      <alignment horizontal="right" vertical="center" indent="1"/>
    </xf>
    <xf numFmtId="0" fontId="36" fillId="0" borderId="18" xfId="0" applyFont="1" applyBorder="1" applyAlignment="1">
      <alignment horizontal="right" vertical="center" indent="1"/>
    </xf>
    <xf numFmtId="0" fontId="36" fillId="0" borderId="12" xfId="0" applyFont="1" applyBorder="1" applyAlignment="1">
      <alignment horizontal="right" vertical="center" indent="1"/>
    </xf>
    <xf numFmtId="3" fontId="25" fillId="0" borderId="0" xfId="0" quotePrefix="1" applyNumberFormat="1" applyFont="1" applyAlignment="1" applyProtection="1">
      <alignment horizontal="left"/>
    </xf>
    <xf numFmtId="3" fontId="15" fillId="0" borderId="10" xfId="0" applyNumberFormat="1" applyFont="1" applyBorder="1" applyAlignment="1">
      <alignment horizontal="left" indent="1"/>
    </xf>
    <xf numFmtId="3" fontId="12" fillId="0" borderId="64" xfId="0" applyNumberFormat="1" applyFont="1" applyBorder="1" applyAlignment="1">
      <alignment horizontal="right"/>
    </xf>
    <xf numFmtId="3" fontId="12" fillId="0" borderId="64" xfId="0" applyNumberFormat="1" applyFont="1" applyBorder="1"/>
    <xf numFmtId="0" fontId="29" fillId="0" borderId="0" xfId="0" applyFont="1"/>
    <xf numFmtId="9" fontId="51" fillId="0" borderId="0" xfId="6" applyFont="1" applyFill="1" applyAlignment="1">
      <alignment horizontal="center"/>
    </xf>
    <xf numFmtId="265" fontId="54" fillId="0" borderId="0" xfId="0" applyNumberFormat="1" applyFont="1" applyAlignment="1">
      <alignment horizontal="center" vertical="center" wrapText="1"/>
    </xf>
    <xf numFmtId="179" fontId="18" fillId="0" borderId="0" xfId="0" applyNumberFormat="1" applyFont="1"/>
    <xf numFmtId="9" fontId="29" fillId="0" borderId="0" xfId="0" applyNumberFormat="1" applyFont="1"/>
    <xf numFmtId="9" fontId="29" fillId="0" borderId="0" xfId="6" applyFont="1" applyFill="1" applyAlignment="1">
      <alignment horizontal="center"/>
    </xf>
    <xf numFmtId="296" fontId="44" fillId="0" borderId="37" xfId="0" applyNumberFormat="1" applyFont="1" applyBorder="1" applyAlignment="1">
      <alignment horizontal="left" indent="3"/>
    </xf>
    <xf numFmtId="0" fontId="33" fillId="0" borderId="9" xfId="0" applyFont="1" applyBorder="1" applyAlignment="1" applyProtection="1">
      <alignment horizontal="centerContinuous"/>
    </xf>
    <xf numFmtId="0" fontId="0" fillId="0" borderId="6" xfId="0" applyBorder="1" applyAlignment="1" applyProtection="1">
      <alignment horizontal="centerContinuous"/>
    </xf>
    <xf numFmtId="0" fontId="0" fillId="0" borderId="6" xfId="0" applyBorder="1" applyAlignment="1">
      <alignment horizontal="centerContinuous"/>
    </xf>
    <xf numFmtId="0" fontId="0" fillId="0" borderId="1" xfId="0" applyBorder="1" applyAlignment="1">
      <alignment horizontal="centerContinuous"/>
    </xf>
    <xf numFmtId="0" fontId="20" fillId="0" borderId="9" xfId="0" applyFont="1" applyBorder="1" applyAlignment="1" applyProtection="1">
      <alignment horizontal="left" vertical="center" indent="2"/>
    </xf>
    <xf numFmtId="0" fontId="18" fillId="0" borderId="11" xfId="0" applyFont="1" applyBorder="1" applyAlignment="1" applyProtection="1">
      <alignment horizontal="center" wrapText="1"/>
    </xf>
    <xf numFmtId="297" fontId="18" fillId="0" borderId="9" xfId="0" applyNumberFormat="1" applyFont="1" applyBorder="1" applyAlignment="1">
      <alignment horizontal="center" wrapText="1"/>
    </xf>
    <xf numFmtId="297" fontId="18" fillId="0" borderId="11" xfId="0" applyNumberFormat="1" applyFont="1" applyBorder="1" applyAlignment="1">
      <alignment horizontal="center" wrapText="1"/>
    </xf>
    <xf numFmtId="0" fontId="21" fillId="0" borderId="15" xfId="0" applyFont="1" applyBorder="1" applyAlignment="1" applyProtection="1">
      <alignment horizontal="left" vertical="center" indent="2"/>
    </xf>
    <xf numFmtId="200" fontId="21" fillId="0" borderId="15" xfId="0" applyNumberFormat="1" applyFont="1" applyBorder="1" applyProtection="1"/>
    <xf numFmtId="0" fontId="21" fillId="0" borderId="12" xfId="0" applyFont="1" applyBorder="1" applyAlignment="1" applyProtection="1">
      <alignment horizontal="left" indent="2"/>
    </xf>
    <xf numFmtId="0" fontId="21" fillId="0" borderId="7" xfId="0" applyFont="1" applyBorder="1" applyAlignment="1" applyProtection="1">
      <alignment horizontal="left" indent="2"/>
    </xf>
    <xf numFmtId="200" fontId="21" fillId="0" borderId="12" xfId="0" applyNumberFormat="1" applyFont="1" applyBorder="1" applyProtection="1"/>
    <xf numFmtId="0" fontId="18" fillId="0" borderId="16" xfId="0" applyFont="1" applyBorder="1" applyAlignment="1" applyProtection="1">
      <alignment horizontal="left" indent="2"/>
    </xf>
    <xf numFmtId="200" fontId="78" fillId="0" borderId="17" xfId="0" applyNumberFormat="1" applyFont="1" applyBorder="1" applyProtection="1"/>
    <xf numFmtId="200" fontId="78" fillId="0" borderId="57" xfId="0" applyNumberFormat="1" applyFont="1" applyBorder="1" applyProtection="1"/>
    <xf numFmtId="0" fontId="0" fillId="0" borderId="10" xfId="0" applyBorder="1" applyProtection="1"/>
    <xf numFmtId="0" fontId="0" fillId="0" borderId="68" xfId="0" applyBorder="1"/>
    <xf numFmtId="200" fontId="78" fillId="0" borderId="11" xfId="0" applyNumberFormat="1" applyFont="1" applyBorder="1" applyProtection="1"/>
    <xf numFmtId="200" fontId="78" fillId="0" borderId="9" xfId="0" applyNumberFormat="1" applyFont="1" applyBorder="1" applyProtection="1"/>
    <xf numFmtId="200" fontId="18" fillId="0" borderId="11" xfId="0" applyNumberFormat="1" applyFont="1" applyBorder="1" applyProtection="1"/>
    <xf numFmtId="200" fontId="18" fillId="0" borderId="9" xfId="0" applyNumberFormat="1" applyFont="1" applyBorder="1" applyProtection="1"/>
    <xf numFmtId="0" fontId="15" fillId="0" borderId="49" xfId="0" applyFont="1" applyBorder="1" applyAlignment="1" applyProtection="1">
      <alignment horizontal="center" vertical="center"/>
    </xf>
    <xf numFmtId="235" fontId="19" fillId="18" borderId="12" xfId="4" applyNumberFormat="1" applyFont="1" applyFill="1" applyBorder="1" applyProtection="1"/>
    <xf numFmtId="235" fontId="19" fillId="18" borderId="19" xfId="4" applyNumberFormat="1" applyFont="1" applyFill="1" applyBorder="1" applyProtection="1"/>
    <xf numFmtId="236" fontId="15" fillId="0" borderId="11" xfId="4" applyNumberFormat="1" applyFont="1" applyFill="1" applyBorder="1" applyAlignment="1" applyProtection="1">
      <alignment vertical="center"/>
    </xf>
    <xf numFmtId="3" fontId="19" fillId="0" borderId="2" xfId="0" applyNumberFormat="1" applyFont="1" applyBorder="1" applyAlignment="1" applyProtection="1">
      <alignment horizontal="center" vertical="center" wrapText="1"/>
    </xf>
    <xf numFmtId="298" fontId="19" fillId="11" borderId="68" xfId="4" applyNumberFormat="1" applyFont="1" applyFill="1" applyBorder="1"/>
    <xf numFmtId="200" fontId="15" fillId="0" borderId="9" xfId="0" applyNumberFormat="1" applyFont="1" applyBorder="1" applyAlignment="1" applyProtection="1">
      <alignment horizontal="center" vertical="center"/>
    </xf>
    <xf numFmtId="200" fontId="15" fillId="0" borderId="11" xfId="0" applyNumberFormat="1" applyFont="1" applyBorder="1" applyAlignment="1" applyProtection="1">
      <alignment horizontal="center" vertical="center"/>
    </xf>
    <xf numFmtId="200" fontId="15" fillId="0" borderId="1" xfId="0" applyNumberFormat="1" applyFont="1" applyBorder="1" applyAlignment="1" applyProtection="1">
      <alignment horizontal="center" vertical="center"/>
    </xf>
    <xf numFmtId="206" fontId="15" fillId="0" borderId="49" xfId="0" applyNumberFormat="1" applyFont="1" applyBorder="1" applyAlignment="1" applyProtection="1">
      <alignment vertical="center"/>
    </xf>
    <xf numFmtId="206" fontId="15" fillId="0" borderId="18" xfId="0" applyNumberFormat="1" applyFont="1" applyBorder="1" applyAlignment="1" applyProtection="1">
      <alignment vertical="center"/>
    </xf>
    <xf numFmtId="206" fontId="15" fillId="0" borderId="42" xfId="0" applyNumberFormat="1" applyFont="1" applyBorder="1" applyAlignment="1" applyProtection="1">
      <alignment vertical="center"/>
    </xf>
    <xf numFmtId="233" fontId="39" fillId="0" borderId="7" xfId="0" applyNumberFormat="1" applyFont="1" applyBorder="1" applyAlignment="1" applyProtection="1">
      <alignment vertical="center"/>
    </xf>
    <xf numFmtId="233" fontId="19" fillId="19" borderId="12" xfId="0" applyNumberFormat="1" applyFont="1" applyFill="1" applyBorder="1" applyAlignment="1" applyProtection="1">
      <alignment vertical="center"/>
      <protection locked="0"/>
    </xf>
    <xf numFmtId="206" fontId="15" fillId="0" borderId="43" xfId="0" applyNumberFormat="1" applyFont="1" applyBorder="1" applyAlignment="1" applyProtection="1">
      <alignment vertical="center"/>
    </xf>
    <xf numFmtId="233" fontId="39" fillId="0" borderId="12" xfId="0" applyNumberFormat="1" applyFont="1" applyBorder="1" applyAlignment="1" applyProtection="1">
      <alignment vertical="center"/>
    </xf>
    <xf numFmtId="3" fontId="19" fillId="0" borderId="16" xfId="0" applyNumberFormat="1" applyFont="1" applyBorder="1" applyAlignment="1" applyProtection="1">
      <alignment horizontal="right"/>
    </xf>
    <xf numFmtId="3" fontId="19" fillId="0" borderId="19" xfId="0" applyNumberFormat="1" applyFont="1" applyBorder="1" applyAlignment="1" applyProtection="1">
      <alignment horizontal="right"/>
    </xf>
    <xf numFmtId="3" fontId="19" fillId="0" borderId="44" xfId="0" applyNumberFormat="1" applyFont="1" applyBorder="1" applyAlignment="1" applyProtection="1">
      <alignment horizontal="right"/>
    </xf>
    <xf numFmtId="9" fontId="19" fillId="0" borderId="10" xfId="6" applyFont="1" applyFill="1" applyBorder="1" applyProtection="1"/>
    <xf numFmtId="3" fontId="19" fillId="0" borderId="68" xfId="0" applyNumberFormat="1" applyFont="1" applyBorder="1" applyAlignment="1" applyProtection="1">
      <alignment horizontal="right"/>
    </xf>
    <xf numFmtId="233" fontId="39" fillId="0" borderId="7" xfId="0" quotePrefix="1" applyNumberFormat="1" applyFont="1" applyBorder="1" applyAlignment="1" applyProtection="1">
      <alignment vertical="center"/>
    </xf>
    <xf numFmtId="206" fontId="15" fillId="0" borderId="9" xfId="0" applyNumberFormat="1" applyFont="1" applyBorder="1" applyAlignment="1" applyProtection="1">
      <alignment vertical="center"/>
    </xf>
    <xf numFmtId="206" fontId="15" fillId="0" borderId="11" xfId="0" applyNumberFormat="1" applyFont="1" applyBorder="1" applyAlignment="1" applyProtection="1">
      <alignment vertical="center"/>
    </xf>
    <xf numFmtId="206" fontId="15" fillId="0" borderId="1" xfId="0" applyNumberFormat="1" applyFont="1" applyBorder="1" applyAlignment="1" applyProtection="1">
      <alignment vertical="center"/>
    </xf>
    <xf numFmtId="190" fontId="15" fillId="0" borderId="9" xfId="4" applyNumberFormat="1" applyFont="1" applyFill="1" applyBorder="1" applyAlignment="1" applyProtection="1">
      <alignment horizontal="right" vertical="center"/>
    </xf>
    <xf numFmtId="9" fontId="15" fillId="0" borderId="40" xfId="0" applyNumberFormat="1" applyFont="1" applyBorder="1" applyAlignment="1" applyProtection="1">
      <alignment horizontal="center" vertical="center"/>
    </xf>
    <xf numFmtId="206" fontId="19" fillId="0" borderId="12" xfId="6" applyNumberFormat="1" applyFont="1" applyFill="1" applyBorder="1" applyAlignment="1" applyProtection="1">
      <alignment vertical="center"/>
    </xf>
    <xf numFmtId="0" fontId="87" fillId="0" borderId="23" xfId="0" applyFont="1" applyBorder="1" applyAlignment="1">
      <alignment horizontal="center"/>
    </xf>
    <xf numFmtId="0" fontId="87" fillId="0" borderId="34" xfId="0" applyFont="1" applyBorder="1" applyAlignment="1">
      <alignment horizontal="center"/>
    </xf>
    <xf numFmtId="3" fontId="18" fillId="0" borderId="156" xfId="0" applyNumberFormat="1" applyFont="1" applyBorder="1" applyAlignment="1">
      <alignment horizontal="center" vertical="center" wrapText="1"/>
    </xf>
    <xf numFmtId="3" fontId="18" fillId="0" borderId="157" xfId="0" applyNumberFormat="1" applyFont="1" applyBorder="1" applyAlignment="1">
      <alignment horizontal="center" vertical="center"/>
    </xf>
    <xf numFmtId="213" fontId="21" fillId="0" borderId="43" xfId="0" applyNumberFormat="1" applyFont="1" applyBorder="1" applyAlignment="1" applyProtection="1">
      <alignment vertical="center"/>
      <protection locked="0"/>
    </xf>
    <xf numFmtId="286" fontId="21" fillId="0" borderId="98" xfId="6" applyNumberFormat="1" applyFont="1" applyBorder="1"/>
    <xf numFmtId="213" fontId="21" fillId="0" borderId="12" xfId="0" applyNumberFormat="1" applyFont="1" applyBorder="1" applyAlignment="1">
      <alignment vertical="center"/>
    </xf>
    <xf numFmtId="213" fontId="18" fillId="0" borderId="158" xfId="0" applyNumberFormat="1" applyFont="1" applyBorder="1" applyAlignment="1">
      <alignment vertical="center"/>
    </xf>
    <xf numFmtId="286" fontId="18" fillId="0" borderId="153" xfId="6" applyNumberFormat="1" applyFont="1" applyBorder="1"/>
    <xf numFmtId="299" fontId="36" fillId="0" borderId="21" xfId="0" applyNumberFormat="1" applyFont="1" applyBorder="1" applyAlignment="1">
      <alignment vertical="center"/>
    </xf>
    <xf numFmtId="263" fontId="36" fillId="0" borderId="2" xfId="0" applyNumberFormat="1" applyFont="1" applyBorder="1" applyAlignment="1">
      <alignment vertical="center"/>
    </xf>
    <xf numFmtId="0" fontId="36" fillId="0" borderId="24" xfId="0" applyFont="1" applyBorder="1" applyAlignment="1">
      <alignment horizontal="left" vertical="center" indent="1"/>
    </xf>
    <xf numFmtId="3" fontId="21" fillId="0" borderId="57" xfId="0" applyNumberFormat="1" applyFont="1" applyBorder="1" applyAlignment="1" applyProtection="1">
      <alignment horizontal="left" indent="1"/>
    </xf>
    <xf numFmtId="227" fontId="21" fillId="0" borderId="65" xfId="0" applyNumberFormat="1" applyFont="1" applyBorder="1" applyProtection="1">
      <protection locked="0"/>
    </xf>
    <xf numFmtId="227" fontId="21" fillId="0" borderId="84" xfId="0" applyNumberFormat="1" applyFont="1" applyBorder="1" applyProtection="1">
      <protection locked="0"/>
    </xf>
    <xf numFmtId="227" fontId="21" fillId="0" borderId="119" xfId="0" applyNumberFormat="1" applyFont="1" applyBorder="1" applyProtection="1">
      <protection locked="0"/>
    </xf>
    <xf numFmtId="206" fontId="21" fillId="0" borderId="17" xfId="0" applyNumberFormat="1" applyFont="1" applyBorder="1" applyProtection="1">
      <protection locked="0"/>
    </xf>
    <xf numFmtId="3" fontId="21" fillId="0" borderId="12" xfId="0" applyNumberFormat="1" applyFont="1" applyBorder="1" applyProtection="1">
      <protection locked="0"/>
    </xf>
    <xf numFmtId="206" fontId="21" fillId="0" borderId="12" xfId="0" applyNumberFormat="1" applyFont="1" applyBorder="1" applyProtection="1">
      <protection locked="0"/>
    </xf>
    <xf numFmtId="0" fontId="15" fillId="0" borderId="9" xfId="0" applyFont="1" applyBorder="1" applyAlignment="1">
      <alignment horizontal="right" vertical="center"/>
    </xf>
    <xf numFmtId="0" fontId="12" fillId="0" borderId="39" xfId="0" applyFont="1" applyBorder="1" applyAlignment="1">
      <alignment vertical="center"/>
    </xf>
    <xf numFmtId="0" fontId="36" fillId="0" borderId="25" xfId="0" applyFont="1" applyBorder="1" applyAlignment="1">
      <alignment horizontal="right" vertical="center" indent="1"/>
    </xf>
    <xf numFmtId="10" fontId="19" fillId="2" borderId="11" xfId="0" applyNumberFormat="1" applyFont="1" applyFill="1" applyBorder="1" applyAlignment="1" applyProtection="1">
      <alignment horizontal="center" vertical="center"/>
      <protection locked="0"/>
    </xf>
    <xf numFmtId="166" fontId="21" fillId="2" borderId="19" xfId="6" applyNumberFormat="1" applyFont="1" applyFill="1" applyBorder="1" applyAlignment="1" applyProtection="1">
      <alignment horizontal="center"/>
      <protection locked="0"/>
    </xf>
    <xf numFmtId="3" fontId="36" fillId="0" borderId="12" xfId="0" applyNumberFormat="1" applyFont="1" applyBorder="1" applyAlignment="1">
      <alignment horizontal="center" vertical="center" wrapText="1"/>
    </xf>
    <xf numFmtId="270" fontId="36" fillId="0" borderId="23" xfId="6" applyNumberFormat="1" applyFont="1" applyFill="1" applyBorder="1" applyAlignment="1">
      <alignment horizontal="center" vertical="center"/>
    </xf>
    <xf numFmtId="270" fontId="36" fillId="0" borderId="51" xfId="6" applyNumberFormat="1" applyFont="1" applyFill="1" applyBorder="1" applyAlignment="1">
      <alignment horizontal="center" vertical="center"/>
    </xf>
    <xf numFmtId="270" fontId="36" fillId="0" borderId="50" xfId="6" applyNumberFormat="1" applyFont="1" applyFill="1" applyBorder="1" applyAlignment="1">
      <alignment horizontal="center" vertical="center"/>
    </xf>
    <xf numFmtId="270" fontId="36" fillId="0" borderId="2" xfId="6" applyNumberFormat="1" applyFont="1" applyFill="1" applyBorder="1" applyAlignment="1">
      <alignment horizontal="center" vertical="center"/>
    </xf>
    <xf numFmtId="270" fontId="36" fillId="0" borderId="43" xfId="6" applyNumberFormat="1" applyFont="1" applyFill="1" applyBorder="1" applyAlignment="1">
      <alignment horizontal="center" vertical="center"/>
    </xf>
    <xf numFmtId="300" fontId="36" fillId="0" borderId="34" xfId="6" applyNumberFormat="1" applyFont="1" applyFill="1" applyBorder="1" applyAlignment="1">
      <alignment horizontal="center" vertical="center"/>
    </xf>
    <xf numFmtId="300" fontId="36" fillId="0" borderId="63" xfId="6" applyNumberFormat="1" applyFont="1" applyFill="1" applyBorder="1" applyAlignment="1">
      <alignment horizontal="center" vertical="center"/>
    </xf>
    <xf numFmtId="300" fontId="36" fillId="0" borderId="60" xfId="6" applyNumberFormat="1" applyFont="1" applyFill="1" applyBorder="1" applyAlignment="1">
      <alignment horizontal="center" vertical="center"/>
    </xf>
    <xf numFmtId="300" fontId="36" fillId="0" borderId="35" xfId="6" applyNumberFormat="1" applyFont="1" applyFill="1" applyBorder="1" applyAlignment="1">
      <alignment horizontal="center" vertical="center"/>
    </xf>
    <xf numFmtId="300" fontId="36" fillId="0" borderId="44" xfId="6" applyNumberFormat="1" applyFont="1" applyFill="1" applyBorder="1" applyAlignment="1">
      <alignment horizontal="center" vertical="center"/>
    </xf>
    <xf numFmtId="0" fontId="19" fillId="0" borderId="1" xfId="0" applyFont="1" applyBorder="1" applyAlignment="1" applyProtection="1">
      <alignment horizontal="centerContinuous" vertical="center"/>
    </xf>
    <xf numFmtId="3" fontId="15" fillId="0" borderId="6" xfId="0" applyNumberFormat="1" applyFont="1" applyBorder="1" applyAlignment="1" applyProtection="1">
      <alignment horizontal="centerContinuous" vertical="center" wrapText="1"/>
    </xf>
    <xf numFmtId="0" fontId="15" fillId="0" borderId="10" xfId="0" applyFont="1" applyBorder="1" applyAlignment="1">
      <alignment horizontal="center" vertical="center"/>
    </xf>
    <xf numFmtId="0" fontId="36" fillId="0" borderId="20" xfId="0" applyFont="1" applyBorder="1" applyAlignment="1" applyProtection="1">
      <alignment horizontal="center" vertical="center" shrinkToFit="1"/>
    </xf>
    <xf numFmtId="0" fontId="36" fillId="0" borderId="22" xfId="0" applyFont="1" applyBorder="1" applyAlignment="1" applyProtection="1">
      <alignment vertical="center" shrinkToFit="1"/>
    </xf>
    <xf numFmtId="0" fontId="36" fillId="0" borderId="41" xfId="0" applyFont="1" applyBorder="1" applyAlignment="1" applyProtection="1">
      <alignment horizontal="center" vertical="center" shrinkToFit="1"/>
    </xf>
    <xf numFmtId="0" fontId="19" fillId="0" borderId="7" xfId="0" applyFont="1" applyBorder="1" applyAlignment="1">
      <alignment horizontal="left" vertical="center" indent="3"/>
    </xf>
    <xf numFmtId="0" fontId="19" fillId="0" borderId="10" xfId="0" applyFont="1" applyBorder="1" applyAlignment="1">
      <alignment vertical="center"/>
    </xf>
    <xf numFmtId="0" fontId="19" fillId="0" borderId="68" xfId="0" applyFont="1" applyBorder="1" applyAlignment="1" applyProtection="1">
      <alignment vertical="center"/>
    </xf>
    <xf numFmtId="0" fontId="18" fillId="0" borderId="128" xfId="0" applyFont="1" applyBorder="1" applyAlignment="1" applyProtection="1">
      <alignment horizontal="center" vertical="center" wrapText="1"/>
    </xf>
    <xf numFmtId="0" fontId="19" fillId="0" borderId="6" xfId="0" applyFont="1" applyBorder="1" applyAlignment="1" applyProtection="1">
      <alignment horizontal="centerContinuous" vertical="center"/>
    </xf>
    <xf numFmtId="0" fontId="20" fillId="0" borderId="18" xfId="0" applyFont="1" applyBorder="1" applyAlignment="1" applyProtection="1">
      <alignment horizontal="center" vertical="center" wrapText="1" shrinkToFit="1"/>
    </xf>
    <xf numFmtId="0" fontId="20" fillId="0" borderId="22" xfId="0" applyFont="1" applyBorder="1" applyAlignment="1" applyProtection="1">
      <alignment horizontal="center" vertical="center" wrapText="1" shrinkToFit="1"/>
    </xf>
    <xf numFmtId="0" fontId="20" fillId="0" borderId="42" xfId="0" applyFont="1" applyBorder="1" applyAlignment="1" applyProtection="1">
      <alignment horizontal="center" vertical="center" wrapText="1" shrinkToFit="1"/>
    </xf>
    <xf numFmtId="0" fontId="19" fillId="0" borderId="23" xfId="0" applyFont="1" applyBorder="1" applyAlignment="1" applyProtection="1">
      <alignment horizontal="left" vertical="center" indent="1"/>
    </xf>
    <xf numFmtId="3" fontId="21" fillId="3" borderId="43" xfId="0" applyNumberFormat="1" applyFont="1" applyFill="1" applyBorder="1" applyAlignment="1" applyProtection="1">
      <alignment horizontal="center" vertical="center"/>
      <protection locked="0"/>
    </xf>
    <xf numFmtId="216" fontId="21" fillId="0" borderId="12" xfId="0" applyNumberFormat="1" applyFont="1" applyBorder="1" applyAlignment="1" applyProtection="1">
      <alignment vertical="center"/>
    </xf>
    <xf numFmtId="0" fontId="19" fillId="0" borderId="10" xfId="0" applyFont="1" applyBorder="1" applyAlignment="1" applyProtection="1">
      <alignment horizontal="left" vertical="center" indent="1"/>
    </xf>
    <xf numFmtId="0" fontId="19" fillId="0" borderId="0" xfId="0" applyFont="1" applyAlignment="1" applyProtection="1">
      <alignment horizontal="left" vertical="center" indent="1"/>
    </xf>
    <xf numFmtId="0" fontId="19" fillId="0" borderId="16" xfId="0" applyFont="1" applyBorder="1" applyAlignment="1" applyProtection="1">
      <alignment vertical="center"/>
    </xf>
    <xf numFmtId="0" fontId="19" fillId="0" borderId="62" xfId="0" applyFont="1" applyBorder="1" applyAlignment="1" applyProtection="1">
      <alignment vertical="center"/>
    </xf>
    <xf numFmtId="3" fontId="21" fillId="0" borderId="12" xfId="0" applyNumberFormat="1" applyFont="1" applyBorder="1" applyAlignment="1" applyProtection="1">
      <alignment horizontal="center" vertical="center"/>
    </xf>
    <xf numFmtId="216" fontId="21" fillId="0" borderId="12" xfId="0" applyNumberFormat="1" applyFont="1" applyBorder="1" applyAlignment="1" applyProtection="1">
      <alignment vertical="center"/>
      <protection locked="0"/>
    </xf>
    <xf numFmtId="216" fontId="18" fillId="0" borderId="37" xfId="0" applyNumberFormat="1" applyFont="1" applyBorder="1"/>
    <xf numFmtId="216" fontId="18" fillId="0" borderId="36" xfId="0" applyNumberFormat="1" applyFont="1" applyBorder="1"/>
    <xf numFmtId="218" fontId="18" fillId="0" borderId="37" xfId="0" applyNumberFormat="1" applyFont="1" applyBorder="1"/>
    <xf numFmtId="218" fontId="18" fillId="0" borderId="36" xfId="0" applyNumberFormat="1" applyFont="1" applyBorder="1"/>
    <xf numFmtId="218" fontId="18" fillId="0" borderId="25" xfId="0" applyNumberFormat="1" applyFont="1" applyBorder="1"/>
    <xf numFmtId="218" fontId="21" fillId="0" borderId="37" xfId="0" applyNumberFormat="1" applyFont="1" applyBorder="1"/>
    <xf numFmtId="218" fontId="21" fillId="0" borderId="36" xfId="0" applyNumberFormat="1" applyFont="1" applyBorder="1"/>
    <xf numFmtId="218" fontId="21" fillId="0" borderId="25" xfId="0" applyNumberFormat="1" applyFont="1" applyBorder="1"/>
    <xf numFmtId="216" fontId="21" fillId="0" borderId="37" xfId="0" applyNumberFormat="1" applyFont="1" applyBorder="1"/>
    <xf numFmtId="216" fontId="21" fillId="0" borderId="36" xfId="0" applyNumberFormat="1" applyFont="1" applyBorder="1"/>
    <xf numFmtId="216" fontId="21" fillId="0" borderId="25" xfId="0" applyNumberFormat="1" applyFont="1" applyBorder="1"/>
    <xf numFmtId="166" fontId="21" fillId="2" borderId="12" xfId="0" applyNumberFormat="1" applyFont="1" applyFill="1" applyBorder="1" applyAlignment="1" applyProtection="1">
      <alignment horizontal="center" vertical="center"/>
      <protection locked="0"/>
    </xf>
    <xf numFmtId="166" fontId="21" fillId="2" borderId="43" xfId="0" applyNumberFormat="1" applyFont="1" applyFill="1" applyBorder="1" applyAlignment="1" applyProtection="1">
      <alignment horizontal="center" vertical="center"/>
      <protection locked="0"/>
    </xf>
    <xf numFmtId="0" fontId="15" fillId="0" borderId="26" xfId="0" applyFont="1" applyBorder="1" applyAlignment="1" applyProtection="1">
      <alignment horizontal="centerContinuous" vertical="center"/>
    </xf>
    <xf numFmtId="0" fontId="15" fillId="0" borderId="26" xfId="0" applyFont="1" applyBorder="1" applyAlignment="1">
      <alignment horizontal="centerContinuous" vertical="center"/>
    </xf>
    <xf numFmtId="0" fontId="15" fillId="0" borderId="40" xfId="0" applyFont="1" applyBorder="1" applyAlignment="1" applyProtection="1">
      <alignment horizontal="centerContinuous" vertical="center"/>
    </xf>
    <xf numFmtId="3" fontId="15" fillId="0" borderId="56" xfId="0" applyNumberFormat="1" applyFont="1" applyBorder="1" applyAlignment="1" applyProtection="1">
      <alignment horizontal="centerContinuous" vertical="center" wrapText="1"/>
    </xf>
    <xf numFmtId="0" fontId="19" fillId="0" borderId="40" xfId="0" applyFont="1" applyBorder="1" applyAlignment="1" applyProtection="1">
      <alignment horizontal="centerContinuous" vertical="center"/>
    </xf>
    <xf numFmtId="0" fontId="21" fillId="0" borderId="7" xfId="0" applyFont="1" applyBorder="1" applyAlignment="1" applyProtection="1">
      <alignment vertical="center"/>
    </xf>
    <xf numFmtId="0" fontId="21" fillId="0" borderId="13" xfId="0" applyFont="1" applyBorder="1" applyAlignment="1" applyProtection="1">
      <alignment vertical="center"/>
    </xf>
    <xf numFmtId="0" fontId="21" fillId="0" borderId="13" xfId="0" applyFont="1" applyBorder="1" applyAlignment="1">
      <alignment vertical="center"/>
    </xf>
    <xf numFmtId="0" fontId="21" fillId="0" borderId="43" xfId="0" applyFont="1" applyBorder="1" applyAlignment="1" applyProtection="1">
      <alignment horizontal="right" vertical="center" indent="1"/>
    </xf>
    <xf numFmtId="3" fontId="21" fillId="0" borderId="7" xfId="0" applyNumberFormat="1" applyFont="1" applyBorder="1" applyAlignment="1" applyProtection="1">
      <alignment horizontal="centerContinuous" vertical="center"/>
    </xf>
    <xf numFmtId="3" fontId="21" fillId="0" borderId="7" xfId="0" applyNumberFormat="1" applyFont="1" applyBorder="1" applyAlignment="1" applyProtection="1">
      <alignment horizontal="right" vertical="center" indent="1"/>
    </xf>
    <xf numFmtId="0" fontId="18" fillId="0" borderId="43" xfId="0" applyFont="1" applyBorder="1" applyAlignment="1" applyProtection="1">
      <alignment horizontal="center" vertical="center"/>
    </xf>
    <xf numFmtId="301" fontId="18" fillId="0" borderId="43" xfId="0" applyNumberFormat="1" applyFont="1" applyBorder="1" applyAlignment="1" applyProtection="1">
      <alignment horizontal="right" vertical="center"/>
    </xf>
    <xf numFmtId="301" fontId="18" fillId="0" borderId="43" xfId="0" applyNumberFormat="1" applyFont="1" applyBorder="1" applyAlignment="1" applyProtection="1">
      <alignment vertical="center"/>
    </xf>
    <xf numFmtId="0" fontId="21" fillId="0" borderId="43" xfId="0" applyFont="1" applyBorder="1" applyAlignment="1" applyProtection="1">
      <alignment vertical="center"/>
    </xf>
    <xf numFmtId="0" fontId="21" fillId="0" borderId="43" xfId="0" applyFont="1" applyBorder="1" applyAlignment="1">
      <alignment vertical="center"/>
    </xf>
    <xf numFmtId="0" fontId="21" fillId="0" borderId="43" xfId="0" applyFont="1" applyBorder="1" applyAlignment="1">
      <alignment horizontal="right" vertical="center" indent="1"/>
    </xf>
    <xf numFmtId="302" fontId="21" fillId="0" borderId="43" xfId="0" applyNumberFormat="1" applyFont="1" applyBorder="1" applyAlignment="1">
      <alignment vertical="center"/>
    </xf>
    <xf numFmtId="299" fontId="21" fillId="0" borderId="7" xfId="0" applyNumberFormat="1" applyFont="1" applyBorder="1" applyAlignment="1">
      <alignment vertical="center"/>
    </xf>
    <xf numFmtId="0" fontId="21" fillId="0" borderId="62" xfId="0" applyFont="1" applyBorder="1" applyAlignment="1">
      <alignment vertical="center"/>
    </xf>
    <xf numFmtId="0" fontId="21" fillId="0" borderId="44" xfId="0" applyFont="1" applyBorder="1" applyAlignment="1">
      <alignment horizontal="right" vertical="center" indent="1"/>
    </xf>
    <xf numFmtId="10" fontId="21" fillId="0" borderId="44" xfId="6" applyNumberFormat="1" applyFont="1" applyFill="1" applyBorder="1" applyAlignment="1">
      <alignment vertical="center"/>
    </xf>
    <xf numFmtId="0" fontId="120" fillId="0" borderId="0" xfId="0" applyFont="1" applyAlignment="1">
      <alignment vertical="center"/>
    </xf>
    <xf numFmtId="0" fontId="21" fillId="0" borderId="0" xfId="0" applyFont="1" applyAlignment="1" applyProtection="1">
      <alignment vertical="center"/>
    </xf>
    <xf numFmtId="0" fontId="21" fillId="0" borderId="0" xfId="0" applyFont="1" applyAlignment="1" applyProtection="1">
      <alignment horizontal="right" vertical="center" indent="1"/>
    </xf>
    <xf numFmtId="0" fontId="21" fillId="0" borderId="16" xfId="0" applyFont="1" applyBorder="1" applyAlignment="1" applyProtection="1">
      <alignment vertical="center"/>
    </xf>
    <xf numFmtId="0" fontId="21" fillId="0" borderId="62" xfId="0" applyFont="1" applyBorder="1" applyAlignment="1" applyProtection="1">
      <alignment vertical="center"/>
    </xf>
    <xf numFmtId="0" fontId="21" fillId="0" borderId="44" xfId="0" applyFont="1" applyBorder="1" applyAlignment="1" applyProtection="1">
      <alignment horizontal="right" vertical="center" indent="1"/>
    </xf>
    <xf numFmtId="302" fontId="21" fillId="0" borderId="44" xfId="0" applyNumberFormat="1" applyFont="1" applyBorder="1" applyAlignment="1">
      <alignment vertical="center"/>
    </xf>
    <xf numFmtId="0" fontId="21" fillId="0" borderId="0" xfId="0" applyFont="1" applyAlignment="1">
      <alignment vertical="center"/>
    </xf>
    <xf numFmtId="0" fontId="121" fillId="0" borderId="0" xfId="0" applyFont="1" applyAlignment="1">
      <alignment horizontal="center" vertical="center"/>
    </xf>
    <xf numFmtId="0" fontId="88" fillId="0" borderId="159" xfId="0" applyFont="1" applyBorder="1" applyAlignment="1">
      <alignment horizontal="center" vertical="center" wrapText="1"/>
    </xf>
    <xf numFmtId="0" fontId="89" fillId="0" borderId="159" xfId="0" applyFont="1" applyBorder="1" applyAlignment="1">
      <alignment horizontal="center" vertical="center" wrapText="1"/>
    </xf>
    <xf numFmtId="0" fontId="89" fillId="0" borderId="160" xfId="0" applyFont="1" applyBorder="1" applyAlignment="1">
      <alignment horizontal="center" vertical="center" wrapText="1"/>
    </xf>
    <xf numFmtId="0" fontId="90" fillId="0" borderId="161" xfId="0" applyFont="1" applyBorder="1" applyAlignment="1" applyProtection="1">
      <alignment vertical="center" wrapText="1"/>
      <protection locked="0"/>
    </xf>
    <xf numFmtId="0" fontId="90" fillId="0" borderId="162" xfId="0" applyFont="1" applyBorder="1" applyAlignment="1" applyProtection="1">
      <alignment vertical="center" wrapText="1"/>
      <protection locked="0"/>
    </xf>
    <xf numFmtId="0" fontId="90" fillId="0" borderId="163" xfId="0" applyFont="1" applyBorder="1" applyAlignment="1" applyProtection="1">
      <alignment vertical="center" wrapText="1"/>
      <protection locked="0"/>
    </xf>
    <xf numFmtId="0" fontId="90" fillId="0" borderId="164" xfId="0" applyFont="1" applyBorder="1" applyAlignment="1" applyProtection="1">
      <alignment vertical="center" wrapText="1"/>
      <protection locked="0"/>
    </xf>
    <xf numFmtId="0" fontId="122" fillId="0" borderId="0" xfId="0" applyFont="1"/>
    <xf numFmtId="0" fontId="123" fillId="0" borderId="0" xfId="0" applyFont="1"/>
    <xf numFmtId="289" fontId="91" fillId="20" borderId="159" xfId="0" applyNumberFormat="1" applyFont="1" applyFill="1" applyBorder="1" applyAlignment="1">
      <alignment horizontal="center" vertical="center" wrapText="1"/>
    </xf>
    <xf numFmtId="0" fontId="91" fillId="20" borderId="164" xfId="0" applyFont="1" applyFill="1" applyBorder="1" applyAlignment="1">
      <alignment horizontal="center" vertical="center" wrapText="1"/>
    </xf>
    <xf numFmtId="0" fontId="91" fillId="0" borderId="164" xfId="0" applyFont="1" applyBorder="1" applyAlignment="1">
      <alignment horizontal="center" vertical="center" wrapText="1"/>
    </xf>
    <xf numFmtId="0" fontId="91" fillId="20" borderId="164" xfId="0" applyFont="1" applyFill="1" applyBorder="1" applyAlignment="1">
      <alignment horizontal="center" vertical="center"/>
    </xf>
    <xf numFmtId="0" fontId="91" fillId="0" borderId="164" xfId="0" applyFont="1" applyBorder="1" applyAlignment="1">
      <alignment horizontal="center" vertical="center"/>
    </xf>
    <xf numFmtId="0" fontId="90" fillId="0" borderId="163" xfId="0" applyFont="1" applyBorder="1" applyAlignment="1">
      <alignment horizontal="right" vertical="center" wrapText="1" indent="1"/>
    </xf>
    <xf numFmtId="0" fontId="90" fillId="0" borderId="163" xfId="0" applyFont="1" applyBorder="1" applyAlignment="1">
      <alignment horizontal="right" vertical="center" indent="1"/>
    </xf>
    <xf numFmtId="0" fontId="90" fillId="0" borderId="165" xfId="0" applyFont="1" applyBorder="1" applyAlignment="1">
      <alignment horizontal="right" vertical="center" wrapText="1" indent="1"/>
    </xf>
    <xf numFmtId="0" fontId="96" fillId="0" borderId="166" xfId="0" applyFont="1" applyBorder="1" applyAlignment="1">
      <alignment horizontal="right" vertical="center" wrapText="1" indent="1"/>
    </xf>
    <xf numFmtId="0" fontId="89" fillId="0" borderId="163" xfId="0" applyFont="1" applyBorder="1" applyAlignment="1">
      <alignment horizontal="right" vertical="center" wrapText="1" indent="1"/>
    </xf>
    <xf numFmtId="0" fontId="124" fillId="0" borderId="0" xfId="0" applyFont="1" applyAlignment="1">
      <alignment vertical="center"/>
    </xf>
    <xf numFmtId="0" fontId="89" fillId="0" borderId="161" xfId="0" applyFont="1" applyBorder="1" applyAlignment="1">
      <alignment horizontal="center" vertical="center" wrapText="1"/>
    </xf>
    <xf numFmtId="0" fontId="100" fillId="0" borderId="162" xfId="0" applyFont="1" applyBorder="1" applyAlignment="1">
      <alignment horizontal="center" vertical="center" wrapText="1"/>
    </xf>
    <xf numFmtId="0" fontId="89" fillId="0" borderId="162" xfId="0" applyFont="1" applyBorder="1" applyAlignment="1">
      <alignment horizontal="center" vertical="center" wrapText="1"/>
    </xf>
    <xf numFmtId="0" fontId="89" fillId="0" borderId="164" xfId="0" applyFont="1" applyBorder="1" applyAlignment="1">
      <alignment vertical="center" wrapText="1"/>
    </xf>
    <xf numFmtId="0" fontId="89" fillId="0" borderId="164" xfId="0" applyFont="1" applyBorder="1" applyAlignment="1">
      <alignment horizontal="right" vertical="center" wrapText="1" indent="1"/>
    </xf>
    <xf numFmtId="304" fontId="97" fillId="20" borderId="164" xfId="0" applyNumberFormat="1" applyFont="1" applyFill="1" applyBorder="1" applyAlignment="1">
      <alignment horizontal="right" vertical="center" wrapText="1" indent="1"/>
    </xf>
    <xf numFmtId="304" fontId="97" fillId="0" borderId="164" xfId="0" applyNumberFormat="1" applyFont="1" applyBorder="1" applyAlignment="1">
      <alignment horizontal="right" vertical="center" wrapText="1" indent="1"/>
    </xf>
    <xf numFmtId="0" fontId="32" fillId="0" borderId="11" xfId="0" applyFont="1" applyBorder="1" applyAlignment="1">
      <alignment horizontal="center" vertical="center"/>
    </xf>
    <xf numFmtId="303" fontId="21" fillId="15" borderId="4" xfId="0" applyNumberFormat="1" applyFont="1" applyFill="1" applyBorder="1" applyAlignment="1" applyProtection="1">
      <alignment horizontal="right" vertical="center" indent="1"/>
      <protection locked="0"/>
    </xf>
    <xf numFmtId="303" fontId="21" fillId="15" borderId="60" xfId="0" applyNumberFormat="1" applyFont="1" applyFill="1" applyBorder="1" applyAlignment="1" applyProtection="1">
      <alignment horizontal="right" vertical="center" indent="1"/>
      <protection locked="0"/>
    </xf>
    <xf numFmtId="0" fontId="21" fillId="0" borderId="56" xfId="0" applyFont="1" applyBorder="1" applyAlignment="1">
      <alignment horizontal="left" vertical="center" indent="2"/>
    </xf>
    <xf numFmtId="303" fontId="21" fillId="15" borderId="29" xfId="0" applyNumberFormat="1" applyFont="1" applyFill="1" applyBorder="1" applyAlignment="1" applyProtection="1">
      <alignment horizontal="right" vertical="center" indent="1"/>
      <protection locked="0"/>
    </xf>
    <xf numFmtId="303" fontId="21" fillId="15" borderId="146" xfId="0" applyNumberFormat="1" applyFont="1" applyFill="1" applyBorder="1" applyAlignment="1" applyProtection="1">
      <alignment horizontal="right" vertical="center" indent="1"/>
      <protection locked="0"/>
    </xf>
    <xf numFmtId="0" fontId="21" fillId="0" borderId="16" xfId="0" applyFont="1" applyBorder="1" applyAlignment="1">
      <alignment horizontal="left" vertical="center" indent="2"/>
    </xf>
    <xf numFmtId="0" fontId="21" fillId="0" borderId="146" xfId="0" applyFont="1" applyBorder="1" applyAlignment="1" applyProtection="1">
      <alignment horizontal="right" vertical="center" indent="1"/>
    </xf>
    <xf numFmtId="0" fontId="21" fillId="0" borderId="60" xfId="0" applyFont="1" applyBorder="1" applyAlignment="1" applyProtection="1">
      <alignment horizontal="right" vertical="center" indent="1"/>
    </xf>
    <xf numFmtId="0" fontId="18" fillId="0" borderId="40" xfId="0" applyFont="1" applyBorder="1" applyAlignment="1">
      <alignment horizontal="center" vertical="center"/>
    </xf>
    <xf numFmtId="0" fontId="18" fillId="0" borderId="44" xfId="0" applyFont="1" applyBorder="1" applyAlignment="1">
      <alignment horizontal="center" vertical="center"/>
    </xf>
    <xf numFmtId="0" fontId="19" fillId="0" borderId="69" xfId="0" applyFont="1" applyBorder="1" applyAlignment="1" applyProtection="1">
      <alignment vertical="center"/>
    </xf>
    <xf numFmtId="0" fontId="19" fillId="0" borderId="67" xfId="0" applyFont="1" applyBorder="1" applyAlignment="1" applyProtection="1">
      <alignment vertical="center"/>
    </xf>
    <xf numFmtId="0" fontId="15" fillId="0" borderId="67" xfId="0" applyFont="1" applyBorder="1" applyAlignment="1" applyProtection="1">
      <alignment horizontal="right" vertical="center" indent="1"/>
    </xf>
    <xf numFmtId="0" fontId="36" fillId="0" borderId="69" xfId="0" applyFont="1" applyBorder="1" applyAlignment="1" applyProtection="1">
      <alignment horizontal="right" vertical="center"/>
    </xf>
    <xf numFmtId="290" fontId="18" fillId="0" borderId="70" xfId="0" applyNumberFormat="1" applyFont="1" applyBorder="1" applyAlignment="1" applyProtection="1">
      <alignment vertical="center"/>
    </xf>
    <xf numFmtId="0" fontId="21" fillId="0" borderId="62" xfId="0" applyFont="1" applyBorder="1" applyAlignment="1" applyProtection="1">
      <alignment horizontal="right" vertical="center" indent="1"/>
    </xf>
    <xf numFmtId="216" fontId="21" fillId="2" borderId="20" xfId="0" applyNumberFormat="1" applyFont="1" applyFill="1" applyBorder="1" applyAlignment="1" applyProtection="1">
      <alignment vertical="center"/>
      <protection locked="0"/>
    </xf>
    <xf numFmtId="0" fontId="21" fillId="0" borderId="22" xfId="0" applyFont="1" applyBorder="1" applyAlignment="1" applyProtection="1">
      <alignment horizontal="center" vertical="center" shrinkToFit="1"/>
    </xf>
    <xf numFmtId="216" fontId="21" fillId="2" borderId="23" xfId="0" applyNumberFormat="1" applyFont="1" applyFill="1" applyBorder="1" applyAlignment="1" applyProtection="1">
      <alignment vertical="center"/>
      <protection locked="0"/>
    </xf>
    <xf numFmtId="0" fontId="21" fillId="0" borderId="24" xfId="0" applyFont="1" applyBorder="1" applyAlignment="1" applyProtection="1">
      <alignment horizontal="center" vertical="center" shrinkToFit="1"/>
    </xf>
    <xf numFmtId="0" fontId="90" fillId="0" borderId="167" xfId="0" applyFont="1" applyBorder="1" applyAlignment="1">
      <alignment horizontal="right" vertical="center" wrapText="1" indent="1"/>
    </xf>
    <xf numFmtId="10" fontId="92" fillId="20" borderId="167" xfId="6" applyNumberFormat="1" applyFont="1" applyFill="1" applyBorder="1" applyAlignment="1">
      <alignment horizontal="right" vertical="center" wrapText="1" indent="1"/>
    </xf>
    <xf numFmtId="10" fontId="92" fillId="0" borderId="167" xfId="6" applyNumberFormat="1" applyFont="1" applyBorder="1" applyAlignment="1">
      <alignment horizontal="right" vertical="center" wrapText="1" indent="1"/>
    </xf>
    <xf numFmtId="304" fontId="97" fillId="20" borderId="167" xfId="0" applyNumberFormat="1" applyFont="1" applyFill="1" applyBorder="1" applyAlignment="1">
      <alignment horizontal="right" vertical="center" wrapText="1" indent="1"/>
    </xf>
    <xf numFmtId="304" fontId="97" fillId="0" borderId="167" xfId="0" applyNumberFormat="1" applyFont="1" applyBorder="1" applyAlignment="1">
      <alignment horizontal="right" vertical="center" wrapText="1" indent="1"/>
    </xf>
    <xf numFmtId="0" fontId="95" fillId="0" borderId="167" xfId="0" applyFont="1" applyBorder="1" applyAlignment="1">
      <alignment horizontal="right" vertical="center" wrapText="1" indent="1"/>
    </xf>
    <xf numFmtId="3" fontId="97" fillId="20" borderId="167" xfId="0" applyNumberFormat="1" applyFont="1" applyFill="1" applyBorder="1" applyAlignment="1">
      <alignment horizontal="right" vertical="center" wrapText="1" indent="1"/>
    </xf>
    <xf numFmtId="2" fontId="92" fillId="20" borderId="167" xfId="0" applyNumberFormat="1" applyFont="1" applyFill="1" applyBorder="1" applyAlignment="1">
      <alignment horizontal="right" vertical="center" wrapText="1" indent="1"/>
    </xf>
    <xf numFmtId="1" fontId="36" fillId="0" borderId="168" xfId="5" applyNumberFormat="1" applyFont="1" applyBorder="1" applyAlignment="1">
      <alignment horizontal="left" vertical="center"/>
    </xf>
    <xf numFmtId="0" fontId="36" fillId="0" borderId="168" xfId="5" applyFont="1" applyBorder="1" applyAlignment="1">
      <alignment horizontal="right" vertical="center" indent="1"/>
    </xf>
    <xf numFmtId="305" fontId="36" fillId="0" borderId="168" xfId="0" applyNumberFormat="1" applyFont="1" applyBorder="1" applyAlignment="1">
      <alignment vertical="center"/>
    </xf>
    <xf numFmtId="0" fontId="36" fillId="0" borderId="168" xfId="0" applyFont="1" applyBorder="1" applyAlignment="1">
      <alignment horizontal="left" vertical="center" indent="1"/>
    </xf>
    <xf numFmtId="1" fontId="15" fillId="0" borderId="169" xfId="5" applyNumberFormat="1" applyFont="1" applyBorder="1" applyAlignment="1">
      <alignment horizontal="centerContinuous" vertical="center"/>
    </xf>
    <xf numFmtId="0" fontId="21" fillId="0" borderId="170" xfId="5" applyFont="1" applyBorder="1" applyAlignment="1">
      <alignment horizontal="centerContinuous" vertical="center"/>
    </xf>
    <xf numFmtId="1" fontId="21" fillId="0" borderId="171" xfId="5" applyNumberFormat="1" applyFont="1" applyBorder="1" applyAlignment="1">
      <alignment horizontal="centerContinuous" vertical="center"/>
    </xf>
    <xf numFmtId="1" fontId="21" fillId="0" borderId="172" xfId="5" applyNumberFormat="1" applyFont="1" applyBorder="1" applyAlignment="1">
      <alignment horizontal="left" vertical="center"/>
    </xf>
    <xf numFmtId="0" fontId="21" fillId="0" borderId="173" xfId="5" applyFont="1" applyBorder="1" applyAlignment="1">
      <alignment horizontal="right" vertical="center" indent="1"/>
    </xf>
    <xf numFmtId="230" fontId="21" fillId="0" borderId="174" xfId="0" applyNumberFormat="1" applyFont="1" applyBorder="1" applyAlignment="1">
      <alignment vertical="center"/>
    </xf>
    <xf numFmtId="10" fontId="21" fillId="0" borderId="174" xfId="6" applyNumberFormat="1" applyFont="1" applyFill="1" applyBorder="1" applyAlignment="1">
      <alignment horizontal="right" vertical="center" indent="1"/>
    </xf>
    <xf numFmtId="1" fontId="21" fillId="0" borderId="175" xfId="5" applyNumberFormat="1" applyFont="1" applyBorder="1" applyAlignment="1">
      <alignment horizontal="left" vertical="center"/>
    </xf>
    <xf numFmtId="0" fontId="21" fillId="0" borderId="176" xfId="5" applyFont="1" applyBorder="1" applyAlignment="1">
      <alignment horizontal="right" vertical="center" indent="1"/>
    </xf>
    <xf numFmtId="230" fontId="18" fillId="0" borderId="177" xfId="0" applyNumberFormat="1" applyFont="1" applyBorder="1" applyAlignment="1">
      <alignment vertical="center"/>
    </xf>
    <xf numFmtId="0" fontId="21" fillId="0" borderId="49" xfId="0" applyFont="1" applyBorder="1" applyAlignment="1">
      <alignment horizontal="right" vertical="center" indent="2"/>
    </xf>
    <xf numFmtId="0" fontId="21" fillId="0" borderId="42" xfId="0" applyFont="1" applyBorder="1" applyAlignment="1" applyProtection="1">
      <alignment horizontal="left" vertical="center" indent="1"/>
    </xf>
    <xf numFmtId="0" fontId="21" fillId="0" borderId="26" xfId="0" applyFont="1" applyBorder="1" applyAlignment="1">
      <alignment horizontal="right" vertical="center"/>
    </xf>
    <xf numFmtId="0" fontId="18" fillId="0" borderId="61" xfId="0" applyFont="1" applyBorder="1" applyAlignment="1">
      <alignment horizontal="center" vertical="center"/>
    </xf>
    <xf numFmtId="306" fontId="21" fillId="0" borderId="29" xfId="6" applyNumberFormat="1" applyFont="1" applyFill="1" applyBorder="1" applyAlignment="1" applyProtection="1">
      <alignment horizontal="right" vertical="center" indent="1"/>
    </xf>
    <xf numFmtId="0" fontId="19" fillId="0" borderId="26" xfId="0" applyFont="1" applyBorder="1" applyAlignment="1" applyProtection="1">
      <alignment vertical="center"/>
    </xf>
    <xf numFmtId="0" fontId="19" fillId="0" borderId="56" xfId="0" applyFont="1" applyBorder="1" applyAlignment="1" applyProtection="1">
      <alignment vertical="center"/>
    </xf>
    <xf numFmtId="303" fontId="21" fillId="0" borderId="29" xfId="0" applyNumberFormat="1" applyFont="1" applyBorder="1" applyAlignment="1" applyProtection="1">
      <alignment horizontal="right" vertical="center" indent="1"/>
    </xf>
    <xf numFmtId="0" fontId="21" fillId="0" borderId="57" xfId="0" applyFont="1" applyBorder="1" applyAlignment="1">
      <alignment horizontal="left" vertical="center" indent="2"/>
    </xf>
    <xf numFmtId="0" fontId="21" fillId="0" borderId="62" xfId="0" applyFont="1" applyBorder="1" applyAlignment="1" applyProtection="1">
      <alignment horizontal="right" vertical="center"/>
    </xf>
    <xf numFmtId="306" fontId="21" fillId="0" borderId="4" xfId="0" applyNumberFormat="1" applyFont="1" applyBorder="1" applyAlignment="1" applyProtection="1">
      <alignment horizontal="right" vertical="center" indent="1"/>
    </xf>
    <xf numFmtId="303" fontId="21" fillId="0" borderId="4" xfId="0" applyNumberFormat="1" applyFont="1" applyBorder="1" applyAlignment="1" applyProtection="1">
      <alignment horizontal="right" vertical="center" indent="1"/>
    </xf>
    <xf numFmtId="0" fontId="42" fillId="0" borderId="62" xfId="0" applyFont="1" applyBorder="1" applyAlignment="1">
      <alignment horizontal="center" vertical="center"/>
    </xf>
    <xf numFmtId="203" fontId="50" fillId="0" borderId="0" xfId="0" applyNumberFormat="1" applyFont="1" applyAlignment="1">
      <alignment horizontal="left" indent="2"/>
    </xf>
    <xf numFmtId="208" fontId="118" fillId="0" borderId="0" xfId="0" applyNumberFormat="1" applyFont="1" applyAlignment="1">
      <alignment horizontal="center"/>
    </xf>
    <xf numFmtId="292" fontId="118" fillId="0" borderId="0" xfId="0" applyNumberFormat="1" applyFont="1" applyAlignment="1">
      <alignment horizontal="center"/>
    </xf>
    <xf numFmtId="289" fontId="31" fillId="0" borderId="0" xfId="0" applyNumberFormat="1" applyFont="1" applyAlignment="1">
      <alignment horizontal="center"/>
    </xf>
    <xf numFmtId="179" fontId="50" fillId="0" borderId="0" xfId="0" applyNumberFormat="1" applyFont="1" applyAlignment="1">
      <alignment horizontal="center"/>
    </xf>
    <xf numFmtId="289" fontId="50" fillId="0" borderId="0" xfId="0" applyNumberFormat="1" applyFont="1" applyAlignment="1">
      <alignment horizontal="left" indent="2"/>
    </xf>
    <xf numFmtId="179" fontId="50" fillId="0" borderId="0" xfId="0" applyNumberFormat="1" applyFont="1" applyAlignment="1">
      <alignment horizontal="right" vertical="center" indent="2"/>
    </xf>
    <xf numFmtId="179" fontId="50" fillId="0" borderId="0" xfId="0" applyNumberFormat="1" applyFont="1" applyAlignment="1">
      <alignment horizontal="center" wrapText="1"/>
    </xf>
    <xf numFmtId="179" fontId="34" fillId="0" borderId="0" xfId="0" applyNumberFormat="1" applyFont="1" applyAlignment="1">
      <alignment horizontal="left" indent="2"/>
    </xf>
    <xf numFmtId="179" fontId="54" fillId="0" borderId="0" xfId="0" applyNumberFormat="1" applyFont="1" applyAlignment="1">
      <alignment horizontal="left" indent="2"/>
    </xf>
    <xf numFmtId="306" fontId="97" fillId="20" borderId="167" xfId="6" applyNumberFormat="1" applyFont="1" applyFill="1" applyBorder="1" applyAlignment="1">
      <alignment horizontal="right" vertical="center" wrapText="1" indent="1"/>
    </xf>
    <xf numFmtId="306" fontId="97" fillId="0" borderId="167" xfId="6" applyNumberFormat="1" applyFont="1" applyBorder="1" applyAlignment="1">
      <alignment horizontal="right" vertical="center" wrapText="1" indent="1"/>
    </xf>
    <xf numFmtId="307" fontId="18" fillId="0" borderId="11" xfId="5" applyNumberFormat="1" applyFont="1" applyBorder="1" applyAlignment="1">
      <alignment horizontal="center" vertical="center"/>
    </xf>
    <xf numFmtId="0" fontId="18" fillId="21" borderId="2" xfId="0" applyFont="1" applyFill="1" applyBorder="1" applyAlignment="1" applyProtection="1">
      <alignment horizontal="center" vertical="center"/>
      <protection locked="0"/>
    </xf>
    <xf numFmtId="3" fontId="18" fillId="0" borderId="18" xfId="0" applyNumberFormat="1" applyFont="1" applyBorder="1" applyAlignment="1">
      <alignment horizontal="center" vertical="center" wrapText="1"/>
    </xf>
    <xf numFmtId="3" fontId="21" fillId="13" borderId="19" xfId="0" applyNumberFormat="1" applyFont="1" applyFill="1" applyBorder="1" applyAlignment="1" applyProtection="1">
      <alignment horizontal="right" indent="1"/>
      <protection locked="0"/>
    </xf>
    <xf numFmtId="3" fontId="21" fillId="0" borderId="24" xfId="0" applyNumberFormat="1" applyFont="1" applyBorder="1" applyAlignment="1" applyProtection="1">
      <alignment horizontal="right" vertical="center" indent="1"/>
    </xf>
    <xf numFmtId="0" fontId="20" fillId="0" borderId="6" xfId="0" applyFont="1" applyBorder="1" applyAlignment="1">
      <alignment horizontal="centerContinuous"/>
    </xf>
    <xf numFmtId="0" fontId="20" fillId="0" borderId="1" xfId="0" applyFont="1" applyBorder="1" applyAlignment="1">
      <alignment horizontal="centerContinuous"/>
    </xf>
    <xf numFmtId="0" fontId="120" fillId="0" borderId="0" xfId="0" applyFont="1" applyAlignment="1">
      <alignment horizontal="center" vertical="center" wrapText="1"/>
    </xf>
    <xf numFmtId="0" fontId="108" fillId="0" borderId="0" xfId="0" applyFont="1" applyAlignment="1" applyProtection="1">
      <alignment horizontal="left" indent="1"/>
    </xf>
    <xf numFmtId="292" fontId="18" fillId="0" borderId="49" xfId="0" applyNumberFormat="1" applyFont="1" applyBorder="1" applyAlignment="1">
      <alignment horizontal="center" shrinkToFit="1"/>
    </xf>
    <xf numFmtId="292" fontId="18" fillId="0" borderId="18" xfId="0" applyNumberFormat="1" applyFont="1" applyBorder="1" applyAlignment="1">
      <alignment horizontal="center" shrinkToFit="1"/>
    </xf>
    <xf numFmtId="308" fontId="36" fillId="0" borderId="67" xfId="0" applyNumberFormat="1" applyFont="1" applyBorder="1" applyAlignment="1" applyProtection="1">
      <alignment vertical="center"/>
    </xf>
    <xf numFmtId="3" fontId="36" fillId="0" borderId="12" xfId="0" applyNumberFormat="1" applyFont="1" applyBorder="1" applyAlignment="1">
      <alignment horizontal="left" vertical="center" wrapText="1" indent="1"/>
    </xf>
    <xf numFmtId="166" fontId="36" fillId="0" borderId="23" xfId="6" applyNumberFormat="1" applyFont="1" applyBorder="1" applyAlignment="1">
      <alignment horizontal="center" vertical="center"/>
    </xf>
    <xf numFmtId="166" fontId="36" fillId="0" borderId="51" xfId="6" applyNumberFormat="1" applyFont="1" applyBorder="1" applyAlignment="1">
      <alignment horizontal="center" vertical="center"/>
    </xf>
    <xf numFmtId="166" fontId="36" fillId="0" borderId="50" xfId="6" applyNumberFormat="1" applyFont="1" applyBorder="1" applyAlignment="1">
      <alignment horizontal="center" vertical="center"/>
    </xf>
    <xf numFmtId="166" fontId="36" fillId="0" borderId="2" xfId="6" applyNumberFormat="1" applyFont="1" applyFill="1" applyBorder="1" applyAlignment="1">
      <alignment horizontal="center" vertical="center"/>
    </xf>
    <xf numFmtId="166" fontId="36" fillId="0" borderId="43" xfId="6" applyNumberFormat="1" applyFont="1" applyFill="1" applyBorder="1" applyAlignment="1">
      <alignment horizontal="center" vertical="center"/>
    </xf>
    <xf numFmtId="200" fontId="21" fillId="19" borderId="15" xfId="0" applyNumberFormat="1" applyFont="1" applyFill="1" applyBorder="1" applyProtection="1">
      <protection locked="0"/>
    </xf>
    <xf numFmtId="3" fontId="21" fillId="0" borderId="0" xfId="0" applyNumberFormat="1" applyFont="1" applyAlignment="1" applyProtection="1">
      <alignment horizontal="center" vertical="center"/>
      <protection locked="0"/>
    </xf>
    <xf numFmtId="3" fontId="18" fillId="0" borderId="0" xfId="0" applyNumberFormat="1" applyFont="1" applyAlignment="1" applyProtection="1">
      <alignment horizontal="center" vertical="center"/>
      <protection locked="0"/>
    </xf>
    <xf numFmtId="3" fontId="78" fillId="0" borderId="11" xfId="0" applyNumberFormat="1" applyFont="1" applyBorder="1" applyAlignment="1" applyProtection="1">
      <alignment horizontal="center" wrapText="1"/>
      <protection locked="0"/>
    </xf>
    <xf numFmtId="0" fontId="15" fillId="19" borderId="11" xfId="0" applyFont="1" applyFill="1" applyBorder="1" applyAlignment="1" applyProtection="1">
      <alignment horizontal="center" vertical="center"/>
      <protection locked="0"/>
    </xf>
    <xf numFmtId="0" fontId="20" fillId="0" borderId="6" xfId="0" applyFont="1" applyBorder="1" applyAlignment="1">
      <alignment horizontal="centerContinuous" vertical="center"/>
    </xf>
    <xf numFmtId="301" fontId="36" fillId="0" borderId="50" xfId="3" applyNumberFormat="1" applyFont="1" applyBorder="1"/>
    <xf numFmtId="0" fontId="20" fillId="0" borderId="1" xfId="0" applyFont="1" applyBorder="1" applyAlignment="1">
      <alignment horizontal="centerContinuous" vertical="center"/>
    </xf>
    <xf numFmtId="301" fontId="36" fillId="0" borderId="7" xfId="3" applyNumberFormat="1" applyFont="1" applyBorder="1"/>
    <xf numFmtId="301" fontId="36" fillId="0" borderId="22" xfId="3" applyNumberFormat="1" applyFont="1" applyBorder="1"/>
    <xf numFmtId="301" fontId="36" fillId="0" borderId="24" xfId="3" applyNumberFormat="1" applyFont="1" applyBorder="1"/>
    <xf numFmtId="301" fontId="36" fillId="0" borderId="69" xfId="3" applyNumberFormat="1" applyFont="1" applyBorder="1"/>
    <xf numFmtId="301" fontId="36" fillId="0" borderId="53" xfId="3" applyNumberFormat="1" applyFont="1" applyBorder="1"/>
    <xf numFmtId="301" fontId="36" fillId="0" borderId="47" xfId="3" applyNumberFormat="1" applyFont="1" applyBorder="1"/>
    <xf numFmtId="301" fontId="36" fillId="0" borderId="9" xfId="3" applyNumberFormat="1" applyFont="1" applyBorder="1" applyAlignment="1">
      <alignment shrinkToFit="1"/>
    </xf>
    <xf numFmtId="301" fontId="36" fillId="0" borderId="72" xfId="3" applyNumberFormat="1" applyFont="1" applyBorder="1" applyAlignment="1">
      <alignment shrinkToFit="1"/>
    </xf>
    <xf numFmtId="301" fontId="36" fillId="0" borderId="25" xfId="3" applyNumberFormat="1" applyFont="1" applyBorder="1" applyAlignment="1">
      <alignment shrinkToFit="1"/>
    </xf>
    <xf numFmtId="306" fontId="21" fillId="0" borderId="44" xfId="6" applyNumberFormat="1" applyFont="1" applyBorder="1" applyAlignment="1" applyProtection="1">
      <alignment horizontal="right" vertical="center" indent="1"/>
    </xf>
    <xf numFmtId="223" fontId="21" fillId="2" borderId="2" xfId="0" applyNumberFormat="1" applyFont="1" applyFill="1" applyBorder="1" applyProtection="1">
      <protection locked="0"/>
    </xf>
    <xf numFmtId="223" fontId="21" fillId="2" borderId="51" xfId="0" applyNumberFormat="1" applyFont="1" applyFill="1" applyBorder="1" applyProtection="1">
      <protection locked="0"/>
    </xf>
    <xf numFmtId="223" fontId="21" fillId="2" borderId="50" xfId="0" applyNumberFormat="1" applyFont="1" applyFill="1" applyBorder="1" applyProtection="1">
      <protection locked="0"/>
    </xf>
    <xf numFmtId="223" fontId="21" fillId="2" borderId="52" xfId="0" applyNumberFormat="1" applyFont="1" applyFill="1" applyBorder="1" applyProtection="1">
      <protection locked="0"/>
    </xf>
    <xf numFmtId="223" fontId="21" fillId="2" borderId="46" xfId="0" applyNumberFormat="1" applyFont="1" applyFill="1" applyBorder="1" applyProtection="1">
      <protection locked="0"/>
    </xf>
    <xf numFmtId="223" fontId="21" fillId="2" borderId="53" xfId="0" applyNumberFormat="1" applyFont="1" applyFill="1" applyBorder="1" applyProtection="1">
      <protection locked="0"/>
    </xf>
    <xf numFmtId="290" fontId="18" fillId="0" borderId="12" xfId="0" applyNumberFormat="1" applyFont="1" applyBorder="1"/>
    <xf numFmtId="290" fontId="18" fillId="0" borderId="38" xfId="0" applyNumberFormat="1" applyFont="1" applyBorder="1"/>
    <xf numFmtId="290" fontId="21" fillId="2" borderId="54" xfId="0" applyNumberFormat="1" applyFont="1" applyFill="1" applyBorder="1" applyProtection="1">
      <protection locked="0"/>
    </xf>
    <xf numFmtId="290" fontId="21" fillId="2" borderId="3" xfId="0" applyNumberFormat="1" applyFont="1" applyFill="1" applyBorder="1" applyProtection="1">
      <protection locked="0"/>
    </xf>
    <xf numFmtId="290" fontId="21" fillId="2" borderId="55" xfId="0" applyNumberFormat="1" applyFont="1" applyFill="1" applyBorder="1" applyProtection="1">
      <protection locked="0"/>
    </xf>
    <xf numFmtId="290" fontId="18" fillId="0" borderId="15" xfId="0" applyNumberFormat="1" applyFont="1" applyBorder="1"/>
    <xf numFmtId="290" fontId="21" fillId="2" borderId="51" xfId="0" applyNumberFormat="1" applyFont="1" applyFill="1" applyBorder="1" applyProtection="1">
      <protection locked="0"/>
    </xf>
    <xf numFmtId="290" fontId="21" fillId="2" borderId="2" xfId="0" applyNumberFormat="1" applyFont="1" applyFill="1" applyBorder="1" applyProtection="1">
      <protection locked="0"/>
    </xf>
    <xf numFmtId="290" fontId="21" fillId="2" borderId="50" xfId="0" applyNumberFormat="1" applyFont="1" applyFill="1" applyBorder="1" applyProtection="1">
      <protection locked="0"/>
    </xf>
    <xf numFmtId="290" fontId="21" fillId="2" borderId="52" xfId="0" applyNumberFormat="1" applyFont="1" applyFill="1" applyBorder="1" applyProtection="1">
      <protection locked="0"/>
    </xf>
    <xf numFmtId="290" fontId="21" fillId="2" borderId="46" xfId="0" applyNumberFormat="1" applyFont="1" applyFill="1" applyBorder="1" applyProtection="1">
      <protection locked="0"/>
    </xf>
    <xf numFmtId="290" fontId="21" fillId="2" borderId="53" xfId="0" applyNumberFormat="1" applyFont="1" applyFill="1" applyBorder="1" applyProtection="1">
      <protection locked="0"/>
    </xf>
    <xf numFmtId="309" fontId="36" fillId="0" borderId="18" xfId="0" applyNumberFormat="1" applyFont="1" applyBorder="1" applyAlignment="1" applyProtection="1">
      <alignment horizontal="center" vertical="center"/>
    </xf>
    <xf numFmtId="309" fontId="36" fillId="0" borderId="15" xfId="0" applyNumberFormat="1" applyFont="1" applyBorder="1" applyAlignment="1" applyProtection="1">
      <alignment horizontal="center" vertical="center"/>
    </xf>
    <xf numFmtId="309" fontId="36" fillId="0" borderId="17" xfId="0" applyNumberFormat="1" applyFont="1" applyBorder="1" applyAlignment="1" applyProtection="1">
      <alignment horizontal="center" vertical="center"/>
    </xf>
    <xf numFmtId="3" fontId="107" fillId="0" borderId="0" xfId="0" applyNumberFormat="1" applyFont="1" applyAlignment="1">
      <alignment horizontal="left"/>
    </xf>
    <xf numFmtId="194" fontId="36" fillId="0" borderId="3" xfId="0" applyNumberFormat="1" applyFont="1" applyBorder="1"/>
    <xf numFmtId="282" fontId="20" fillId="0" borderId="25" xfId="0" applyNumberFormat="1" applyFont="1" applyBorder="1" applyAlignment="1">
      <alignment horizontal="center"/>
    </xf>
    <xf numFmtId="202" fontId="20" fillId="0" borderId="5" xfId="0" applyNumberFormat="1" applyFont="1" applyBorder="1" applyAlignment="1">
      <alignment vertical="center"/>
    </xf>
    <xf numFmtId="282" fontId="18" fillId="0" borderId="35" xfId="6" applyNumberFormat="1" applyFont="1" applyFill="1" applyBorder="1" applyAlignment="1">
      <alignment horizontal="center"/>
    </xf>
    <xf numFmtId="166" fontId="122" fillId="0" borderId="19" xfId="6" applyNumberFormat="1" applyFont="1" applyFill="1" applyBorder="1" applyAlignment="1">
      <alignment horizontal="right" indent="1"/>
    </xf>
    <xf numFmtId="202" fontId="20" fillId="0" borderId="22" xfId="0" applyNumberFormat="1" applyFont="1" applyBorder="1" applyAlignment="1">
      <alignment vertical="center"/>
    </xf>
    <xf numFmtId="0" fontId="19" fillId="0" borderId="1" xfId="0" applyFont="1" applyBorder="1" applyAlignment="1">
      <alignment horizontal="right" indent="1"/>
    </xf>
    <xf numFmtId="2" fontId="19" fillId="0" borderId="11" xfId="0" applyNumberFormat="1" applyFont="1" applyBorder="1" applyAlignment="1">
      <alignment horizontal="right" indent="1"/>
    </xf>
    <xf numFmtId="215" fontId="36" fillId="0" borderId="45" xfId="0" applyNumberFormat="1" applyFont="1" applyBorder="1"/>
    <xf numFmtId="215" fontId="36" fillId="0" borderId="46" xfId="0" applyNumberFormat="1" applyFont="1" applyBorder="1"/>
    <xf numFmtId="215" fontId="36" fillId="0" borderId="178" xfId="0" applyNumberFormat="1" applyFont="1" applyBorder="1"/>
    <xf numFmtId="10" fontId="19" fillId="0" borderId="38" xfId="6" applyNumberFormat="1" applyFont="1" applyBorder="1" applyAlignment="1">
      <alignment horizontal="center"/>
    </xf>
    <xf numFmtId="3" fontId="18" fillId="0" borderId="21" xfId="0" applyNumberFormat="1" applyFont="1" applyBorder="1" applyAlignment="1">
      <alignment horizontal="center" vertical="center"/>
    </xf>
    <xf numFmtId="3" fontId="18" fillId="0" borderId="22" xfId="0" applyNumberFormat="1" applyFont="1" applyBorder="1" applyAlignment="1">
      <alignment horizontal="center" vertical="center"/>
    </xf>
    <xf numFmtId="310" fontId="21" fillId="0" borderId="36" xfId="0" applyNumberFormat="1" applyFont="1" applyBorder="1"/>
    <xf numFmtId="213" fontId="18" fillId="0" borderId="25" xfId="0" applyNumberFormat="1" applyFont="1" applyBorder="1"/>
    <xf numFmtId="3" fontId="19" fillId="0" borderId="10" xfId="0" applyNumberFormat="1" applyFont="1" applyBorder="1" applyAlignment="1">
      <alignment horizontal="left" vertical="center" indent="1"/>
    </xf>
    <xf numFmtId="213" fontId="18" fillId="0" borderId="32" xfId="0" applyNumberFormat="1" applyFont="1" applyBorder="1"/>
    <xf numFmtId="3" fontId="19" fillId="0" borderId="16" xfId="0" applyNumberFormat="1" applyFont="1" applyBorder="1" applyAlignment="1">
      <alignment horizontal="left" vertical="center" indent="1"/>
    </xf>
    <xf numFmtId="0" fontId="15" fillId="22" borderId="11" xfId="0" applyFont="1" applyFill="1" applyBorder="1" applyAlignment="1">
      <alignment horizontal="center" vertical="center"/>
    </xf>
    <xf numFmtId="208" fontId="15" fillId="22" borderId="11" xfId="0" applyNumberFormat="1" applyFont="1" applyFill="1" applyBorder="1" applyAlignment="1">
      <alignment horizontal="center" vertical="center" wrapText="1"/>
    </xf>
    <xf numFmtId="0" fontId="19" fillId="22" borderId="0" xfId="0" applyFont="1" applyFill="1" applyAlignment="1">
      <alignment vertical="center"/>
    </xf>
    <xf numFmtId="0" fontId="19" fillId="22" borderId="8" xfId="0" applyFont="1" applyFill="1" applyBorder="1" applyAlignment="1">
      <alignment horizontal="left" vertical="center" indent="1"/>
    </xf>
    <xf numFmtId="283" fontId="19" fillId="22" borderId="15" xfId="1" applyNumberFormat="1" applyFont="1" applyFill="1" applyBorder="1" applyAlignment="1" applyProtection="1">
      <alignment horizontal="center" vertical="center"/>
      <protection locked="0"/>
    </xf>
    <xf numFmtId="0" fontId="47" fillId="22" borderId="0" xfId="0" applyFont="1" applyFill="1" applyAlignment="1">
      <alignment horizontal="center" vertical="center"/>
    </xf>
    <xf numFmtId="0" fontId="36" fillId="22" borderId="2" xfId="0" applyFont="1" applyFill="1" applyBorder="1" applyAlignment="1" applyProtection="1">
      <alignment horizontal="center" vertical="center"/>
      <protection locked="0"/>
    </xf>
    <xf numFmtId="0" fontId="19" fillId="22" borderId="7" xfId="0" applyFont="1" applyFill="1" applyBorder="1" applyAlignment="1">
      <alignment horizontal="left" vertical="center" indent="1"/>
    </xf>
    <xf numFmtId="166" fontId="19" fillId="22" borderId="12" xfId="0" applyNumberFormat="1" applyFont="1" applyFill="1" applyBorder="1" applyAlignment="1" applyProtection="1">
      <alignment horizontal="center" vertical="center"/>
      <protection locked="0"/>
    </xf>
    <xf numFmtId="0" fontId="19" fillId="22" borderId="0" xfId="0" applyFont="1" applyFill="1"/>
    <xf numFmtId="0" fontId="19" fillId="22" borderId="16" xfId="0" applyFont="1" applyFill="1" applyBorder="1" applyAlignment="1">
      <alignment horizontal="left" vertical="center" indent="1"/>
    </xf>
    <xf numFmtId="166" fontId="19" fillId="22" borderId="19" xfId="0" applyNumberFormat="1" applyFont="1" applyFill="1" applyBorder="1" applyAlignment="1" applyProtection="1">
      <alignment horizontal="center" vertical="center"/>
      <protection locked="0"/>
    </xf>
    <xf numFmtId="3" fontId="20" fillId="0" borderId="20" xfId="0" applyNumberFormat="1" applyFont="1" applyBorder="1" applyAlignment="1">
      <alignment horizontal="center" vertical="center"/>
    </xf>
    <xf numFmtId="0" fontId="20" fillId="0" borderId="11" xfId="0" applyFont="1" applyBorder="1" applyAlignment="1">
      <alignment horizontal="center" vertical="center"/>
    </xf>
    <xf numFmtId="0" fontId="0" fillId="0" borderId="56" xfId="0" applyBorder="1"/>
    <xf numFmtId="0" fontId="20" fillId="0" borderId="26" xfId="0" applyFont="1" applyBorder="1" applyAlignment="1">
      <alignment horizontal="center" vertical="center" wrapText="1"/>
    </xf>
    <xf numFmtId="0" fontId="19" fillId="0" borderId="49" xfId="0" applyFont="1" applyBorder="1" applyAlignment="1">
      <alignment horizontal="left" vertical="center" indent="1"/>
    </xf>
    <xf numFmtId="0" fontId="20" fillId="0" borderId="30" xfId="0" applyFont="1" applyBorder="1" applyAlignment="1">
      <alignment horizontal="center" vertical="center" wrapText="1"/>
    </xf>
    <xf numFmtId="10" fontId="19" fillId="0" borderId="18" xfId="0" applyNumberFormat="1" applyFont="1" applyBorder="1" applyAlignment="1" applyProtection="1">
      <alignment vertical="center"/>
    </xf>
    <xf numFmtId="10" fontId="19" fillId="0" borderId="61" xfId="0" applyNumberFormat="1" applyFont="1" applyBorder="1" applyAlignment="1" applyProtection="1">
      <alignment vertical="center"/>
    </xf>
    <xf numFmtId="2" fontId="19" fillId="0" borderId="19" xfId="0" applyNumberFormat="1" applyFont="1" applyBorder="1" applyAlignment="1" applyProtection="1">
      <alignment horizontal="right" vertical="center" indent="1"/>
    </xf>
    <xf numFmtId="2" fontId="19" fillId="0" borderId="62" xfId="0" applyNumberFormat="1" applyFont="1" applyBorder="1" applyAlignment="1" applyProtection="1">
      <alignment horizontal="right" vertical="center" indent="1"/>
    </xf>
    <xf numFmtId="223" fontId="21" fillId="0" borderId="2" xfId="0" applyNumberFormat="1" applyFont="1" applyBorder="1"/>
    <xf numFmtId="223" fontId="21" fillId="0" borderId="35" xfId="0" applyNumberFormat="1" applyFont="1" applyBorder="1"/>
    <xf numFmtId="1" fontId="19" fillId="0" borderId="19" xfId="0" applyNumberFormat="1" applyFont="1" applyBorder="1" applyAlignment="1" applyProtection="1">
      <alignment horizontal="center" vertical="center"/>
    </xf>
    <xf numFmtId="1" fontId="19" fillId="0" borderId="62" xfId="0" applyNumberFormat="1" applyFont="1" applyBorder="1" applyAlignment="1" applyProtection="1">
      <alignment horizontal="center" vertical="center"/>
    </xf>
    <xf numFmtId="3" fontId="19" fillId="0" borderId="0" xfId="0" applyNumberFormat="1" applyFont="1" applyAlignment="1">
      <alignment horizontal="left" vertical="center" indent="1"/>
    </xf>
    <xf numFmtId="0" fontId="19" fillId="0" borderId="20" xfId="0" applyFont="1" applyBorder="1" applyAlignment="1">
      <alignment horizontal="left" vertical="center" indent="2"/>
    </xf>
    <xf numFmtId="9" fontId="44" fillId="0" borderId="71" xfId="0" applyNumberFormat="1" applyFont="1" applyBorder="1" applyAlignment="1" applyProtection="1">
      <alignment horizontal="center" vertical="center"/>
    </xf>
    <xf numFmtId="9" fontId="44" fillId="0" borderId="42" xfId="0" applyNumberFormat="1" applyFont="1" applyBorder="1" applyAlignment="1" applyProtection="1">
      <alignment horizontal="center" vertical="center"/>
    </xf>
    <xf numFmtId="9" fontId="44" fillId="0" borderId="50" xfId="0" applyNumberFormat="1" applyFont="1" applyBorder="1" applyAlignment="1">
      <alignment horizontal="center" vertical="center"/>
    </xf>
    <xf numFmtId="9" fontId="44" fillId="0" borderId="43" xfId="0" applyNumberFormat="1" applyFont="1" applyBorder="1" applyAlignment="1">
      <alignment horizontal="center" vertical="center"/>
    </xf>
    <xf numFmtId="0" fontId="36" fillId="0" borderId="34" xfId="0" applyFont="1" applyBorder="1" applyAlignment="1">
      <alignment horizontal="left" vertical="center" wrapText="1" indent="2"/>
    </xf>
    <xf numFmtId="9" fontId="44" fillId="0" borderId="60" xfId="0" applyNumberFormat="1" applyFont="1" applyBorder="1" applyAlignment="1" applyProtection="1">
      <alignment horizontal="center" vertical="center"/>
    </xf>
    <xf numFmtId="9" fontId="44" fillId="0" borderId="44" xfId="0" applyNumberFormat="1" applyFont="1" applyBorder="1" applyAlignment="1" applyProtection="1">
      <alignment horizontal="center" vertical="center"/>
    </xf>
    <xf numFmtId="166" fontId="31" fillId="0" borderId="0" xfId="6" applyNumberFormat="1" applyFont="1" applyFill="1"/>
    <xf numFmtId="166" fontId="29" fillId="0" borderId="0" xfId="6" applyNumberFormat="1" applyFont="1" applyFill="1" applyAlignment="1">
      <alignment horizontal="center"/>
    </xf>
    <xf numFmtId="0" fontId="15" fillId="0" borderId="0" xfId="0" applyFont="1" applyAlignment="1">
      <alignment horizontal="left" vertical="center" indent="3"/>
    </xf>
    <xf numFmtId="0" fontId="15" fillId="23" borderId="11" xfId="0" applyFont="1" applyFill="1" applyBorder="1" applyAlignment="1">
      <alignment horizontal="center" vertical="center"/>
    </xf>
    <xf numFmtId="0" fontId="15" fillId="0" borderId="37"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25" xfId="0" applyFont="1" applyBorder="1" applyAlignment="1">
      <alignment horizontal="center" vertical="center" wrapText="1"/>
    </xf>
    <xf numFmtId="0" fontId="39" fillId="23" borderId="15" xfId="0" applyFont="1" applyFill="1" applyBorder="1" applyAlignment="1">
      <alignment horizontal="right" vertical="center" indent="1"/>
    </xf>
    <xf numFmtId="2" fontId="19" fillId="0" borderId="48" xfId="0" applyNumberFormat="1" applyFont="1" applyBorder="1" applyAlignment="1">
      <alignment horizontal="center" vertical="center"/>
    </xf>
    <xf numFmtId="2" fontId="19" fillId="0" borderId="3" xfId="0" applyNumberFormat="1" applyFont="1" applyBorder="1" applyAlignment="1">
      <alignment horizontal="center" vertical="center"/>
    </xf>
    <xf numFmtId="2" fontId="19" fillId="0" borderId="5" xfId="0" applyNumberFormat="1" applyFont="1" applyBorder="1" applyAlignment="1">
      <alignment horizontal="center" vertical="center"/>
    </xf>
    <xf numFmtId="0" fontId="39" fillId="23" borderId="12" xfId="0" applyFont="1" applyFill="1" applyBorder="1" applyAlignment="1">
      <alignment horizontal="right" vertical="center" indent="1"/>
    </xf>
    <xf numFmtId="2" fontId="19" fillId="0" borderId="23" xfId="0" applyNumberFormat="1" applyFont="1" applyBorder="1" applyAlignment="1">
      <alignment horizontal="center" vertical="center"/>
    </xf>
    <xf numFmtId="2" fontId="19" fillId="0" borderId="2" xfId="0" applyNumberFormat="1" applyFont="1" applyBorder="1" applyAlignment="1">
      <alignment horizontal="center" vertical="center"/>
    </xf>
    <xf numFmtId="2" fontId="19" fillId="0" borderId="24" xfId="0" applyNumberFormat="1" applyFont="1" applyBorder="1" applyAlignment="1">
      <alignment horizontal="center" vertical="center"/>
    </xf>
    <xf numFmtId="0" fontId="39" fillId="23" borderId="19" xfId="0" applyFont="1" applyFill="1" applyBorder="1" applyAlignment="1">
      <alignment horizontal="right" vertical="center" indent="1"/>
    </xf>
    <xf numFmtId="2" fontId="19" fillId="0" borderId="34" xfId="0" applyNumberFormat="1" applyFont="1" applyBorder="1" applyAlignment="1">
      <alignment horizontal="center" vertical="center"/>
    </xf>
    <xf numFmtId="2" fontId="19" fillId="0" borderId="35" xfId="0" applyNumberFormat="1" applyFont="1" applyBorder="1" applyAlignment="1">
      <alignment horizontal="center" vertical="center"/>
    </xf>
    <xf numFmtId="2" fontId="19" fillId="0" borderId="4" xfId="0" applyNumberFormat="1" applyFont="1" applyBorder="1" applyAlignment="1">
      <alignment horizontal="center" vertical="center"/>
    </xf>
    <xf numFmtId="0" fontId="15" fillId="0" borderId="11" xfId="0" applyFont="1" applyBorder="1" applyAlignment="1">
      <alignment horizontal="left" vertical="center" indent="3"/>
    </xf>
    <xf numFmtId="267" fontId="39" fillId="23" borderId="19" xfId="0" applyNumberFormat="1" applyFont="1" applyFill="1" applyBorder="1" applyAlignment="1">
      <alignment horizontal="right" vertical="center" indent="1"/>
    </xf>
    <xf numFmtId="0" fontId="15" fillId="0" borderId="2" xfId="0" applyFont="1" applyBorder="1" applyAlignment="1">
      <alignment horizontal="right" indent="1"/>
    </xf>
    <xf numFmtId="2" fontId="19" fillId="24" borderId="2" xfId="0" applyNumberFormat="1" applyFont="1" applyFill="1" applyBorder="1" applyAlignment="1">
      <alignment horizontal="center" vertical="center"/>
    </xf>
    <xf numFmtId="2" fontId="19" fillId="24" borderId="2" xfId="0" applyNumberFormat="1" applyFont="1" applyFill="1" applyBorder="1" applyAlignment="1">
      <alignment horizontal="center" vertical="center" wrapText="1"/>
    </xf>
    <xf numFmtId="0" fontId="19" fillId="0" borderId="15" xfId="0" applyFont="1" applyBorder="1" applyAlignment="1">
      <alignment vertical="center"/>
    </xf>
    <xf numFmtId="0" fontId="19" fillId="0" borderId="12" xfId="0" applyFont="1" applyBorder="1" applyAlignment="1">
      <alignment vertical="center"/>
    </xf>
    <xf numFmtId="0" fontId="19" fillId="0" borderId="19" xfId="0" applyFont="1" applyBorder="1" applyAlignment="1">
      <alignment vertical="center"/>
    </xf>
    <xf numFmtId="0" fontId="15" fillId="0" borderId="2" xfId="0" applyFont="1" applyBorder="1" applyAlignment="1">
      <alignment horizontal="center" vertical="center"/>
    </xf>
    <xf numFmtId="9" fontId="19" fillId="0" borderId="2" xfId="6" applyFont="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right" indent="1"/>
    </xf>
    <xf numFmtId="3" fontId="21" fillId="0" borderId="0" xfId="0" applyNumberFormat="1" applyFont="1" applyAlignment="1">
      <alignment horizontal="center" vertical="center"/>
    </xf>
    <xf numFmtId="3" fontId="21" fillId="15" borderId="0" xfId="0" applyNumberFormat="1" applyFont="1" applyFill="1" applyAlignment="1">
      <alignment horizontal="center" vertical="center"/>
    </xf>
    <xf numFmtId="0" fontId="109" fillId="0" borderId="0" xfId="0" applyFont="1" applyAlignment="1">
      <alignment horizontal="center" wrapText="1"/>
    </xf>
    <xf numFmtId="0" fontId="20" fillId="0" borderId="0" xfId="0" applyFont="1" applyAlignment="1">
      <alignment horizontal="centerContinuous" vertical="center" wrapText="1"/>
    </xf>
    <xf numFmtId="9" fontId="12" fillId="0" borderId="0" xfId="0" applyNumberFormat="1" applyFont="1" applyAlignment="1" applyProtection="1">
      <alignment horizontal="center" vertical="center"/>
      <protection locked="0"/>
    </xf>
    <xf numFmtId="0" fontId="29" fillId="0" borderId="0" xfId="0" applyFont="1" applyAlignment="1">
      <alignment horizontal="center"/>
    </xf>
    <xf numFmtId="0" fontId="31" fillId="0" borderId="0" xfId="0" applyFont="1" applyAlignment="1">
      <alignment horizontal="right"/>
    </xf>
    <xf numFmtId="1" fontId="31" fillId="0" borderId="0" xfId="0" applyNumberFormat="1"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indent="1"/>
    </xf>
    <xf numFmtId="2" fontId="31" fillId="0" borderId="0" xfId="0" applyNumberFormat="1" applyFont="1"/>
    <xf numFmtId="0" fontId="49" fillId="0" borderId="0" xfId="0" applyFont="1"/>
    <xf numFmtId="0" fontId="31" fillId="0" borderId="0" xfId="0" applyFont="1" applyAlignment="1">
      <alignment horizontal="center" vertical="center" wrapText="1"/>
    </xf>
    <xf numFmtId="0" fontId="31" fillId="0" borderId="0" xfId="0" applyFont="1" applyAlignment="1">
      <alignment wrapText="1"/>
    </xf>
    <xf numFmtId="0" fontId="34" fillId="0" borderId="0" xfId="0" applyFont="1" applyAlignment="1">
      <alignment horizontal="left" indent="2"/>
    </xf>
    <xf numFmtId="3" fontId="31" fillId="0" borderId="0" xfId="0" applyNumberFormat="1" applyFont="1" applyAlignment="1">
      <alignment horizontal="center"/>
    </xf>
    <xf numFmtId="0" fontId="30" fillId="0" borderId="0" xfId="0" applyFont="1" applyAlignment="1">
      <alignment horizontal="right"/>
    </xf>
    <xf numFmtId="0" fontId="33" fillId="0" borderId="0" xfId="0" applyFont="1" applyAlignment="1" applyProtection="1">
      <alignment horizontal="center" vertical="center"/>
      <protection locked="0"/>
    </xf>
    <xf numFmtId="295" fontId="19" fillId="2" borderId="9" xfId="0" applyNumberFormat="1" applyFont="1" applyFill="1" applyBorder="1" applyAlignment="1" applyProtection="1">
      <alignment horizontal="center" vertical="center"/>
      <protection locked="0"/>
    </xf>
    <xf numFmtId="295" fontId="19" fillId="2" borderId="1" xfId="0" applyNumberFormat="1" applyFont="1" applyFill="1" applyBorder="1" applyAlignment="1" applyProtection="1">
      <alignment horizontal="center" vertical="center"/>
      <protection locked="0"/>
    </xf>
    <xf numFmtId="0" fontId="24" fillId="2" borderId="56" xfId="0" applyFont="1" applyFill="1" applyBorder="1" applyAlignment="1" applyProtection="1">
      <alignment horizontal="center" vertical="center"/>
      <protection locked="0"/>
    </xf>
    <xf numFmtId="0" fontId="24" fillId="2" borderId="26" xfId="0" applyFont="1" applyFill="1" applyBorder="1" applyAlignment="1" applyProtection="1">
      <alignment horizontal="center" vertical="center"/>
      <protection locked="0"/>
    </xf>
    <xf numFmtId="0" fontId="24" fillId="2" borderId="40" xfId="0" applyFont="1" applyFill="1" applyBorder="1" applyAlignment="1" applyProtection="1">
      <alignment horizontal="center" vertical="center"/>
      <protection locked="0"/>
    </xf>
    <xf numFmtId="0" fontId="26" fillId="2" borderId="57" xfId="0" applyFont="1" applyFill="1" applyBorder="1" applyAlignment="1" applyProtection="1">
      <alignment horizontal="center" vertical="center"/>
      <protection locked="0"/>
    </xf>
    <xf numFmtId="0" fontId="26" fillId="2" borderId="64" xfId="0" applyFont="1" applyFill="1" applyBorder="1" applyAlignment="1" applyProtection="1">
      <alignment horizontal="center" vertical="center"/>
      <protection locked="0"/>
    </xf>
    <xf numFmtId="0" fontId="26" fillId="2" borderId="90" xfId="0" applyFont="1" applyFill="1" applyBorder="1" applyAlignment="1" applyProtection="1">
      <alignment horizontal="center" vertical="center"/>
      <protection locked="0"/>
    </xf>
    <xf numFmtId="0" fontId="44" fillId="2" borderId="9" xfId="0" applyFont="1" applyFill="1" applyBorder="1" applyAlignment="1" applyProtection="1">
      <alignment horizontal="center" vertical="center"/>
      <protection locked="0"/>
    </xf>
    <xf numFmtId="0" fontId="44" fillId="2" borderId="6" xfId="0" applyFont="1" applyFill="1" applyBorder="1" applyAlignment="1" applyProtection="1">
      <alignment horizontal="center" vertical="center"/>
      <protection locked="0"/>
    </xf>
    <xf numFmtId="0" fontId="44" fillId="2" borderId="1" xfId="0" applyFont="1" applyFill="1" applyBorder="1" applyAlignment="1" applyProtection="1">
      <alignment horizontal="center" vertical="center"/>
      <protection locked="0"/>
    </xf>
    <xf numFmtId="0" fontId="44" fillId="0" borderId="6" xfId="0" applyFont="1" applyBorder="1" applyAlignment="1" applyProtection="1">
      <alignment horizontal="left" vertical="center"/>
    </xf>
    <xf numFmtId="0" fontId="44" fillId="0" borderId="1" xfId="0" applyFont="1" applyBorder="1" applyAlignment="1" applyProtection="1">
      <alignment horizontal="left" vertical="center"/>
    </xf>
    <xf numFmtId="3" fontId="44" fillId="2" borderId="9" xfId="0" applyNumberFormat="1" applyFont="1" applyFill="1" applyBorder="1" applyAlignment="1" applyProtection="1">
      <alignment horizontal="center" vertical="center"/>
      <protection locked="0"/>
    </xf>
    <xf numFmtId="3" fontId="44" fillId="2" borderId="6" xfId="0" applyNumberFormat="1" applyFont="1" applyFill="1" applyBorder="1" applyAlignment="1" applyProtection="1">
      <alignment horizontal="center" vertical="center"/>
      <protection locked="0"/>
    </xf>
    <xf numFmtId="3" fontId="44" fillId="2" borderId="1" xfId="0" applyNumberFormat="1" applyFont="1" applyFill="1" applyBorder="1" applyAlignment="1" applyProtection="1">
      <alignment horizontal="center" vertical="center"/>
      <protection locked="0"/>
    </xf>
    <xf numFmtId="9" fontId="39" fillId="0" borderId="50" xfId="0" applyNumberFormat="1" applyFont="1" applyBorder="1" applyAlignment="1" applyProtection="1">
      <alignment horizontal="center" vertical="center"/>
      <protection locked="0"/>
    </xf>
    <xf numFmtId="9" fontId="39" fillId="0" borderId="43" xfId="0" applyNumberFormat="1" applyFont="1" applyBorder="1" applyAlignment="1" applyProtection="1">
      <alignment horizontal="center" vertical="center"/>
      <protection locked="0"/>
    </xf>
    <xf numFmtId="0" fontId="19" fillId="19" borderId="9" xfId="0" applyFont="1" applyFill="1" applyBorder="1" applyAlignment="1" applyProtection="1">
      <alignment horizontal="center" vertical="center"/>
      <protection locked="0"/>
    </xf>
    <xf numFmtId="0" fontId="19" fillId="19" borderId="1" xfId="0" applyFont="1" applyFill="1" applyBorder="1" applyAlignment="1" applyProtection="1">
      <alignment horizontal="center" vertical="center"/>
      <protection locked="0"/>
    </xf>
    <xf numFmtId="15" fontId="19" fillId="2" borderId="9" xfId="0" applyNumberFormat="1" applyFont="1" applyFill="1" applyBorder="1" applyAlignment="1" applyProtection="1">
      <alignment horizontal="center" vertical="center"/>
      <protection locked="0"/>
    </xf>
    <xf numFmtId="15" fontId="19" fillId="2" borderId="6" xfId="0" applyNumberFormat="1" applyFont="1" applyFill="1" applyBorder="1" applyAlignment="1" applyProtection="1">
      <alignment horizontal="center" vertical="center"/>
      <protection locked="0"/>
    </xf>
    <xf numFmtId="15" fontId="19" fillId="2" borderId="1" xfId="0" applyNumberFormat="1" applyFont="1" applyFill="1" applyBorder="1" applyAlignment="1" applyProtection="1">
      <alignment horizontal="center" vertical="center"/>
      <protection locked="0"/>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0" borderId="1" xfId="0" applyFont="1" applyBorder="1" applyAlignment="1">
      <alignment horizontal="center" vertical="center"/>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9" xfId="0" applyFont="1" applyBorder="1" applyAlignment="1">
      <alignment horizontal="center" vertical="center" wrapText="1"/>
    </xf>
    <xf numFmtId="0" fontId="44" fillId="0" borderId="7" xfId="0" applyFont="1" applyBorder="1" applyAlignment="1" applyProtection="1">
      <alignment horizontal="left" indent="1"/>
    </xf>
    <xf numFmtId="0" fontId="44" fillId="0" borderId="13" xfId="0" applyFont="1" applyBorder="1" applyAlignment="1" applyProtection="1">
      <alignment horizontal="left" indent="1"/>
    </xf>
    <xf numFmtId="0" fontId="44" fillId="0" borderId="43" xfId="0" applyFont="1" applyBorder="1" applyAlignment="1" applyProtection="1">
      <alignment horizontal="left" indent="1"/>
    </xf>
    <xf numFmtId="0" fontId="44" fillId="0" borderId="16" xfId="0" applyFont="1" applyBorder="1" applyAlignment="1" applyProtection="1">
      <alignment horizontal="left" indent="1"/>
    </xf>
    <xf numFmtId="0" fontId="44" fillId="0" borderId="62" xfId="0" applyFont="1" applyBorder="1" applyAlignment="1" applyProtection="1">
      <alignment horizontal="left" indent="1"/>
    </xf>
    <xf numFmtId="0" fontId="44" fillId="0" borderId="44" xfId="0" applyFont="1" applyBorder="1" applyAlignment="1" applyProtection="1">
      <alignment horizontal="left" indent="1"/>
    </xf>
    <xf numFmtId="0" fontId="15" fillId="0" borderId="30" xfId="0" applyFont="1" applyBorder="1" applyAlignment="1" applyProtection="1">
      <alignment horizontal="center" vertical="center" wrapText="1"/>
    </xf>
    <xf numFmtId="0" fontId="15" fillId="0" borderId="14" xfId="0" applyFont="1" applyBorder="1" applyAlignment="1" applyProtection="1">
      <alignment horizontal="center" vertical="center" wrapText="1"/>
    </xf>
    <xf numFmtId="0" fontId="33" fillId="0" borderId="30" xfId="0" applyFont="1" applyBorder="1" applyAlignment="1" applyProtection="1">
      <alignment horizontal="center" vertical="center" wrapText="1"/>
    </xf>
    <xf numFmtId="0" fontId="33" fillId="0" borderId="14" xfId="0" applyFont="1" applyBorder="1" applyAlignment="1" applyProtection="1">
      <alignment horizontal="center" vertical="center" wrapText="1"/>
    </xf>
    <xf numFmtId="0" fontId="88" fillId="0" borderId="159" xfId="0" applyFont="1" applyBorder="1" applyAlignment="1">
      <alignment horizontal="center" vertical="center" wrapText="1"/>
    </xf>
    <xf numFmtId="0" fontId="88" fillId="0" borderId="163" xfId="0" applyFont="1" applyBorder="1" applyAlignment="1">
      <alignment horizontal="center" vertical="center" wrapText="1"/>
    </xf>
    <xf numFmtId="0" fontId="88" fillId="0" borderId="167" xfId="0" applyFont="1" applyBorder="1" applyAlignment="1">
      <alignment horizontal="center" vertical="center" wrapText="1"/>
    </xf>
  </cellXfs>
  <cellStyles count="7">
    <cellStyle name="Euro" xfId="1" xr:uid="{00000000-0005-0000-0000-000000000000}"/>
    <cellStyle name="Hipervínculo" xfId="2" builtinId="8"/>
    <cellStyle name="Millares" xfId="3" builtinId="3"/>
    <cellStyle name="Millares [0]" xfId="4" builtinId="6"/>
    <cellStyle name="Normal" xfId="0" builtinId="0"/>
    <cellStyle name="Normal_MODELO COMUNICA para obtener flujos de fondos corregido" xfId="5" xr:uid="{00000000-0005-0000-0000-000005000000}"/>
    <cellStyle name="Porcentaje" xfId="6" builtinId="5"/>
  </cellStyles>
  <dxfs count="55">
    <dxf>
      <font>
        <b/>
        <i val="0"/>
        <condense val="0"/>
        <extend val="0"/>
        <color auto="1"/>
      </font>
    </dxf>
    <dxf>
      <fill>
        <patternFill>
          <bgColor rgb="FFFFFF00"/>
        </patternFill>
      </fill>
    </dxf>
    <dxf>
      <fill>
        <patternFill>
          <bgColor rgb="FF92D050"/>
        </patternFill>
      </fill>
    </dxf>
    <dxf>
      <fill>
        <patternFill>
          <bgColor rgb="FF92D050"/>
        </patternFill>
      </fill>
    </dxf>
    <dxf>
      <fill>
        <patternFill>
          <bgColor rgb="FFFF0000"/>
        </patternFill>
      </fill>
    </dxf>
    <dxf>
      <font>
        <condense val="0"/>
        <extend val="0"/>
        <color auto="1"/>
      </font>
      <border>
        <left style="thin">
          <color indexed="64"/>
        </left>
        <right style="thin">
          <color indexed="64"/>
        </right>
        <top style="thin">
          <color indexed="64"/>
        </top>
        <bottom style="thin">
          <color indexed="64"/>
        </bottom>
      </border>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ndense val="0"/>
        <extend val="0"/>
        <color indexed="9"/>
      </font>
    </dxf>
    <dxf>
      <fill>
        <patternFill patternType="gray0625"/>
      </fill>
    </dxf>
    <dxf>
      <fill>
        <patternFill patternType="gray0625"/>
      </fill>
    </dxf>
    <dxf>
      <fill>
        <patternFill patternType="gray06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0625"/>
      </fill>
    </dxf>
    <dxf>
      <font>
        <condense val="0"/>
        <extend val="0"/>
        <color indexed="9"/>
      </font>
    </dxf>
    <dxf>
      <font>
        <b/>
        <i val="0"/>
        <condense val="0"/>
        <extend val="0"/>
        <color indexed="10"/>
      </font>
      <border>
        <left style="thin">
          <color indexed="10"/>
        </left>
        <right style="thin">
          <color indexed="10"/>
        </right>
        <top style="thin">
          <color indexed="10"/>
        </top>
        <bottom style="thin">
          <color indexed="10"/>
        </bottom>
      </border>
    </dxf>
    <dxf>
      <font>
        <b/>
        <i val="0"/>
        <color rgb="FFFF0000"/>
      </font>
    </dxf>
    <dxf>
      <fill>
        <patternFill patternType="gray125"/>
      </fill>
    </dxf>
    <dxf>
      <fill>
        <patternFill patternType="gray125"/>
      </fill>
    </dxf>
    <dxf>
      <fill>
        <patternFill patternType="gray125"/>
      </fill>
    </dxf>
    <dxf>
      <font>
        <condense val="0"/>
        <extend val="0"/>
        <color indexed="10"/>
      </font>
    </dxf>
    <dxf>
      <font>
        <condense val="0"/>
        <extend val="0"/>
        <color auto="1"/>
      </font>
    </dxf>
    <dxf>
      <font>
        <condense val="0"/>
        <extend val="0"/>
        <color auto="1"/>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indexed="10"/>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auto="1"/>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auto="1"/>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indexed="10"/>
      </font>
    </dxf>
    <dxf>
      <font>
        <condense val="0"/>
        <extend val="0"/>
        <color auto="1"/>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ont>
        <condense val="0"/>
        <extend val="0"/>
        <color indexed="10"/>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ont>
        <condense val="0"/>
        <extend val="0"/>
        <color auto="1"/>
      </font>
    </dxf>
    <dxf>
      <font>
        <condense val="0"/>
        <extend val="0"/>
        <color auto="1"/>
      </font>
    </dxf>
    <dxf>
      <font>
        <b/>
        <i val="0"/>
        <condense val="0"/>
        <extend val="0"/>
        <color indexed="10"/>
      </font>
      <border>
        <left style="thin">
          <color indexed="10"/>
        </left>
        <right style="thin">
          <color indexed="10"/>
        </right>
        <top style="thin">
          <color indexed="10"/>
        </top>
        <bottom style="thin">
          <color indexed="10"/>
        </bottom>
      </border>
    </dxf>
    <dxf>
      <font>
        <condense val="0"/>
        <extend val="0"/>
        <color indexed="9"/>
      </font>
      <fill>
        <patternFill patternType="none">
          <bgColor indexed="65"/>
        </patternFill>
      </fill>
      <border>
        <left/>
        <right/>
        <top/>
        <bottom/>
      </border>
    </dxf>
    <dxf>
      <font>
        <color theme="0"/>
      </font>
      <fill>
        <patternFill patternType="none">
          <bgColor auto="1"/>
        </patternFill>
      </fill>
      <border>
        <left/>
        <right/>
        <bottom/>
      </border>
    </dxf>
    <dxf>
      <font>
        <color theme="0"/>
      </font>
      <border>
        <left/>
        <right/>
        <top/>
        <bottom/>
      </border>
    </dxf>
    <dxf>
      <font>
        <condense val="0"/>
        <extend val="0"/>
        <color indexed="9"/>
      </font>
      <fill>
        <patternFill patternType="none">
          <bgColor auto="1"/>
        </patternFill>
      </fill>
    </dxf>
    <dxf>
      <font>
        <color theme="0"/>
      </font>
      <fill>
        <patternFill patternType="none">
          <bgColor auto="1"/>
        </patternFill>
      </fill>
      <border>
        <left/>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81679171594484E-2"/>
          <c:y val="7.5362532162964679E-2"/>
          <c:w val="0.9112156463076555"/>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0'!$B$25:$M$25</c:f>
              <c:numCache>
                <c:formatCode>#,##0_*;;\-\ \ _*</c:formatCode>
                <c:ptCount val="12"/>
                <c:pt idx="0">
                  <c:v>200</c:v>
                </c:pt>
                <c:pt idx="1">
                  <c:v>272.72727272727275</c:v>
                </c:pt>
                <c:pt idx="2">
                  <c:v>345.4545454545455</c:v>
                </c:pt>
                <c:pt idx="3">
                  <c:v>418.18181818181819</c:v>
                </c:pt>
                <c:pt idx="4">
                  <c:v>490.90909090909093</c:v>
                </c:pt>
                <c:pt idx="5">
                  <c:v>563.63636363636363</c:v>
                </c:pt>
                <c:pt idx="6">
                  <c:v>636.36363636363637</c:v>
                </c:pt>
                <c:pt idx="7">
                  <c:v>709.09090909090901</c:v>
                </c:pt>
                <c:pt idx="8">
                  <c:v>781.81818181818187</c:v>
                </c:pt>
                <c:pt idx="9">
                  <c:v>854.5454545454545</c:v>
                </c:pt>
                <c:pt idx="10">
                  <c:v>927.27272727272725</c:v>
                </c:pt>
                <c:pt idx="11">
                  <c:v>1000</c:v>
                </c:pt>
              </c:numCache>
            </c:numRef>
          </c:val>
          <c:smooth val="0"/>
          <c:extLst>
            <c:ext xmlns:c16="http://schemas.microsoft.com/office/drawing/2014/chart" uri="{C3380CC4-5D6E-409C-BE32-E72D297353CC}">
              <c16:uniqueId val="{00000000-6918-4231-AA6A-8EBD600F179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0'!$B$17:$M$17</c:f>
              <c:numCache>
                <c:formatCode>#,##0_*;;\-\ \ _*</c:formatCode>
                <c:ptCount val="12"/>
                <c:pt idx="0">
                  <c:v>200</c:v>
                </c:pt>
                <c:pt idx="1">
                  <c:v>272.72727272727275</c:v>
                </c:pt>
                <c:pt idx="2">
                  <c:v>345.4545454545455</c:v>
                </c:pt>
                <c:pt idx="3">
                  <c:v>418.18181818181819</c:v>
                </c:pt>
                <c:pt idx="4">
                  <c:v>490.90909090909093</c:v>
                </c:pt>
                <c:pt idx="5">
                  <c:v>563.63636363636363</c:v>
                </c:pt>
                <c:pt idx="6">
                  <c:v>636.36363636363637</c:v>
                </c:pt>
                <c:pt idx="7">
                  <c:v>709.09090909090901</c:v>
                </c:pt>
                <c:pt idx="8">
                  <c:v>781.81818181818187</c:v>
                </c:pt>
                <c:pt idx="9">
                  <c:v>854.5454545454545</c:v>
                </c:pt>
                <c:pt idx="10">
                  <c:v>927.27272727272725</c:v>
                </c:pt>
                <c:pt idx="11">
                  <c:v>1000</c:v>
                </c:pt>
              </c:numCache>
            </c:numRef>
          </c:val>
          <c:smooth val="0"/>
          <c:extLst>
            <c:ext xmlns:c16="http://schemas.microsoft.com/office/drawing/2014/chart" uri="{C3380CC4-5D6E-409C-BE32-E72D297353CC}">
              <c16:uniqueId val="{00000001-6918-4231-AA6A-8EBD600F179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0'!$B$18:$M$18</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6918-4231-AA6A-8EBD600F179B}"/>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0'!$B$19:$M$19</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6918-4231-AA6A-8EBD600F179B}"/>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0'!$B$20:$M$20</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6918-4231-AA6A-8EBD600F179B}"/>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0'!$B$21:$M$21</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6918-4231-AA6A-8EBD600F179B}"/>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0'!$B$22:$M$22</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6918-4231-AA6A-8EBD600F179B}"/>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0'!$B$23:$M$23</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6918-4231-AA6A-8EBD600F179B}"/>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'Prev.Vendas 0'!$B$31:$M$31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0'!$B$24:$M$24</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6918-4231-AA6A-8EBD600F179B}"/>
            </c:ext>
          </c:extLst>
        </c:ser>
        <c:dLbls>
          <c:showLegendKey val="0"/>
          <c:showVal val="0"/>
          <c:showCatName val="0"/>
          <c:showSerName val="0"/>
          <c:showPercent val="0"/>
          <c:showBubbleSize val="0"/>
        </c:dLbls>
        <c:marker val="1"/>
        <c:smooth val="0"/>
        <c:axId val="598284192"/>
        <c:axId val="562868768"/>
      </c:lineChart>
      <c:catAx>
        <c:axId val="59828419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2868768"/>
        <c:crosses val="autoZero"/>
        <c:auto val="1"/>
        <c:lblAlgn val="ctr"/>
        <c:lblOffset val="100"/>
        <c:tickLblSkip val="1"/>
        <c:tickMarkSkip val="1"/>
        <c:noMultiLvlLbl val="0"/>
      </c:catAx>
      <c:valAx>
        <c:axId val="562868768"/>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Vendas</a:t>
                </a:r>
              </a:p>
            </c:rich>
          </c:tx>
          <c:layout>
            <c:manualLayout>
              <c:xMode val="edge"/>
              <c:yMode val="edge"/>
              <c:x val="1.2461021891270574E-2"/>
              <c:y val="0.37971151042017187"/>
            </c:manualLayout>
          </c:layout>
          <c:overlay val="0"/>
          <c:spPr>
            <a:noFill/>
            <a:ln w="25400">
              <a:noFill/>
            </a:ln>
          </c:spPr>
        </c:title>
        <c:numFmt formatCode="#,##0_*;;\-\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9828419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11094108645747E-2"/>
          <c:y val="7.5362532162964679E-2"/>
          <c:w val="0.9127773527161438"/>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1'!$B$25:$M$25</c:f>
              <c:numCache>
                <c:formatCode>#,##0_*;;\-\ \ \ _*</c:formatCode>
                <c:ptCount val="12"/>
                <c:pt idx="0">
                  <c:v>1030</c:v>
                </c:pt>
                <c:pt idx="1">
                  <c:v>1030</c:v>
                </c:pt>
                <c:pt idx="2">
                  <c:v>1030</c:v>
                </c:pt>
                <c:pt idx="3">
                  <c:v>1030</c:v>
                </c:pt>
                <c:pt idx="4">
                  <c:v>1030</c:v>
                </c:pt>
                <c:pt idx="5">
                  <c:v>1030</c:v>
                </c:pt>
                <c:pt idx="6">
                  <c:v>1030</c:v>
                </c:pt>
                <c:pt idx="7">
                  <c:v>1030</c:v>
                </c:pt>
                <c:pt idx="8">
                  <c:v>1030</c:v>
                </c:pt>
                <c:pt idx="9">
                  <c:v>1030</c:v>
                </c:pt>
                <c:pt idx="10">
                  <c:v>1030</c:v>
                </c:pt>
                <c:pt idx="11">
                  <c:v>1030</c:v>
                </c:pt>
              </c:numCache>
            </c:numRef>
          </c:val>
          <c:smooth val="0"/>
          <c:extLst>
            <c:ext xmlns:c16="http://schemas.microsoft.com/office/drawing/2014/chart" uri="{C3380CC4-5D6E-409C-BE32-E72D297353CC}">
              <c16:uniqueId val="{00000000-82D3-4F9F-9C44-51F6872E5E6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1'!$B$17:$M$17</c:f>
              <c:numCache>
                <c:formatCode>#,##0_*;;\-\ \ \ _*</c:formatCode>
                <c:ptCount val="12"/>
                <c:pt idx="0">
                  <c:v>1030</c:v>
                </c:pt>
                <c:pt idx="1">
                  <c:v>1030</c:v>
                </c:pt>
                <c:pt idx="2">
                  <c:v>1030</c:v>
                </c:pt>
                <c:pt idx="3">
                  <c:v>1030</c:v>
                </c:pt>
                <c:pt idx="4">
                  <c:v>1030</c:v>
                </c:pt>
                <c:pt idx="5">
                  <c:v>1030</c:v>
                </c:pt>
                <c:pt idx="6">
                  <c:v>1030</c:v>
                </c:pt>
                <c:pt idx="7">
                  <c:v>1030</c:v>
                </c:pt>
                <c:pt idx="8">
                  <c:v>1030</c:v>
                </c:pt>
                <c:pt idx="9">
                  <c:v>1030</c:v>
                </c:pt>
                <c:pt idx="10">
                  <c:v>1030</c:v>
                </c:pt>
                <c:pt idx="11">
                  <c:v>1030</c:v>
                </c:pt>
              </c:numCache>
            </c:numRef>
          </c:val>
          <c:smooth val="0"/>
          <c:extLst>
            <c:ext xmlns:c16="http://schemas.microsoft.com/office/drawing/2014/chart" uri="{C3380CC4-5D6E-409C-BE32-E72D297353CC}">
              <c16:uniqueId val="{00000001-82D3-4F9F-9C44-51F6872E5E6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2D3-4F9F-9C44-51F6872E5E6B}"/>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82D3-4F9F-9C44-51F6872E5E6B}"/>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82D3-4F9F-9C44-51F6872E5E6B}"/>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82D3-4F9F-9C44-51F6872E5E6B}"/>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2D3-4F9F-9C44-51F6872E5E6B}"/>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82D3-4F9F-9C44-51F6872E5E6B}"/>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'Prev.Vendas 1'!$B$31:$M$31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82D3-4F9F-9C44-51F6872E5E6B}"/>
            </c:ext>
          </c:extLst>
        </c:ser>
        <c:dLbls>
          <c:showLegendKey val="0"/>
          <c:showVal val="0"/>
          <c:showCatName val="0"/>
          <c:showSerName val="0"/>
          <c:showPercent val="0"/>
          <c:showBubbleSize val="0"/>
        </c:dLbls>
        <c:marker val="1"/>
        <c:smooth val="0"/>
        <c:axId val="597124392"/>
        <c:axId val="562869552"/>
      </c:lineChart>
      <c:catAx>
        <c:axId val="59712439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2869552"/>
        <c:crosses val="autoZero"/>
        <c:auto val="1"/>
        <c:lblAlgn val="ctr"/>
        <c:lblOffset val="100"/>
        <c:tickLblSkip val="1"/>
        <c:tickMarkSkip val="1"/>
        <c:noMultiLvlLbl val="0"/>
      </c:catAx>
      <c:valAx>
        <c:axId val="562869552"/>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Ventas</a:t>
                </a:r>
              </a:p>
            </c:rich>
          </c:tx>
          <c:layout>
            <c:manualLayout>
              <c:xMode val="edge"/>
              <c:yMode val="edge"/>
              <c:x val="1.2241742093451132E-2"/>
              <c:y val="0.37971151042017187"/>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9712439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105815469434E-2"/>
          <c:y val="7.5362532162964679E-2"/>
          <c:w val="0.91230803497146751"/>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2'!$B$25:$M$25</c:f>
              <c:numCache>
                <c:formatCode>#,##0_*;;\-\ \ \ _*</c:formatCode>
                <c:ptCount val="12"/>
                <c:pt idx="0">
                  <c:v>1113.9449999999999</c:v>
                </c:pt>
                <c:pt idx="1">
                  <c:v>1113.9449999999999</c:v>
                </c:pt>
                <c:pt idx="2">
                  <c:v>1113.9449999999999</c:v>
                </c:pt>
                <c:pt idx="3">
                  <c:v>1113.9449999999999</c:v>
                </c:pt>
                <c:pt idx="4">
                  <c:v>1113.9449999999999</c:v>
                </c:pt>
                <c:pt idx="5">
                  <c:v>1113.9449999999999</c:v>
                </c:pt>
                <c:pt idx="6">
                  <c:v>1113.9449999999999</c:v>
                </c:pt>
                <c:pt idx="7">
                  <c:v>1113.9449999999999</c:v>
                </c:pt>
                <c:pt idx="8">
                  <c:v>1113.9449999999999</c:v>
                </c:pt>
                <c:pt idx="9">
                  <c:v>1113.9449999999999</c:v>
                </c:pt>
                <c:pt idx="10">
                  <c:v>1113.9449999999999</c:v>
                </c:pt>
                <c:pt idx="11">
                  <c:v>1113.9449999999999</c:v>
                </c:pt>
              </c:numCache>
            </c:numRef>
          </c:val>
          <c:smooth val="0"/>
          <c:extLst>
            <c:ext xmlns:c16="http://schemas.microsoft.com/office/drawing/2014/chart" uri="{C3380CC4-5D6E-409C-BE32-E72D297353CC}">
              <c16:uniqueId val="{00000000-6093-4610-A72C-6D3E32AD1078}"/>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2'!$B$17:$M$17</c:f>
              <c:numCache>
                <c:formatCode>#,##0_*;;\-\ \ \ _*</c:formatCode>
                <c:ptCount val="12"/>
                <c:pt idx="0">
                  <c:v>1113.9449999999999</c:v>
                </c:pt>
                <c:pt idx="1">
                  <c:v>1113.9449999999999</c:v>
                </c:pt>
                <c:pt idx="2">
                  <c:v>1113.9449999999999</c:v>
                </c:pt>
                <c:pt idx="3">
                  <c:v>1113.9449999999999</c:v>
                </c:pt>
                <c:pt idx="4">
                  <c:v>1113.9449999999999</c:v>
                </c:pt>
                <c:pt idx="5">
                  <c:v>1113.9449999999999</c:v>
                </c:pt>
                <c:pt idx="6">
                  <c:v>1113.9449999999999</c:v>
                </c:pt>
                <c:pt idx="7">
                  <c:v>1113.9449999999999</c:v>
                </c:pt>
                <c:pt idx="8">
                  <c:v>1113.9449999999999</c:v>
                </c:pt>
                <c:pt idx="9">
                  <c:v>1113.9449999999999</c:v>
                </c:pt>
                <c:pt idx="10">
                  <c:v>1113.9449999999999</c:v>
                </c:pt>
                <c:pt idx="11">
                  <c:v>1113.9449999999999</c:v>
                </c:pt>
              </c:numCache>
            </c:numRef>
          </c:val>
          <c:smooth val="0"/>
          <c:extLst>
            <c:ext xmlns:c16="http://schemas.microsoft.com/office/drawing/2014/chart" uri="{C3380CC4-5D6E-409C-BE32-E72D297353CC}">
              <c16:uniqueId val="{00000001-6093-4610-A72C-6D3E32AD1078}"/>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6093-4610-A72C-6D3E32AD1078}"/>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6093-4610-A72C-6D3E32AD1078}"/>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6093-4610-A72C-6D3E32AD1078}"/>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6093-4610-A72C-6D3E32AD1078}"/>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6093-4610-A72C-6D3E32AD1078}"/>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6093-4610-A72C-6D3E32AD1078}"/>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'Prev.Vendas 2'!$B$31:$M$31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2'!$B$24:$M$24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6093-4610-A72C-6D3E32AD1078}"/>
            </c:ext>
          </c:extLst>
        </c:ser>
        <c:dLbls>
          <c:showLegendKey val="0"/>
          <c:showVal val="0"/>
          <c:showCatName val="0"/>
          <c:showSerName val="0"/>
          <c:showPercent val="0"/>
          <c:showBubbleSize val="0"/>
        </c:dLbls>
        <c:marker val="1"/>
        <c:smooth val="0"/>
        <c:axId val="561635496"/>
        <c:axId val="561635888"/>
      </c:lineChart>
      <c:catAx>
        <c:axId val="561635496"/>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1635888"/>
        <c:crosses val="autoZero"/>
        <c:auto val="1"/>
        <c:lblAlgn val="ctr"/>
        <c:lblOffset val="100"/>
        <c:tickLblSkip val="1"/>
        <c:tickMarkSkip val="1"/>
        <c:noMultiLvlLbl val="0"/>
      </c:catAx>
      <c:valAx>
        <c:axId val="561635888"/>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 de Ventas</a:t>
                </a:r>
              </a:p>
            </c:rich>
          </c:tx>
          <c:layout>
            <c:manualLayout>
              <c:xMode val="edge"/>
              <c:yMode val="edge"/>
              <c:x val="1.2307679930813246E-2"/>
              <c:y val="0.31014588988342268"/>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1635496"/>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105815469434E-2"/>
          <c:y val="7.5362532162964679E-2"/>
          <c:w val="0.91230803497146751"/>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3'!$B$25:$M$25</c:f>
              <c:numCache>
                <c:formatCode>#,##0_*;;\-\ \ \ _*</c:formatCode>
                <c:ptCount val="12"/>
                <c:pt idx="0">
                  <c:v>1205.277881</c:v>
                </c:pt>
                <c:pt idx="1">
                  <c:v>1205.277881</c:v>
                </c:pt>
                <c:pt idx="2">
                  <c:v>1205.277881</c:v>
                </c:pt>
                <c:pt idx="3">
                  <c:v>1205.277881</c:v>
                </c:pt>
                <c:pt idx="4">
                  <c:v>1205.277881</c:v>
                </c:pt>
                <c:pt idx="5">
                  <c:v>1205.277881</c:v>
                </c:pt>
                <c:pt idx="6">
                  <c:v>1205.277881</c:v>
                </c:pt>
                <c:pt idx="7">
                  <c:v>1205.277881</c:v>
                </c:pt>
                <c:pt idx="8">
                  <c:v>1205.277881</c:v>
                </c:pt>
                <c:pt idx="9">
                  <c:v>1205.277881</c:v>
                </c:pt>
                <c:pt idx="10">
                  <c:v>1205.277881</c:v>
                </c:pt>
                <c:pt idx="11">
                  <c:v>1205.277881</c:v>
                </c:pt>
              </c:numCache>
            </c:numRef>
          </c:val>
          <c:smooth val="0"/>
          <c:extLst>
            <c:ext xmlns:c16="http://schemas.microsoft.com/office/drawing/2014/chart" uri="{C3380CC4-5D6E-409C-BE32-E72D297353CC}">
              <c16:uniqueId val="{00000000-F9AF-4F4D-BB0C-5CA703A5CD3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3'!$B$17:$M$17</c:f>
              <c:numCache>
                <c:formatCode>#,##0_*;;\-\ \ \ _*</c:formatCode>
                <c:ptCount val="12"/>
                <c:pt idx="0">
                  <c:v>1205.277881</c:v>
                </c:pt>
                <c:pt idx="1">
                  <c:v>1205.277881</c:v>
                </c:pt>
                <c:pt idx="2">
                  <c:v>1205.277881</c:v>
                </c:pt>
                <c:pt idx="3">
                  <c:v>1205.277881</c:v>
                </c:pt>
                <c:pt idx="4">
                  <c:v>1205.277881</c:v>
                </c:pt>
                <c:pt idx="5">
                  <c:v>1205.277881</c:v>
                </c:pt>
                <c:pt idx="6">
                  <c:v>1205.277881</c:v>
                </c:pt>
                <c:pt idx="7">
                  <c:v>1205.277881</c:v>
                </c:pt>
                <c:pt idx="8">
                  <c:v>1205.277881</c:v>
                </c:pt>
                <c:pt idx="9">
                  <c:v>1205.277881</c:v>
                </c:pt>
                <c:pt idx="10">
                  <c:v>1205.277881</c:v>
                </c:pt>
                <c:pt idx="11">
                  <c:v>1205.277881</c:v>
                </c:pt>
              </c:numCache>
            </c:numRef>
          </c:val>
          <c:smooth val="0"/>
          <c:extLst>
            <c:ext xmlns:c16="http://schemas.microsoft.com/office/drawing/2014/chart" uri="{C3380CC4-5D6E-409C-BE32-E72D297353CC}">
              <c16:uniqueId val="{00000001-F9AF-4F4D-BB0C-5CA703A5CD3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9AF-4F4D-BB0C-5CA703A5CD3B}"/>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F9AF-4F4D-BB0C-5CA703A5CD3B}"/>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F9AF-4F4D-BB0C-5CA703A5CD3B}"/>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F9AF-4F4D-BB0C-5CA703A5CD3B}"/>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9AF-4F4D-BB0C-5CA703A5CD3B}"/>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F9AF-4F4D-BB0C-5CA703A5CD3B}"/>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'Prev.Vendas 3'!$B$31:$M$31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3'!$B$24:$M$24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F9AF-4F4D-BB0C-5CA703A5CD3B}"/>
            </c:ext>
          </c:extLst>
        </c:ser>
        <c:dLbls>
          <c:showLegendKey val="0"/>
          <c:showVal val="0"/>
          <c:showCatName val="0"/>
          <c:showSerName val="0"/>
          <c:showPercent val="0"/>
          <c:showBubbleSize val="0"/>
        </c:dLbls>
        <c:marker val="1"/>
        <c:smooth val="0"/>
        <c:axId val="561636672"/>
        <c:axId val="561637064"/>
      </c:lineChart>
      <c:catAx>
        <c:axId val="56163667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1637064"/>
        <c:crosses val="autoZero"/>
        <c:auto val="1"/>
        <c:lblAlgn val="ctr"/>
        <c:lblOffset val="100"/>
        <c:tickLblSkip val="1"/>
        <c:tickMarkSkip val="1"/>
        <c:noMultiLvlLbl val="0"/>
      </c:catAx>
      <c:valAx>
        <c:axId val="561637064"/>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 de Ventas</a:t>
                </a:r>
              </a:p>
            </c:rich>
          </c:tx>
          <c:layout>
            <c:manualLayout>
              <c:xMode val="edge"/>
              <c:yMode val="edge"/>
              <c:x val="1.2307679930813246E-2"/>
              <c:y val="0.31014588988342268"/>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163667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11094108645747E-2"/>
          <c:y val="7.5362532162964679E-2"/>
          <c:w val="0.9127773527161438"/>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4'!$B$25:$M$25</c:f>
              <c:numCache>
                <c:formatCode>#,##0_*;;\-\ \ \ _*</c:formatCode>
                <c:ptCount val="12"/>
                <c:pt idx="0">
                  <c:v>1303.3392019800001</c:v>
                </c:pt>
                <c:pt idx="1">
                  <c:v>1303.3392019800001</c:v>
                </c:pt>
                <c:pt idx="2">
                  <c:v>1303.3392019800001</c:v>
                </c:pt>
                <c:pt idx="3">
                  <c:v>1303.3392019800001</c:v>
                </c:pt>
                <c:pt idx="4">
                  <c:v>1303.3392019800001</c:v>
                </c:pt>
                <c:pt idx="5">
                  <c:v>1303.3392019800001</c:v>
                </c:pt>
                <c:pt idx="6">
                  <c:v>1303.3392019800001</c:v>
                </c:pt>
                <c:pt idx="7">
                  <c:v>1303.3392019800001</c:v>
                </c:pt>
                <c:pt idx="8">
                  <c:v>1303.3392019800001</c:v>
                </c:pt>
                <c:pt idx="9">
                  <c:v>1303.3392019800001</c:v>
                </c:pt>
                <c:pt idx="10">
                  <c:v>1303.3392019800001</c:v>
                </c:pt>
                <c:pt idx="11">
                  <c:v>1303.3392019800001</c:v>
                </c:pt>
              </c:numCache>
            </c:numRef>
          </c:val>
          <c:smooth val="0"/>
          <c:extLst>
            <c:ext xmlns:c16="http://schemas.microsoft.com/office/drawing/2014/chart" uri="{C3380CC4-5D6E-409C-BE32-E72D297353CC}">
              <c16:uniqueId val="{00000000-318E-4ACD-9803-05F965DC24E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4'!$B$17:$M$17</c:f>
              <c:numCache>
                <c:formatCode>#,##0_*;;\-\ \ \ _*</c:formatCode>
                <c:ptCount val="12"/>
                <c:pt idx="0">
                  <c:v>1303.3392019800001</c:v>
                </c:pt>
                <c:pt idx="1">
                  <c:v>1303.3392019800001</c:v>
                </c:pt>
                <c:pt idx="2">
                  <c:v>1303.3392019800001</c:v>
                </c:pt>
                <c:pt idx="3">
                  <c:v>1303.3392019800001</c:v>
                </c:pt>
                <c:pt idx="4">
                  <c:v>1303.3392019800001</c:v>
                </c:pt>
                <c:pt idx="5">
                  <c:v>1303.3392019800001</c:v>
                </c:pt>
                <c:pt idx="6">
                  <c:v>1303.3392019800001</c:v>
                </c:pt>
                <c:pt idx="7">
                  <c:v>1303.3392019800001</c:v>
                </c:pt>
                <c:pt idx="8">
                  <c:v>1303.3392019800001</c:v>
                </c:pt>
                <c:pt idx="9">
                  <c:v>1303.3392019800001</c:v>
                </c:pt>
                <c:pt idx="10">
                  <c:v>1303.3392019800001</c:v>
                </c:pt>
                <c:pt idx="11">
                  <c:v>1303.3392019800001</c:v>
                </c:pt>
              </c:numCache>
            </c:numRef>
          </c:val>
          <c:smooth val="0"/>
          <c:extLst>
            <c:ext xmlns:c16="http://schemas.microsoft.com/office/drawing/2014/chart" uri="{C3380CC4-5D6E-409C-BE32-E72D297353CC}">
              <c16:uniqueId val="{00000001-318E-4ACD-9803-05F965DC24E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318E-4ACD-9803-05F965DC24EE}"/>
            </c:ext>
          </c:extLst>
        </c:ser>
        <c:ser>
          <c:idx val="3"/>
          <c:order val="3"/>
          <c:spPr>
            <a:ln w="12700">
              <a:solidFill>
                <a:srgbClr val="00FFFF"/>
              </a:solidFill>
              <a:prstDash val="solid"/>
            </a:ln>
          </c:spPr>
          <c:marker>
            <c:symbol val="x"/>
            <c:size val="5"/>
            <c:spPr>
              <a:noFill/>
              <a:ln>
                <a:solidFill>
                  <a:srgbClr val="00FFFF"/>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318E-4ACD-9803-05F965DC24EE}"/>
            </c:ext>
          </c:extLst>
        </c:ser>
        <c:ser>
          <c:idx val="4"/>
          <c:order val="4"/>
          <c:spPr>
            <a:ln w="12700">
              <a:solidFill>
                <a:srgbClr val="800080"/>
              </a:solidFill>
              <a:prstDash val="solid"/>
            </a:ln>
          </c:spPr>
          <c:marker>
            <c:symbol val="star"/>
            <c:size val="5"/>
            <c:spPr>
              <a:noFill/>
              <a:ln>
                <a:solidFill>
                  <a:srgbClr val="800080"/>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318E-4ACD-9803-05F965DC24EE}"/>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318E-4ACD-9803-05F965DC24EE}"/>
            </c:ext>
          </c:extLst>
        </c:ser>
        <c:ser>
          <c:idx val="6"/>
          <c:order val="6"/>
          <c:spPr>
            <a:ln w="12700">
              <a:solidFill>
                <a:srgbClr val="008080"/>
              </a:solidFill>
              <a:prstDash val="solid"/>
            </a:ln>
          </c:spPr>
          <c:marker>
            <c:symbol val="plus"/>
            <c:size val="5"/>
            <c:spPr>
              <a:noFill/>
              <a:ln>
                <a:solidFill>
                  <a:srgbClr val="008080"/>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18E-4ACD-9803-05F965DC24EE}"/>
            </c:ext>
          </c:extLst>
        </c:ser>
        <c:ser>
          <c:idx val="7"/>
          <c:order val="7"/>
          <c:spPr>
            <a:ln w="12700">
              <a:solidFill>
                <a:srgbClr val="0000FF"/>
              </a:solidFill>
              <a:prstDash val="solid"/>
            </a:ln>
          </c:spPr>
          <c:marker>
            <c:symbol val="dot"/>
            <c:size val="5"/>
            <c:spPr>
              <a:noFill/>
              <a:ln>
                <a:solidFill>
                  <a:srgbClr val="0000FF"/>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318E-4ACD-9803-05F965DC24EE}"/>
            </c:ext>
          </c:extLst>
        </c:ser>
        <c:ser>
          <c:idx val="8"/>
          <c:order val="8"/>
          <c:spPr>
            <a:ln w="12700">
              <a:solidFill>
                <a:srgbClr val="00CCFF"/>
              </a:solidFill>
              <a:prstDash val="solid"/>
            </a:ln>
          </c:spPr>
          <c:marker>
            <c:symbol val="dash"/>
            <c:size val="5"/>
            <c:spPr>
              <a:noFill/>
              <a:ln>
                <a:solidFill>
                  <a:srgbClr val="00CCFF"/>
                </a:solidFill>
                <a:prstDash val="solid"/>
              </a:ln>
            </c:spPr>
          </c:marker>
          <c:cat>
            <c:strRef>
              <c:f>'Prev.Vendas 4'!$B$31:$M$31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4'!$B$24:$M$24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318E-4ACD-9803-05F965DC24EE}"/>
            </c:ext>
          </c:extLst>
        </c:ser>
        <c:dLbls>
          <c:showLegendKey val="0"/>
          <c:showVal val="0"/>
          <c:showCatName val="0"/>
          <c:showSerName val="0"/>
          <c:showPercent val="0"/>
          <c:showBubbleSize val="0"/>
        </c:dLbls>
        <c:marker val="1"/>
        <c:smooth val="0"/>
        <c:axId val="562716152"/>
        <c:axId val="562716544"/>
      </c:lineChart>
      <c:catAx>
        <c:axId val="56271615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2716544"/>
        <c:crosses val="autoZero"/>
        <c:auto val="1"/>
        <c:lblAlgn val="ctr"/>
        <c:lblOffset val="100"/>
        <c:tickLblSkip val="1"/>
        <c:tickMarkSkip val="1"/>
        <c:noMultiLvlLbl val="0"/>
      </c:catAx>
      <c:valAx>
        <c:axId val="562716544"/>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 de Ventas</a:t>
                </a:r>
              </a:p>
            </c:rich>
          </c:tx>
          <c:layout>
            <c:manualLayout>
              <c:xMode val="edge"/>
              <c:yMode val="edge"/>
              <c:x val="1.2241742093451132E-2"/>
              <c:y val="0.31014588988342268"/>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6271615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66678534625788"/>
          <c:y val="5.696214267319083E-2"/>
          <c:w val="0.86458421283387532"/>
          <c:h val="0.77426319855781611"/>
        </c:manualLayout>
      </c:layout>
      <c:lineChart>
        <c:grouping val="standard"/>
        <c:varyColors val="0"/>
        <c:ser>
          <c:idx val="0"/>
          <c:order val="0"/>
          <c:tx>
            <c:strRef>
              <c:f>'Resumo Vendas 5 anos'!$B$32</c:f>
              <c:strCache>
                <c:ptCount val="1"/>
                <c:pt idx="0">
                  <c:v>Ano 0:  2026</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'Prev.Vendas 0'!$B$4:$M$4</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0'!$B$25:$M$25</c:f>
              <c:numCache>
                <c:formatCode>#,##0_*;;\-\ \ _*</c:formatCode>
                <c:ptCount val="12"/>
                <c:pt idx="0">
                  <c:v>200</c:v>
                </c:pt>
                <c:pt idx="1">
                  <c:v>272.72727272727275</c:v>
                </c:pt>
                <c:pt idx="2">
                  <c:v>345.4545454545455</c:v>
                </c:pt>
                <c:pt idx="3">
                  <c:v>418.18181818181819</c:v>
                </c:pt>
                <c:pt idx="4">
                  <c:v>490.90909090909093</c:v>
                </c:pt>
                <c:pt idx="5">
                  <c:v>563.63636363636363</c:v>
                </c:pt>
                <c:pt idx="6">
                  <c:v>636.36363636363637</c:v>
                </c:pt>
                <c:pt idx="7">
                  <c:v>709.09090909090901</c:v>
                </c:pt>
                <c:pt idx="8">
                  <c:v>781.81818181818187</c:v>
                </c:pt>
                <c:pt idx="9">
                  <c:v>854.5454545454545</c:v>
                </c:pt>
                <c:pt idx="10">
                  <c:v>927.27272727272725</c:v>
                </c:pt>
                <c:pt idx="11">
                  <c:v>1000</c:v>
                </c:pt>
              </c:numCache>
            </c:numRef>
          </c:val>
          <c:smooth val="0"/>
          <c:extLst>
            <c:ext xmlns:c16="http://schemas.microsoft.com/office/drawing/2014/chart" uri="{C3380CC4-5D6E-409C-BE32-E72D297353CC}">
              <c16:uniqueId val="{00000000-6061-4B09-93BD-BBF5092F28D4}"/>
            </c:ext>
          </c:extLst>
        </c:ser>
        <c:ser>
          <c:idx val="2"/>
          <c:order val="1"/>
          <c:tx>
            <c:strRef>
              <c:f>'Resumo Vendas 5 anos'!$C$32</c:f>
              <c:strCache>
                <c:ptCount val="1"/>
                <c:pt idx="0">
                  <c:v>Ano 1:  2027</c:v>
                </c:pt>
              </c:strCache>
            </c:strRef>
          </c:tx>
          <c:spPr>
            <a:ln w="12700">
              <a:solidFill>
                <a:schemeClr val="accent6">
                  <a:lumMod val="75000"/>
                </a:schemeClr>
              </a:solidFill>
              <a:prstDash val="solid"/>
            </a:ln>
          </c:spPr>
          <c:marker>
            <c:symbol val="triangle"/>
            <c:size val="5"/>
            <c:spPr>
              <a:solidFill>
                <a:schemeClr val="accent6">
                  <a:lumMod val="75000"/>
                </a:schemeClr>
              </a:solidFill>
              <a:ln>
                <a:solidFill>
                  <a:schemeClr val="accent6">
                    <a:lumMod val="75000"/>
                  </a:schemeClr>
                </a:solidFill>
                <a:prstDash val="solid"/>
              </a:ln>
            </c:spPr>
          </c:marker>
          <c:cat>
            <c:strRef>
              <c:f>'Prev.Vendas 0'!$B$4:$M$4</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'Prev.Vendas 1'!$B$25:$M$25</c:f>
              <c:numCache>
                <c:formatCode>#,##0_*;;\-\ \ \ _*</c:formatCode>
                <c:ptCount val="12"/>
                <c:pt idx="0">
                  <c:v>1030</c:v>
                </c:pt>
                <c:pt idx="1">
                  <c:v>1030</c:v>
                </c:pt>
                <c:pt idx="2">
                  <c:v>1030</c:v>
                </c:pt>
                <c:pt idx="3">
                  <c:v>1030</c:v>
                </c:pt>
                <c:pt idx="4">
                  <c:v>1030</c:v>
                </c:pt>
                <c:pt idx="5">
                  <c:v>1030</c:v>
                </c:pt>
                <c:pt idx="6">
                  <c:v>1030</c:v>
                </c:pt>
                <c:pt idx="7">
                  <c:v>1030</c:v>
                </c:pt>
                <c:pt idx="8">
                  <c:v>1030</c:v>
                </c:pt>
                <c:pt idx="9">
                  <c:v>1030</c:v>
                </c:pt>
                <c:pt idx="10">
                  <c:v>1030</c:v>
                </c:pt>
                <c:pt idx="11">
                  <c:v>1030</c:v>
                </c:pt>
              </c:numCache>
            </c:numRef>
          </c:val>
          <c:smooth val="0"/>
          <c:extLst>
            <c:ext xmlns:c16="http://schemas.microsoft.com/office/drawing/2014/chart" uri="{C3380CC4-5D6E-409C-BE32-E72D297353CC}">
              <c16:uniqueId val="{00000001-6061-4B09-93BD-BBF5092F28D4}"/>
            </c:ext>
          </c:extLst>
        </c:ser>
        <c:ser>
          <c:idx val="1"/>
          <c:order val="2"/>
          <c:tx>
            <c:strRef>
              <c:f>'Resumo Vendas 5 anos'!$E$32</c:f>
              <c:strCache>
                <c:ptCount val="1"/>
                <c:pt idx="0">
                  <c:v>Ano 2:  2028</c:v>
                </c:pt>
              </c:strCache>
            </c:strRef>
          </c:tx>
          <c:spPr>
            <a:ln w="12700">
              <a:solidFill>
                <a:schemeClr val="accent4">
                  <a:lumMod val="75000"/>
                </a:schemeClr>
              </a:solidFill>
              <a:prstDash val="solid"/>
            </a:ln>
          </c:spPr>
          <c:marker>
            <c:symbol val="square"/>
            <c:size val="5"/>
            <c:spPr>
              <a:solidFill>
                <a:schemeClr val="accent4">
                  <a:lumMod val="75000"/>
                </a:schemeClr>
              </a:solidFill>
              <a:ln>
                <a:solidFill>
                  <a:schemeClr val="accent4">
                    <a:lumMod val="75000"/>
                  </a:schemeClr>
                </a:solidFill>
                <a:prstDash val="solid"/>
              </a:ln>
            </c:spPr>
          </c:marker>
          <c:val>
            <c:numRef>
              <c:f>'Prev.Vendas 2'!$B$25:$M$25</c:f>
              <c:numCache>
                <c:formatCode>#,##0_*;;\-\ \ \ _*</c:formatCode>
                <c:ptCount val="12"/>
                <c:pt idx="0">
                  <c:v>1113.9449999999999</c:v>
                </c:pt>
                <c:pt idx="1">
                  <c:v>1113.9449999999999</c:v>
                </c:pt>
                <c:pt idx="2">
                  <c:v>1113.9449999999999</c:v>
                </c:pt>
                <c:pt idx="3">
                  <c:v>1113.9449999999999</c:v>
                </c:pt>
                <c:pt idx="4">
                  <c:v>1113.9449999999999</c:v>
                </c:pt>
                <c:pt idx="5">
                  <c:v>1113.9449999999999</c:v>
                </c:pt>
                <c:pt idx="6">
                  <c:v>1113.9449999999999</c:v>
                </c:pt>
                <c:pt idx="7">
                  <c:v>1113.9449999999999</c:v>
                </c:pt>
                <c:pt idx="8">
                  <c:v>1113.9449999999999</c:v>
                </c:pt>
                <c:pt idx="9">
                  <c:v>1113.9449999999999</c:v>
                </c:pt>
                <c:pt idx="10">
                  <c:v>1113.9449999999999</c:v>
                </c:pt>
                <c:pt idx="11">
                  <c:v>1113.9449999999999</c:v>
                </c:pt>
              </c:numCache>
            </c:numRef>
          </c:val>
          <c:smooth val="0"/>
          <c:extLst>
            <c:ext xmlns:c16="http://schemas.microsoft.com/office/drawing/2014/chart" uri="{C3380CC4-5D6E-409C-BE32-E72D297353CC}">
              <c16:uniqueId val="{00000002-6061-4B09-93BD-BBF5092F28D4}"/>
            </c:ext>
          </c:extLst>
        </c:ser>
        <c:ser>
          <c:idx val="3"/>
          <c:order val="3"/>
          <c:tx>
            <c:strRef>
              <c:f>'Resumo Vendas 5 anos'!$G$32</c:f>
              <c:strCache>
                <c:ptCount val="1"/>
                <c:pt idx="0">
                  <c:v>Ano 3:  2029</c:v>
                </c:pt>
              </c:strCache>
            </c:strRef>
          </c:tx>
          <c:spPr>
            <a:ln w="12700">
              <a:solidFill>
                <a:schemeClr val="tx2">
                  <a:lumMod val="75000"/>
                </a:schemeClr>
              </a:solidFill>
              <a:prstDash val="solid"/>
            </a:ln>
          </c:spPr>
          <c:marker>
            <c:symbol val="x"/>
            <c:size val="5"/>
            <c:spPr>
              <a:solidFill>
                <a:schemeClr val="tx2">
                  <a:lumMod val="75000"/>
                </a:schemeClr>
              </a:solidFill>
              <a:ln>
                <a:solidFill>
                  <a:schemeClr val="tx2">
                    <a:lumMod val="75000"/>
                  </a:schemeClr>
                </a:solidFill>
                <a:prstDash val="solid"/>
              </a:ln>
            </c:spPr>
          </c:marker>
          <c:val>
            <c:numRef>
              <c:f>'Prev.Vendas 3'!$B$25:$M$25</c:f>
              <c:numCache>
                <c:formatCode>#,##0_*;;\-\ \ \ _*</c:formatCode>
                <c:ptCount val="12"/>
                <c:pt idx="0">
                  <c:v>1205.277881</c:v>
                </c:pt>
                <c:pt idx="1">
                  <c:v>1205.277881</c:v>
                </c:pt>
                <c:pt idx="2">
                  <c:v>1205.277881</c:v>
                </c:pt>
                <c:pt idx="3">
                  <c:v>1205.277881</c:v>
                </c:pt>
                <c:pt idx="4">
                  <c:v>1205.277881</c:v>
                </c:pt>
                <c:pt idx="5">
                  <c:v>1205.277881</c:v>
                </c:pt>
                <c:pt idx="6">
                  <c:v>1205.277881</c:v>
                </c:pt>
                <c:pt idx="7">
                  <c:v>1205.277881</c:v>
                </c:pt>
                <c:pt idx="8">
                  <c:v>1205.277881</c:v>
                </c:pt>
                <c:pt idx="9">
                  <c:v>1205.277881</c:v>
                </c:pt>
                <c:pt idx="10">
                  <c:v>1205.277881</c:v>
                </c:pt>
                <c:pt idx="11">
                  <c:v>1205.277881</c:v>
                </c:pt>
              </c:numCache>
            </c:numRef>
          </c:val>
          <c:smooth val="0"/>
          <c:extLst>
            <c:ext xmlns:c16="http://schemas.microsoft.com/office/drawing/2014/chart" uri="{C3380CC4-5D6E-409C-BE32-E72D297353CC}">
              <c16:uniqueId val="{00000003-6061-4B09-93BD-BBF5092F28D4}"/>
            </c:ext>
          </c:extLst>
        </c:ser>
        <c:ser>
          <c:idx val="4"/>
          <c:order val="4"/>
          <c:tx>
            <c:strRef>
              <c:f>'Resumo Vendas 5 anos'!$I$32</c:f>
              <c:strCache>
                <c:ptCount val="1"/>
                <c:pt idx="0">
                  <c:v>Ano 4:  2030</c:v>
                </c:pt>
              </c:strCache>
            </c:strRef>
          </c:tx>
          <c:spPr>
            <a:ln w="12700">
              <a:solidFill>
                <a:srgbClr val="800080"/>
              </a:solidFill>
              <a:prstDash val="solid"/>
            </a:ln>
          </c:spPr>
          <c:marker>
            <c:symbol val="star"/>
            <c:size val="5"/>
            <c:spPr>
              <a:noFill/>
              <a:ln>
                <a:solidFill>
                  <a:srgbClr val="800080"/>
                </a:solidFill>
                <a:prstDash val="solid"/>
              </a:ln>
            </c:spPr>
          </c:marker>
          <c:val>
            <c:numRef>
              <c:f>'Prev.Vendas 4'!$B$25:$M$25</c:f>
              <c:numCache>
                <c:formatCode>#,##0_*;;\-\ \ \ _*</c:formatCode>
                <c:ptCount val="12"/>
                <c:pt idx="0">
                  <c:v>1303.3392019800001</c:v>
                </c:pt>
                <c:pt idx="1">
                  <c:v>1303.3392019800001</c:v>
                </c:pt>
                <c:pt idx="2">
                  <c:v>1303.3392019800001</c:v>
                </c:pt>
                <c:pt idx="3">
                  <c:v>1303.3392019800001</c:v>
                </c:pt>
                <c:pt idx="4">
                  <c:v>1303.3392019800001</c:v>
                </c:pt>
                <c:pt idx="5">
                  <c:v>1303.3392019800001</c:v>
                </c:pt>
                <c:pt idx="6">
                  <c:v>1303.3392019800001</c:v>
                </c:pt>
                <c:pt idx="7">
                  <c:v>1303.3392019800001</c:v>
                </c:pt>
                <c:pt idx="8">
                  <c:v>1303.3392019800001</c:v>
                </c:pt>
                <c:pt idx="9">
                  <c:v>1303.3392019800001</c:v>
                </c:pt>
                <c:pt idx="10">
                  <c:v>1303.3392019800001</c:v>
                </c:pt>
                <c:pt idx="11">
                  <c:v>1303.3392019800001</c:v>
                </c:pt>
              </c:numCache>
            </c:numRef>
          </c:val>
          <c:smooth val="0"/>
          <c:extLst>
            <c:ext xmlns:c16="http://schemas.microsoft.com/office/drawing/2014/chart" uri="{C3380CC4-5D6E-409C-BE32-E72D297353CC}">
              <c16:uniqueId val="{00000004-6061-4B09-93BD-BBF5092F28D4}"/>
            </c:ext>
          </c:extLst>
        </c:ser>
        <c:dLbls>
          <c:showLegendKey val="0"/>
          <c:showVal val="0"/>
          <c:showCatName val="0"/>
          <c:showSerName val="0"/>
          <c:showPercent val="0"/>
          <c:showBubbleSize val="0"/>
        </c:dLbls>
        <c:marker val="1"/>
        <c:smooth val="0"/>
        <c:axId val="562716936"/>
        <c:axId val="562717328"/>
      </c:lineChart>
      <c:catAx>
        <c:axId val="562716936"/>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s-ES"/>
          </a:p>
        </c:txPr>
        <c:crossAx val="562717328"/>
        <c:crosses val="autoZero"/>
        <c:auto val="1"/>
        <c:lblAlgn val="ctr"/>
        <c:lblOffset val="100"/>
        <c:tickLblSkip val="1"/>
        <c:tickMarkSkip val="1"/>
        <c:noMultiLvlLbl val="0"/>
      </c:catAx>
      <c:valAx>
        <c:axId val="562717328"/>
        <c:scaling>
          <c:orientation val="minMax"/>
        </c:scaling>
        <c:delete val="0"/>
        <c:axPos val="l"/>
        <c:majorGridlines>
          <c:spPr>
            <a:ln w="3175">
              <a:solidFill>
                <a:srgbClr val="000000"/>
              </a:solidFill>
              <a:prstDash val="solid"/>
            </a:ln>
          </c:spPr>
        </c:majorGridlines>
        <c:title>
          <c:tx>
            <c:rich>
              <a:bodyPr/>
              <a:lstStyle/>
              <a:p>
                <a:pPr>
                  <a:defRPr sz="1375" b="0" i="0" u="none" strike="noStrike" baseline="0">
                    <a:solidFill>
                      <a:srgbClr val="000000"/>
                    </a:solidFill>
                    <a:latin typeface="Tahoma"/>
                    <a:ea typeface="Tahoma"/>
                    <a:cs typeface="Tahoma"/>
                  </a:defRPr>
                </a:pPr>
                <a:r>
                  <a:rPr lang="es-ES"/>
                  <a:t>Vendas</a:t>
                </a:r>
              </a:p>
            </c:rich>
          </c:tx>
          <c:layout>
            <c:manualLayout>
              <c:xMode val="edge"/>
              <c:yMode val="edge"/>
              <c:x val="2.812501194894863E-2"/>
              <c:y val="0.31012732104139157"/>
            </c:manualLayout>
          </c:layout>
          <c:overlay val="0"/>
          <c:spPr>
            <a:noFill/>
            <a:ln w="25400">
              <a:noFill/>
            </a:ln>
          </c:spPr>
        </c:title>
        <c:numFmt formatCode="#,##0_*;;\-\ \ _*" sourceLinked="1"/>
        <c:majorTickMark val="out"/>
        <c:minorTickMark val="none"/>
        <c:tickLblPos val="nextTo"/>
        <c:spPr>
          <a:ln w="38100">
            <a:solidFill>
              <a:srgbClr val="000000"/>
            </a:solidFill>
            <a:prstDash val="solid"/>
          </a:ln>
        </c:spPr>
        <c:txPr>
          <a:bodyPr rot="0" vert="horz"/>
          <a:lstStyle/>
          <a:p>
            <a:pPr>
              <a:defRPr sz="1025" b="0" i="0" u="none" strike="noStrike" baseline="0">
                <a:solidFill>
                  <a:srgbClr val="000000"/>
                </a:solidFill>
                <a:latin typeface="Times New Roman"/>
                <a:ea typeface="Times New Roman"/>
                <a:cs typeface="Times New Roman"/>
              </a:defRPr>
            </a:pPr>
            <a:endParaRPr lang="es-ES"/>
          </a:p>
        </c:txPr>
        <c:crossAx val="562716936"/>
        <c:crosses val="autoZero"/>
        <c:crossBetween val="between"/>
      </c:valAx>
      <c:spPr>
        <a:solidFill>
          <a:schemeClr val="bg1">
            <a:lumMod val="85000"/>
          </a:schemeClr>
        </a:solidFill>
        <a:ln w="25400">
          <a:solidFill>
            <a:schemeClr val="bg1">
              <a:lumMod val="75000"/>
            </a:schemeClr>
          </a:solidFill>
          <a:prstDash val="solid"/>
        </a:ln>
      </c:spPr>
    </c:plotArea>
    <c:legend>
      <c:legendPos val="r"/>
      <c:layout>
        <c:manualLayout>
          <c:xMode val="edge"/>
          <c:yMode val="edge"/>
          <c:x val="4.1666680322607959E-2"/>
          <c:y val="0.91139411921335911"/>
          <c:w val="0.95416760209864504"/>
          <c:h val="8.016889193198673E-2"/>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Tahoma"/>
              <a:ea typeface="Tahoma"/>
              <a:cs typeface="Tahoma"/>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2925"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000000"/>
                </a:solidFill>
                <a:latin typeface="Arial"/>
                <a:ea typeface="Arial"/>
                <a:cs typeface="Arial"/>
              </a:defRPr>
            </a:pPr>
            <a:r>
              <a:rPr lang="es-ES"/>
              <a:t>Beneficios anuais antes dos Impostos</a:t>
            </a:r>
          </a:p>
        </c:rich>
      </c:tx>
      <c:layout>
        <c:manualLayout>
          <c:xMode val="edge"/>
          <c:yMode val="edge"/>
          <c:x val="0.33454034548633921"/>
          <c:y val="3.1817376331143316E-2"/>
        </c:manualLayout>
      </c:layout>
      <c:overlay val="0"/>
      <c:spPr>
        <a:noFill/>
        <a:ln w="25400">
          <a:noFill/>
        </a:ln>
      </c:spPr>
    </c:title>
    <c:autoTitleDeleted val="0"/>
    <c:plotArea>
      <c:layout>
        <c:manualLayout>
          <c:layoutTarget val="inner"/>
          <c:xMode val="edge"/>
          <c:yMode val="edge"/>
          <c:x val="0.13458516675859872"/>
          <c:y val="0.17499596067562362"/>
          <c:w val="0.8228921624668607"/>
          <c:h val="0.70634733218160806"/>
        </c:manualLayout>
      </c:layout>
      <c:barChart>
        <c:barDir val="col"/>
        <c:grouping val="stacked"/>
        <c:varyColors val="0"/>
        <c:ser>
          <c:idx val="0"/>
          <c:order val="0"/>
          <c:tx>
            <c:v>Costes Fijos</c:v>
          </c:tx>
          <c:spPr>
            <a:solidFill>
              <a:schemeClr val="accent5">
                <a:lumMod val="75000"/>
              </a:schemeClr>
            </a:solidFill>
            <a:ln w="12700">
              <a:solidFill>
                <a:srgbClr val="000000"/>
              </a:solidFill>
              <a:prstDash val="solid"/>
            </a:ln>
          </c:spPr>
          <c:invertIfNegative val="0"/>
          <c:val>
            <c:numRef>
              <c:f>('PPeGG anuais'!$B$18,'PPeGG anuais'!$D$18,'PPeGG anuais'!$G$18,'PPeGG anuais'!$J$18,'PPeGG anuais'!$M$18)</c:f>
              <c:numCache>
                <c:formatCode>#,##0_*;[Red]\(\ #,##0\ \)_*</c:formatCode>
                <c:ptCount val="5"/>
                <c:pt idx="0">
                  <c:v>16214.754545454545</c:v>
                </c:pt>
                <c:pt idx="1">
                  <c:v>18362.658818181815</c:v>
                </c:pt>
                <c:pt idx="2">
                  <c:v>19255.816117499999</c:v>
                </c:pt>
                <c:pt idx="3">
                  <c:v>20178.938349217504</c:v>
                </c:pt>
                <c:pt idx="4">
                  <c:v>21149.90604192315</c:v>
                </c:pt>
              </c:numCache>
            </c:numRef>
          </c:val>
          <c:extLst>
            <c:ext xmlns:c16="http://schemas.microsoft.com/office/drawing/2014/chart" uri="{C3380CC4-5D6E-409C-BE32-E72D297353CC}">
              <c16:uniqueId val="{00000000-7C09-4521-94F7-93740B2B1878}"/>
            </c:ext>
          </c:extLst>
        </c:ser>
        <c:ser>
          <c:idx val="1"/>
          <c:order val="1"/>
          <c:tx>
            <c:v>Costes Variables</c:v>
          </c:tx>
          <c:spPr>
            <a:solidFill>
              <a:schemeClr val="accent5">
                <a:lumMod val="60000"/>
                <a:lumOff val="40000"/>
              </a:schemeClr>
            </a:solidFill>
            <a:ln w="12700">
              <a:solidFill>
                <a:srgbClr val="000000"/>
              </a:solidFill>
              <a:prstDash val="solid"/>
            </a:ln>
          </c:spPr>
          <c:invertIfNegative val="0"/>
          <c:val>
            <c:numRef>
              <c:f>('PPeGG anuais'!$B$9,'PPeGG anuais'!$D$9,'PPeGG anuais'!$G$9,'PPeGG anuais'!$J$9,'PPeGG anuais'!$M$9)</c:f>
              <c:numCache>
                <c:formatCode>#,##0_*;[Red]\(\ #,##0\ \)_*</c:formatCode>
                <c:ptCount val="5"/>
                <c:pt idx="0">
                  <c:v>1008.0000000000001</c:v>
                </c:pt>
                <c:pt idx="1">
                  <c:v>1730.4000000000003</c:v>
                </c:pt>
                <c:pt idx="2">
                  <c:v>1871.4275999999998</c:v>
                </c:pt>
                <c:pt idx="3">
                  <c:v>2024.86684008</c:v>
                </c:pt>
                <c:pt idx="4">
                  <c:v>2189.6098593264005</c:v>
                </c:pt>
              </c:numCache>
            </c:numRef>
          </c:val>
          <c:extLst>
            <c:ext xmlns:c16="http://schemas.microsoft.com/office/drawing/2014/chart" uri="{C3380CC4-5D6E-409C-BE32-E72D297353CC}">
              <c16:uniqueId val="{00000001-7C09-4521-94F7-93740B2B1878}"/>
            </c:ext>
          </c:extLst>
        </c:ser>
        <c:ser>
          <c:idx val="2"/>
          <c:order val="2"/>
          <c:tx>
            <c:v>B.A.I.</c:v>
          </c:tx>
          <c:spPr>
            <a:solidFill>
              <a:schemeClr val="accent3">
                <a:lumMod val="40000"/>
                <a:lumOff val="60000"/>
              </a:schemeClr>
            </a:solidFill>
            <a:ln w="12700">
              <a:solidFill>
                <a:srgbClr val="000000"/>
              </a:solidFill>
              <a:prstDash val="solid"/>
            </a:ln>
          </c:spPr>
          <c:invertIfNegative val="0"/>
          <c:val>
            <c:numRef>
              <c:f>('PPeGG anuais'!$B$29,'PPeGG anuais'!$D$29,'PPeGG anuais'!$G$29,'PPeGG anuais'!$J$29,'PPeGG anuais'!$M$29)</c:f>
              <c:numCache>
                <c:formatCode>#,##0_*;[Red]\ \(\ #,##0\ \)</c:formatCode>
                <c:ptCount val="5"/>
                <c:pt idx="0">
                  <c:v>-10109.874545454546</c:v>
                </c:pt>
                <c:pt idx="1">
                  <c:v>-7882.6148181818189</c:v>
                </c:pt>
                <c:pt idx="2">
                  <c:v>-7921.6485315000009</c:v>
                </c:pt>
                <c:pt idx="3">
                  <c:v>-7915.4769656186982</c:v>
                </c:pt>
                <c:pt idx="4">
                  <c:v>-7888.6903296170467</c:v>
                </c:pt>
              </c:numCache>
            </c:numRef>
          </c:val>
          <c:extLst>
            <c:ext xmlns:c16="http://schemas.microsoft.com/office/drawing/2014/chart" uri="{C3380CC4-5D6E-409C-BE32-E72D297353CC}">
              <c16:uniqueId val="{00000002-7C09-4521-94F7-93740B2B1878}"/>
            </c:ext>
          </c:extLst>
        </c:ser>
        <c:dLbls>
          <c:showLegendKey val="0"/>
          <c:showVal val="0"/>
          <c:showCatName val="0"/>
          <c:showSerName val="0"/>
          <c:showPercent val="0"/>
          <c:showBubbleSize val="0"/>
        </c:dLbls>
        <c:gapWidth val="150"/>
        <c:overlap val="100"/>
        <c:axId val="562918624"/>
        <c:axId val="562919016"/>
      </c:barChart>
      <c:catAx>
        <c:axId val="562918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ES"/>
          </a:p>
        </c:txPr>
        <c:crossAx val="562919016"/>
        <c:crosses val="autoZero"/>
        <c:auto val="1"/>
        <c:lblAlgn val="ctr"/>
        <c:lblOffset val="100"/>
        <c:tickLblSkip val="1"/>
        <c:tickMarkSkip val="1"/>
        <c:noMultiLvlLbl val="0"/>
      </c:catAx>
      <c:valAx>
        <c:axId val="562919016"/>
        <c:scaling>
          <c:orientation val="minMax"/>
        </c:scaling>
        <c:delete val="0"/>
        <c:axPos val="l"/>
        <c:majorGridlines>
          <c:spPr>
            <a:ln w="3175">
              <a:solidFill>
                <a:srgbClr val="000000"/>
              </a:solidFill>
              <a:prstDash val="solid"/>
            </a:ln>
          </c:spPr>
        </c:majorGridlines>
        <c:numFmt formatCode="#,##0_*;[Red]\(\ #,##0\ \)_*"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ES"/>
          </a:p>
        </c:txPr>
        <c:crossAx val="562918624"/>
        <c:crosses val="autoZero"/>
        <c:crossBetween val="between"/>
      </c:valAx>
      <c:spPr>
        <a:solidFill>
          <a:schemeClr val="bg1">
            <a:lumMod val="95000"/>
          </a:schemeClr>
        </a:solidFill>
        <a:ln w="12700">
          <a:solidFill>
            <a:schemeClr val="bg1">
              <a:lumMod val="75000"/>
            </a:schemeClr>
          </a:solidFill>
          <a:prstDash val="solid"/>
        </a:ln>
      </c:spPr>
    </c:plotArea>
    <c:legend>
      <c:legendPos val="r"/>
      <c:layout>
        <c:manualLayout>
          <c:xMode val="edge"/>
          <c:yMode val="edge"/>
          <c:x val="0.8474369522808366"/>
          <c:y val="0.38535031847133761"/>
          <c:w val="0.14743607626710331"/>
          <c:h val="0.19108280254777066"/>
        </c:manualLayout>
      </c:layout>
      <c:overlay val="0"/>
      <c:spPr>
        <a:solidFill>
          <a:srgbClr val="FFFFFF"/>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rPr lang="es-ES"/>
              <a:t>Tesourarias mensuais</a:t>
            </a:r>
          </a:p>
        </c:rich>
      </c:tx>
      <c:layout>
        <c:manualLayout>
          <c:xMode val="edge"/>
          <c:yMode val="edge"/>
          <c:x val="0.36246813621305046"/>
          <c:y val="2.8985507246376812E-2"/>
        </c:manualLayout>
      </c:layout>
      <c:overlay val="0"/>
      <c:spPr>
        <a:noFill/>
        <a:ln w="25400">
          <a:noFill/>
        </a:ln>
      </c:spPr>
    </c:title>
    <c:autoTitleDeleted val="0"/>
    <c:plotArea>
      <c:layout>
        <c:manualLayout>
          <c:layoutTarget val="inner"/>
          <c:xMode val="edge"/>
          <c:yMode val="edge"/>
          <c:x val="9.7686436630405382E-2"/>
          <c:y val="0.1352660195548846"/>
          <c:w val="0.86246840761844745"/>
          <c:h val="0.68116102704424031"/>
        </c:manualLayout>
      </c:layout>
      <c:lineChart>
        <c:grouping val="standard"/>
        <c:varyColors val="0"/>
        <c:ser>
          <c:idx val="0"/>
          <c:order val="0"/>
          <c:tx>
            <c:strRef>
              <c:f>'Resumo Tesourarias'!$A$63</c:f>
              <c:strCache>
                <c:ptCount val="1"/>
                <c:pt idx="0">
                  <c:v>Ano 0:  2026</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'Resumo Tesourarias'!$B$63:$M$63</c:f>
              <c:numCache>
                <c:formatCode>#,##0</c:formatCode>
                <c:ptCount val="12"/>
                <c:pt idx="0">
                  <c:v>1155.4059999999997</c:v>
                </c:pt>
                <c:pt idx="1">
                  <c:v>183.96199999999953</c:v>
                </c:pt>
                <c:pt idx="2">
                  <c:v>-712.6820000000007</c:v>
                </c:pt>
                <c:pt idx="3">
                  <c:v>-1708.8441818181825</c:v>
                </c:pt>
                <c:pt idx="4">
                  <c:v>-2630.2063636363646</c:v>
                </c:pt>
                <c:pt idx="5">
                  <c:v>-3476.7685454545463</c:v>
                </c:pt>
                <c:pt idx="6">
                  <c:v>-4417.9276363636372</c:v>
                </c:pt>
                <c:pt idx="7">
                  <c:v>-5037.1625454545465</c:v>
                </c:pt>
                <c:pt idx="8">
                  <c:v>-5581.5974545454555</c:v>
                </c:pt>
                <c:pt idx="9">
                  <c:v>-6470.6040000000012</c:v>
                </c:pt>
                <c:pt idx="10">
                  <c:v>-6917.2570909090928</c:v>
                </c:pt>
                <c:pt idx="11">
                  <c:v>-7289.1101818181842</c:v>
                </c:pt>
              </c:numCache>
            </c:numRef>
          </c:val>
          <c:smooth val="0"/>
          <c:extLst>
            <c:ext xmlns:c16="http://schemas.microsoft.com/office/drawing/2014/chart" uri="{C3380CC4-5D6E-409C-BE32-E72D297353CC}">
              <c16:uniqueId val="{00000000-88C3-4F19-B086-07B51E4DDA7A}"/>
            </c:ext>
          </c:extLst>
        </c:ser>
        <c:ser>
          <c:idx val="1"/>
          <c:order val="1"/>
          <c:tx>
            <c:strRef>
              <c:f>'Resumo Tesourarias'!$A$64</c:f>
              <c:strCache>
                <c:ptCount val="1"/>
                <c:pt idx="0">
                  <c:v>Ano 1:  2027</c:v>
                </c:pt>
              </c:strCache>
            </c:strRef>
          </c:tx>
          <c:spPr>
            <a:ln w="12700">
              <a:solidFill>
                <a:schemeClr val="accent6">
                  <a:lumMod val="50000"/>
                </a:schemeClr>
              </a:solidFill>
              <a:prstDash val="solid"/>
            </a:ln>
          </c:spPr>
          <c:marker>
            <c:symbol val="square"/>
            <c:size val="5"/>
            <c:spPr>
              <a:solidFill>
                <a:schemeClr val="accent2">
                  <a:lumMod val="75000"/>
                </a:schemeClr>
              </a:solidFill>
              <a:ln>
                <a:solidFill>
                  <a:schemeClr val="accent2">
                    <a:lumMod val="75000"/>
                  </a:schemeClr>
                </a:solidFill>
                <a:prstDash val="solid"/>
              </a:ln>
            </c:spPr>
          </c:marker>
          <c:val>
            <c:numRef>
              <c:f>'Resumo Tesourarias'!$B$64:$M$64</c:f>
              <c:numCache>
                <c:formatCode>#,##0</c:formatCode>
                <c:ptCount val="12"/>
                <c:pt idx="0">
                  <c:v>-8236.6189781818211</c:v>
                </c:pt>
                <c:pt idx="1">
                  <c:v>-8698.3634109090945</c:v>
                </c:pt>
                <c:pt idx="2">
                  <c:v>-9160.1078436363678</c:v>
                </c:pt>
                <c:pt idx="3">
                  <c:v>-10176.775523636368</c:v>
                </c:pt>
                <c:pt idx="4">
                  <c:v>-10662.917683636368</c:v>
                </c:pt>
                <c:pt idx="5">
                  <c:v>-11149.059843636367</c:v>
                </c:pt>
                <c:pt idx="6">
                  <c:v>-12165.727523636368</c:v>
                </c:pt>
                <c:pt idx="7">
                  <c:v>-12651.869683636367</c:v>
                </c:pt>
                <c:pt idx="8">
                  <c:v>-13138.011843636366</c:v>
                </c:pt>
                <c:pt idx="9">
                  <c:v>-14154.679523636367</c:v>
                </c:pt>
                <c:pt idx="10">
                  <c:v>-14640.821683636366</c:v>
                </c:pt>
                <c:pt idx="11">
                  <c:v>-15126.963843636366</c:v>
                </c:pt>
              </c:numCache>
            </c:numRef>
          </c:val>
          <c:smooth val="0"/>
          <c:extLst>
            <c:ext xmlns:c16="http://schemas.microsoft.com/office/drawing/2014/chart" uri="{C3380CC4-5D6E-409C-BE32-E72D297353CC}">
              <c16:uniqueId val="{00000001-88C3-4F19-B086-07B51E4DDA7A}"/>
            </c:ext>
          </c:extLst>
        </c:ser>
        <c:ser>
          <c:idx val="2"/>
          <c:order val="2"/>
          <c:tx>
            <c:strRef>
              <c:f>'Resumo Tesourarias'!$A$65</c:f>
              <c:strCache>
                <c:ptCount val="1"/>
                <c:pt idx="0">
                  <c:v>Ano 2:  2028</c:v>
                </c:pt>
              </c:strCache>
            </c:strRef>
          </c:tx>
          <c:spPr>
            <a:ln w="12700">
              <a:solidFill>
                <a:schemeClr val="accent3">
                  <a:lumMod val="50000"/>
                </a:schemeClr>
              </a:solidFill>
              <a:prstDash val="solid"/>
            </a:ln>
          </c:spPr>
          <c:marker>
            <c:symbol val="triangle"/>
            <c:size val="5"/>
            <c:spPr>
              <a:solidFill>
                <a:schemeClr val="accent3">
                  <a:lumMod val="50000"/>
                </a:schemeClr>
              </a:solidFill>
              <a:ln>
                <a:solidFill>
                  <a:schemeClr val="accent3">
                    <a:lumMod val="50000"/>
                  </a:schemeClr>
                </a:solidFill>
                <a:prstDash val="solid"/>
              </a:ln>
            </c:spPr>
          </c:marker>
          <c:val>
            <c:numRef>
              <c:f>'Resumo Tesourarias'!$B$65:$M$65</c:f>
              <c:numCache>
                <c:formatCode>#,##0</c:formatCode>
                <c:ptCount val="12"/>
                <c:pt idx="0">
                  <c:v>-16111.397835536365</c:v>
                </c:pt>
                <c:pt idx="1">
                  <c:v>-16565.306307436367</c:v>
                </c:pt>
                <c:pt idx="2">
                  <c:v>-17019.214779336369</c:v>
                </c:pt>
                <c:pt idx="3">
                  <c:v>-18066.888796536368</c:v>
                </c:pt>
                <c:pt idx="4">
                  <c:v>-18540.734205936369</c:v>
                </c:pt>
                <c:pt idx="5">
                  <c:v>-19014.57961533637</c:v>
                </c:pt>
                <c:pt idx="6">
                  <c:v>-20062.253632536369</c:v>
                </c:pt>
                <c:pt idx="7">
                  <c:v>-20536.09904193637</c:v>
                </c:pt>
                <c:pt idx="8">
                  <c:v>-21009.944451336371</c:v>
                </c:pt>
                <c:pt idx="9">
                  <c:v>-22057.61846853637</c:v>
                </c:pt>
                <c:pt idx="10">
                  <c:v>-22531.46387793637</c:v>
                </c:pt>
                <c:pt idx="11">
                  <c:v>-23005.309287336371</c:v>
                </c:pt>
              </c:numCache>
            </c:numRef>
          </c:val>
          <c:smooth val="0"/>
          <c:extLst>
            <c:ext xmlns:c16="http://schemas.microsoft.com/office/drawing/2014/chart" uri="{C3380CC4-5D6E-409C-BE32-E72D297353CC}">
              <c16:uniqueId val="{00000002-88C3-4F19-B086-07B51E4DDA7A}"/>
            </c:ext>
          </c:extLst>
        </c:ser>
        <c:ser>
          <c:idx val="3"/>
          <c:order val="3"/>
          <c:tx>
            <c:strRef>
              <c:f>'Resumo Tesourarias'!$A$66</c:f>
              <c:strCache>
                <c:ptCount val="1"/>
                <c:pt idx="0">
                  <c:v>Ano 3:  2029</c:v>
                </c:pt>
              </c:strCache>
            </c:strRef>
          </c:tx>
          <c:spPr>
            <a:ln w="12700">
              <a:solidFill>
                <a:schemeClr val="accent5">
                  <a:lumMod val="50000"/>
                </a:schemeClr>
              </a:solidFill>
              <a:prstDash val="solid"/>
            </a:ln>
          </c:spPr>
          <c:marker>
            <c:symbol val="x"/>
            <c:size val="5"/>
            <c:spPr>
              <a:noFill/>
              <a:ln>
                <a:solidFill>
                  <a:schemeClr val="accent5">
                    <a:lumMod val="50000"/>
                  </a:schemeClr>
                </a:solidFill>
                <a:prstDash val="solid"/>
              </a:ln>
            </c:spPr>
          </c:marker>
          <c:val>
            <c:numRef>
              <c:f>'Resumo Tesourarias'!$B$66:$M$66</c:f>
              <c:numCache>
                <c:formatCode>#,##0</c:formatCode>
                <c:ptCount val="12"/>
                <c:pt idx="0">
                  <c:v>-24015.510386524271</c:v>
                </c:pt>
                <c:pt idx="1">
                  <c:v>-24451.882877912172</c:v>
                </c:pt>
                <c:pt idx="2">
                  <c:v>-24888.255369300074</c:v>
                </c:pt>
                <c:pt idx="3">
                  <c:v>-25967.265178882073</c:v>
                </c:pt>
                <c:pt idx="4">
                  <c:v>-26425.329229507472</c:v>
                </c:pt>
                <c:pt idx="5">
                  <c:v>-26883.39328013287</c:v>
                </c:pt>
                <c:pt idx="6">
                  <c:v>-27962.40308971487</c:v>
                </c:pt>
                <c:pt idx="7">
                  <c:v>-28420.467140340268</c:v>
                </c:pt>
                <c:pt idx="8">
                  <c:v>-28878.531190965667</c:v>
                </c:pt>
                <c:pt idx="9">
                  <c:v>-29957.541000547666</c:v>
                </c:pt>
                <c:pt idx="10">
                  <c:v>-30415.605051173065</c:v>
                </c:pt>
                <c:pt idx="11">
                  <c:v>-30873.669101798463</c:v>
                </c:pt>
              </c:numCache>
            </c:numRef>
          </c:val>
          <c:smooth val="0"/>
          <c:extLst>
            <c:ext xmlns:c16="http://schemas.microsoft.com/office/drawing/2014/chart" uri="{C3380CC4-5D6E-409C-BE32-E72D297353CC}">
              <c16:uniqueId val="{00000003-88C3-4F19-B086-07B51E4DDA7A}"/>
            </c:ext>
          </c:extLst>
        </c:ser>
        <c:ser>
          <c:idx val="4"/>
          <c:order val="4"/>
          <c:tx>
            <c:strRef>
              <c:f>'Resumo Tesourarias'!$A$67</c:f>
              <c:strCache>
                <c:ptCount val="1"/>
                <c:pt idx="0">
                  <c:v>Ano 4:  2030</c:v>
                </c:pt>
              </c:strCache>
            </c:strRef>
          </c:tx>
          <c:spPr>
            <a:ln w="12700">
              <a:solidFill>
                <a:schemeClr val="accent2">
                  <a:lumMod val="75000"/>
                </a:schemeClr>
              </a:solidFill>
              <a:prstDash val="solid"/>
            </a:ln>
          </c:spPr>
          <c:marker>
            <c:symbol val="star"/>
            <c:size val="5"/>
            <c:spPr>
              <a:noFill/>
              <a:ln>
                <a:solidFill>
                  <a:schemeClr val="accent2">
                    <a:lumMod val="75000"/>
                  </a:schemeClr>
                </a:solidFill>
                <a:prstDash val="solid"/>
              </a:ln>
            </c:spPr>
          </c:marker>
          <c:val>
            <c:numRef>
              <c:f>'Resumo Tesourarias'!$B$67:$M$67</c:f>
              <c:numCache>
                <c:formatCode>#,##0</c:formatCode>
                <c:ptCount val="12"/>
                <c:pt idx="0">
                  <c:v>-31910.693146890204</c:v>
                </c:pt>
                <c:pt idx="1">
                  <c:v>-32326.771433025348</c:v>
                </c:pt>
                <c:pt idx="2">
                  <c:v>-32742.849719160491</c:v>
                </c:pt>
                <c:pt idx="3">
                  <c:v>-33853.753774628531</c:v>
                </c:pt>
                <c:pt idx="4">
                  <c:v>-34293.121624496423</c:v>
                </c:pt>
                <c:pt idx="5">
                  <c:v>-34732.489474364316</c:v>
                </c:pt>
                <c:pt idx="6">
                  <c:v>-35843.393529832356</c:v>
                </c:pt>
                <c:pt idx="7">
                  <c:v>-36282.761379700249</c:v>
                </c:pt>
                <c:pt idx="8">
                  <c:v>-36722.129229568141</c:v>
                </c:pt>
                <c:pt idx="9">
                  <c:v>-37833.033285036181</c:v>
                </c:pt>
                <c:pt idx="10">
                  <c:v>-38272.401134904074</c:v>
                </c:pt>
                <c:pt idx="11">
                  <c:v>-38711.768984771967</c:v>
                </c:pt>
              </c:numCache>
            </c:numRef>
          </c:val>
          <c:smooth val="0"/>
          <c:extLst>
            <c:ext xmlns:c16="http://schemas.microsoft.com/office/drawing/2014/chart" uri="{C3380CC4-5D6E-409C-BE32-E72D297353CC}">
              <c16:uniqueId val="{00000004-88C3-4F19-B086-07B51E4DDA7A}"/>
            </c:ext>
          </c:extLst>
        </c:ser>
        <c:dLbls>
          <c:showLegendKey val="0"/>
          <c:showVal val="0"/>
          <c:showCatName val="0"/>
          <c:showSerName val="0"/>
          <c:showPercent val="0"/>
          <c:showBubbleSize val="0"/>
        </c:dLbls>
        <c:marker val="1"/>
        <c:smooth val="0"/>
        <c:axId val="558668808"/>
        <c:axId val="558669200"/>
      </c:lineChart>
      <c:catAx>
        <c:axId val="558668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s-ES"/>
          </a:p>
        </c:txPr>
        <c:crossAx val="558669200"/>
        <c:crosses val="autoZero"/>
        <c:auto val="1"/>
        <c:lblAlgn val="ctr"/>
        <c:lblOffset val="100"/>
        <c:tickLblSkip val="1"/>
        <c:tickMarkSkip val="1"/>
        <c:noMultiLvlLbl val="0"/>
      </c:catAx>
      <c:valAx>
        <c:axId val="558669200"/>
        <c:scaling>
          <c:orientation val="minMax"/>
        </c:scaling>
        <c:delete val="0"/>
        <c:axPos val="l"/>
        <c:majorGridlines>
          <c:spPr>
            <a:ln w="3175">
              <a:solidFill>
                <a:srgbClr val="000000"/>
              </a:solidFill>
              <a:prstDash val="solid"/>
            </a:ln>
          </c:spPr>
        </c:majorGridlines>
        <c:numFmt formatCode="#,##0\ ;[Red]\(\ #,##0\ \)\ "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ES"/>
          </a:p>
        </c:txPr>
        <c:crossAx val="558668808"/>
        <c:crosses val="autoZero"/>
        <c:crossBetween val="between"/>
      </c:valAx>
      <c:spPr>
        <a:solidFill>
          <a:schemeClr val="bg1">
            <a:lumMod val="95000"/>
          </a:schemeClr>
        </a:solidFill>
        <a:ln w="12700">
          <a:solidFill>
            <a:schemeClr val="bg1">
              <a:lumMod val="75000"/>
            </a:schemeClr>
          </a:solidFill>
          <a:prstDash val="solid"/>
        </a:ln>
      </c:spPr>
    </c:plotArea>
    <c:legend>
      <c:legendPos val="b"/>
      <c:layout>
        <c:manualLayout>
          <c:xMode val="edge"/>
          <c:yMode val="edge"/>
          <c:x val="7.7977720651242505E-2"/>
          <c:y val="0.90821458911838915"/>
          <c:w val="0.88946069401993133"/>
          <c:h val="7.2464021707431492E-2"/>
        </c:manualLayout>
      </c:layout>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s-ES"/>
              <a:t>Evolução económica</a:t>
            </a:r>
          </a:p>
        </c:rich>
      </c:tx>
      <c:layout>
        <c:manualLayout>
          <c:xMode val="edge"/>
          <c:yMode val="edge"/>
          <c:x val="0.35101604704475231"/>
          <c:y val="2.4220907297830375E-2"/>
        </c:manualLayout>
      </c:layout>
      <c:overlay val="0"/>
    </c:title>
    <c:autoTitleDeleted val="0"/>
    <c:plotArea>
      <c:layout/>
      <c:lineChart>
        <c:grouping val="standard"/>
        <c:varyColors val="0"/>
        <c:ser>
          <c:idx val="1"/>
          <c:order val="0"/>
          <c:tx>
            <c:strRef>
              <c:f>'Dados Evaluação'!$B$54</c:f>
              <c:strCache>
                <c:ptCount val="1"/>
                <c:pt idx="0">
                  <c:v>Ingresos</c:v>
                </c:pt>
              </c:strCache>
            </c:strRef>
          </c:tx>
          <c:spPr>
            <a:ln w="28575">
              <a:solidFill>
                <a:schemeClr val="accent2"/>
              </a:solidFill>
            </a:ln>
          </c:spPr>
          <c:marker>
            <c:spPr>
              <a:solidFill>
                <a:schemeClr val="accent2"/>
              </a:solidFill>
              <a:ln w="28575">
                <a:solidFill>
                  <a:schemeClr val="accent2"/>
                </a:solidFill>
              </a:ln>
            </c:spPr>
          </c:marker>
          <c:cat>
            <c:strRef>
              <c:f>'Dados Evaluação'!$A$55:$A$60</c:f>
              <c:strCache>
                <c:ptCount val="6"/>
                <c:pt idx="0">
                  <c:v>Inicial</c:v>
                </c:pt>
                <c:pt idx="1">
                  <c:v>Ano 0:  2026</c:v>
                </c:pt>
                <c:pt idx="2">
                  <c:v>Ano 1:  2027</c:v>
                </c:pt>
                <c:pt idx="3">
                  <c:v>Ano 2:  2028</c:v>
                </c:pt>
                <c:pt idx="4">
                  <c:v>Ano 3:  2029</c:v>
                </c:pt>
                <c:pt idx="5">
                  <c:v>Ano 4:  2030</c:v>
                </c:pt>
              </c:strCache>
            </c:strRef>
          </c:cat>
          <c:val>
            <c:numRef>
              <c:f>'Dados Evaluação'!$B$55:$B$60</c:f>
              <c:numCache>
                <c:formatCode>#,##0</c:formatCode>
                <c:ptCount val="6"/>
                <c:pt idx="0">
                  <c:v>0</c:v>
                </c:pt>
                <c:pt idx="1">
                  <c:v>7199.9999999999991</c:v>
                </c:pt>
                <c:pt idx="2">
                  <c:v>12360</c:v>
                </c:pt>
                <c:pt idx="3">
                  <c:v>13367.339999999998</c:v>
                </c:pt>
                <c:pt idx="4">
                  <c:v>14463.334572</c:v>
                </c:pt>
                <c:pt idx="5">
                  <c:v>15640.070423759998</c:v>
                </c:pt>
              </c:numCache>
            </c:numRef>
          </c:val>
          <c:smooth val="0"/>
          <c:extLst>
            <c:ext xmlns:c16="http://schemas.microsoft.com/office/drawing/2014/chart" uri="{C3380CC4-5D6E-409C-BE32-E72D297353CC}">
              <c16:uniqueId val="{00000000-C879-4575-8523-3FC1A68E8B46}"/>
            </c:ext>
          </c:extLst>
        </c:ser>
        <c:ser>
          <c:idx val="2"/>
          <c:order val="1"/>
          <c:tx>
            <c:strRef>
              <c:f>'Dados Evaluação'!$C$54</c:f>
              <c:strCache>
                <c:ptCount val="1"/>
                <c:pt idx="0">
                  <c:v>EBITDA</c:v>
                </c:pt>
              </c:strCache>
            </c:strRef>
          </c:tx>
          <c:spPr>
            <a:ln w="28575">
              <a:solidFill>
                <a:schemeClr val="accent3"/>
              </a:solidFill>
            </a:ln>
          </c:spPr>
          <c:marker>
            <c:spPr>
              <a:solidFill>
                <a:schemeClr val="accent3"/>
              </a:solidFill>
              <a:ln w="28575">
                <a:solidFill>
                  <a:schemeClr val="accent3"/>
                </a:solidFill>
              </a:ln>
            </c:spPr>
          </c:marker>
          <c:cat>
            <c:strRef>
              <c:f>'Dados Evaluação'!$A$55:$A$60</c:f>
              <c:strCache>
                <c:ptCount val="6"/>
                <c:pt idx="0">
                  <c:v>Inicial</c:v>
                </c:pt>
                <c:pt idx="1">
                  <c:v>Ano 0:  2026</c:v>
                </c:pt>
                <c:pt idx="2">
                  <c:v>Ano 1:  2027</c:v>
                </c:pt>
                <c:pt idx="3">
                  <c:v>Ano 2:  2028</c:v>
                </c:pt>
                <c:pt idx="4">
                  <c:v>Ano 3:  2029</c:v>
                </c:pt>
                <c:pt idx="5">
                  <c:v>Ano 4:  2030</c:v>
                </c:pt>
              </c:strCache>
            </c:strRef>
          </c:cat>
          <c:val>
            <c:numRef>
              <c:f>'Dados Evaluação'!$C$55:$C$60</c:f>
              <c:numCache>
                <c:formatCode>#,##0</c:formatCode>
                <c:ptCount val="6"/>
                <c:pt idx="0">
                  <c:v>0</c:v>
                </c:pt>
                <c:pt idx="1">
                  <c:v>-10022.754545454545</c:v>
                </c:pt>
                <c:pt idx="2">
                  <c:v>-7733.0588181818148</c:v>
                </c:pt>
                <c:pt idx="3">
                  <c:v>-7759.9037174999994</c:v>
                </c:pt>
                <c:pt idx="4">
                  <c:v>-7740.4706172975038</c:v>
                </c:pt>
                <c:pt idx="5">
                  <c:v>-7699.445477489553</c:v>
                </c:pt>
              </c:numCache>
            </c:numRef>
          </c:val>
          <c:smooth val="0"/>
          <c:extLst>
            <c:ext xmlns:c16="http://schemas.microsoft.com/office/drawing/2014/chart" uri="{C3380CC4-5D6E-409C-BE32-E72D297353CC}">
              <c16:uniqueId val="{00000001-C879-4575-8523-3FC1A68E8B46}"/>
            </c:ext>
          </c:extLst>
        </c:ser>
        <c:ser>
          <c:idx val="3"/>
          <c:order val="2"/>
          <c:tx>
            <c:strRef>
              <c:f>'Dados Evaluação'!$D$54</c:f>
              <c:strCache>
                <c:ptCount val="1"/>
                <c:pt idx="0">
                  <c:v>Lucro Neto</c:v>
                </c:pt>
              </c:strCache>
            </c:strRef>
          </c:tx>
          <c:spPr>
            <a:ln w="38100"/>
          </c:spPr>
          <c:marker>
            <c:spPr>
              <a:ln w="38100"/>
            </c:spPr>
          </c:marker>
          <c:cat>
            <c:strRef>
              <c:f>'Dados Evaluação'!$A$55:$A$60</c:f>
              <c:strCache>
                <c:ptCount val="6"/>
                <c:pt idx="0">
                  <c:v>Inicial</c:v>
                </c:pt>
                <c:pt idx="1">
                  <c:v>Ano 0:  2026</c:v>
                </c:pt>
                <c:pt idx="2">
                  <c:v>Ano 1:  2027</c:v>
                </c:pt>
                <c:pt idx="3">
                  <c:v>Ano 2:  2028</c:v>
                </c:pt>
                <c:pt idx="4">
                  <c:v>Ano 3:  2029</c:v>
                </c:pt>
                <c:pt idx="5">
                  <c:v>Ano 4:  2030</c:v>
                </c:pt>
              </c:strCache>
            </c:strRef>
          </c:cat>
          <c:val>
            <c:numRef>
              <c:f>'Dados Evaluação'!$D$55:$D$60</c:f>
              <c:numCache>
                <c:formatCode>#,##0</c:formatCode>
                <c:ptCount val="6"/>
                <c:pt idx="0">
                  <c:v>0</c:v>
                </c:pt>
                <c:pt idx="1">
                  <c:v>-10109.874545454546</c:v>
                </c:pt>
                <c:pt idx="2">
                  <c:v>-7882.6148181818189</c:v>
                </c:pt>
                <c:pt idx="3">
                  <c:v>-7921.6485315000009</c:v>
                </c:pt>
                <c:pt idx="4">
                  <c:v>-7915.4769656186982</c:v>
                </c:pt>
                <c:pt idx="5">
                  <c:v>-7888.6903296170467</c:v>
                </c:pt>
              </c:numCache>
            </c:numRef>
          </c:val>
          <c:smooth val="0"/>
          <c:extLst>
            <c:ext xmlns:c16="http://schemas.microsoft.com/office/drawing/2014/chart" uri="{C3380CC4-5D6E-409C-BE32-E72D297353CC}">
              <c16:uniqueId val="{00000002-C879-4575-8523-3FC1A68E8B46}"/>
            </c:ext>
          </c:extLst>
        </c:ser>
        <c:ser>
          <c:idx val="4"/>
          <c:order val="3"/>
          <c:tx>
            <c:strRef>
              <c:f>'Dados Evaluação'!$E$54</c:f>
              <c:strCache>
                <c:ptCount val="1"/>
                <c:pt idx="0">
                  <c:v>Cash-Flow</c:v>
                </c:pt>
              </c:strCache>
            </c:strRef>
          </c:tx>
          <c:spPr>
            <a:ln w="38100">
              <a:prstDash val="sysDash"/>
            </a:ln>
          </c:spPr>
          <c:marker>
            <c:spPr>
              <a:ln w="38100">
                <a:prstDash val="sysDash"/>
              </a:ln>
            </c:spPr>
          </c:marker>
          <c:cat>
            <c:strRef>
              <c:f>'Dados Evaluação'!$A$55:$A$60</c:f>
              <c:strCache>
                <c:ptCount val="6"/>
                <c:pt idx="0">
                  <c:v>Inicial</c:v>
                </c:pt>
                <c:pt idx="1">
                  <c:v>Ano 0:  2026</c:v>
                </c:pt>
                <c:pt idx="2">
                  <c:v>Ano 1:  2027</c:v>
                </c:pt>
                <c:pt idx="3">
                  <c:v>Ano 2:  2028</c:v>
                </c:pt>
                <c:pt idx="4">
                  <c:v>Ano 3:  2029</c:v>
                </c:pt>
                <c:pt idx="5">
                  <c:v>Ano 4:  2030</c:v>
                </c:pt>
              </c:strCache>
            </c:strRef>
          </c:cat>
          <c:val>
            <c:numRef>
              <c:f>'Dados Evaluação'!$E$55:$E$60</c:f>
              <c:numCache>
                <c:formatCode>#,##0</c:formatCode>
                <c:ptCount val="6"/>
                <c:pt idx="0">
                  <c:v>0</c:v>
                </c:pt>
                <c:pt idx="1">
                  <c:v>-9490.7601818181847</c:v>
                </c:pt>
                <c:pt idx="2">
                  <c:v>-7837.8536618181815</c:v>
                </c:pt>
                <c:pt idx="3">
                  <c:v>-7878.3454437000055</c:v>
                </c:pt>
                <c:pt idx="4">
                  <c:v>-7868.3598144620919</c:v>
                </c:pt>
                <c:pt idx="5">
                  <c:v>-7838.0998829735036</c:v>
                </c:pt>
              </c:numCache>
            </c:numRef>
          </c:val>
          <c:smooth val="0"/>
          <c:extLst>
            <c:ext xmlns:c16="http://schemas.microsoft.com/office/drawing/2014/chart" uri="{C3380CC4-5D6E-409C-BE32-E72D297353CC}">
              <c16:uniqueId val="{00000003-C879-4575-8523-3FC1A68E8B46}"/>
            </c:ext>
          </c:extLst>
        </c:ser>
        <c:ser>
          <c:idx val="5"/>
          <c:order val="4"/>
          <c:tx>
            <c:strRef>
              <c:f>'Dados Evaluação'!$F$54</c:f>
              <c:strCache>
                <c:ptCount val="1"/>
                <c:pt idx="0">
                  <c:v>Recursos Próprios</c:v>
                </c:pt>
              </c:strCache>
            </c:strRef>
          </c:tx>
          <c:cat>
            <c:strRef>
              <c:f>'Dados Evaluação'!$A$55:$A$60</c:f>
              <c:strCache>
                <c:ptCount val="6"/>
                <c:pt idx="0">
                  <c:v>Inicial</c:v>
                </c:pt>
                <c:pt idx="1">
                  <c:v>Ano 0:  2026</c:v>
                </c:pt>
                <c:pt idx="2">
                  <c:v>Ano 1:  2027</c:v>
                </c:pt>
                <c:pt idx="3">
                  <c:v>Ano 2:  2028</c:v>
                </c:pt>
                <c:pt idx="4">
                  <c:v>Ano 3:  2029</c:v>
                </c:pt>
                <c:pt idx="5">
                  <c:v>Ano 4:  2030</c:v>
                </c:pt>
              </c:strCache>
            </c:strRef>
          </c:cat>
          <c:val>
            <c:numRef>
              <c:f>'Dados Evaluação'!$F$55:$F$60</c:f>
              <c:numCache>
                <c:formatCode>#,##0</c:formatCode>
                <c:ptCount val="6"/>
                <c:pt idx="0">
                  <c:v>2335</c:v>
                </c:pt>
                <c:pt idx="1">
                  <c:v>-7774.874545454546</c:v>
                </c:pt>
                <c:pt idx="2">
                  <c:v>-15657.489363636365</c:v>
                </c:pt>
                <c:pt idx="3">
                  <c:v>-23579.137895136366</c:v>
                </c:pt>
                <c:pt idx="4">
                  <c:v>-31494.614860755064</c:v>
                </c:pt>
                <c:pt idx="5">
                  <c:v>-39383.305190372113</c:v>
                </c:pt>
              </c:numCache>
            </c:numRef>
          </c:val>
          <c:smooth val="0"/>
          <c:extLst>
            <c:ext xmlns:c16="http://schemas.microsoft.com/office/drawing/2014/chart" uri="{C3380CC4-5D6E-409C-BE32-E72D297353CC}">
              <c16:uniqueId val="{00000004-C879-4575-8523-3FC1A68E8B46}"/>
            </c:ext>
          </c:extLst>
        </c:ser>
        <c:dLbls>
          <c:showLegendKey val="0"/>
          <c:showVal val="0"/>
          <c:showCatName val="0"/>
          <c:showSerName val="0"/>
          <c:showPercent val="0"/>
          <c:showBubbleSize val="0"/>
        </c:dLbls>
        <c:marker val="1"/>
        <c:smooth val="0"/>
        <c:axId val="598848832"/>
        <c:axId val="598849224"/>
      </c:lineChart>
      <c:catAx>
        <c:axId val="598848832"/>
        <c:scaling>
          <c:orientation val="minMax"/>
        </c:scaling>
        <c:delete val="0"/>
        <c:axPos val="b"/>
        <c:numFmt formatCode="General" sourceLinked="1"/>
        <c:majorTickMark val="none"/>
        <c:minorTickMark val="none"/>
        <c:tickLblPos val="nextTo"/>
        <c:spPr>
          <a:solidFill>
            <a:schemeClr val="bg1">
              <a:lumMod val="95000"/>
            </a:schemeClr>
          </a:solidFill>
        </c:spPr>
        <c:txPr>
          <a:bodyPr rot="0" vert="horz"/>
          <a:lstStyle/>
          <a:p>
            <a:pPr>
              <a:defRPr sz="900" b="1" i="0" u="none" strike="noStrike" baseline="0">
                <a:solidFill>
                  <a:srgbClr val="000000"/>
                </a:solidFill>
                <a:latin typeface="Calibri"/>
                <a:ea typeface="Calibri"/>
                <a:cs typeface="Calibri"/>
              </a:defRPr>
            </a:pPr>
            <a:endParaRPr lang="es-ES"/>
          </a:p>
        </c:txPr>
        <c:crossAx val="598849224"/>
        <c:crosses val="autoZero"/>
        <c:auto val="1"/>
        <c:lblAlgn val="ctr"/>
        <c:lblOffset val="100"/>
        <c:noMultiLvlLbl val="0"/>
      </c:catAx>
      <c:valAx>
        <c:axId val="598849224"/>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es-ES"/>
                  <a:t>euros</a:t>
                </a:r>
              </a:p>
            </c:rich>
          </c:tx>
          <c:layout>
            <c:manualLayout>
              <c:xMode val="edge"/>
              <c:yMode val="edge"/>
              <c:x val="7.148808930529253E-3"/>
              <c:y val="0.40023420149404404"/>
            </c:manualLayout>
          </c:layout>
          <c:overlay val="0"/>
        </c:title>
        <c:numFmt formatCode="#,##0" sourceLinked="0"/>
        <c:majorTickMark val="none"/>
        <c:minorTickMark val="none"/>
        <c:tickLblPos val="nextTo"/>
        <c:spPr>
          <a:solidFill>
            <a:schemeClr val="bg1">
              <a:lumMod val="95000"/>
            </a:schemeClr>
          </a:solidFill>
        </c:spPr>
        <c:txPr>
          <a:bodyPr rot="0" vert="horz"/>
          <a:lstStyle/>
          <a:p>
            <a:pPr>
              <a:defRPr sz="1000" b="1" i="0" u="none" strike="noStrike" baseline="0">
                <a:solidFill>
                  <a:srgbClr val="000000"/>
                </a:solidFill>
                <a:latin typeface="Calibri"/>
                <a:ea typeface="Calibri"/>
                <a:cs typeface="Calibri"/>
              </a:defRPr>
            </a:pPr>
            <a:endParaRPr lang="es-ES"/>
          </a:p>
        </c:txPr>
        <c:crossAx val="598848832"/>
        <c:crosses val="autoZero"/>
        <c:crossBetween val="between"/>
      </c:valAx>
      <c:spPr>
        <a:solidFill>
          <a:schemeClr val="bg1"/>
        </a:solidFill>
        <a:ln w="38100">
          <a:noFill/>
        </a:ln>
      </c:spPr>
    </c:plotArea>
    <c:legend>
      <c:legendPos val="r"/>
      <c:overlay val="0"/>
      <c:txPr>
        <a:bodyPr/>
        <a:lstStyle/>
        <a:p>
          <a:pPr>
            <a:defRPr sz="550" b="1" i="0" u="none" strike="noStrike" baseline="0">
              <a:solidFill>
                <a:srgbClr val="000000"/>
              </a:solidFill>
              <a:latin typeface="Calibri"/>
              <a:ea typeface="Calibri"/>
              <a:cs typeface="Calibri"/>
            </a:defRPr>
          </a:pPr>
          <a:endParaRPr lang="es-ES"/>
        </a:p>
      </c:txPr>
    </c:legend>
    <c:plotVisOnly val="1"/>
    <c:dispBlanksAs val="gap"/>
    <c:showDLblsOverMax val="0"/>
  </c:chart>
  <c:spPr>
    <a:solidFill>
      <a:schemeClr val="accent3">
        <a:lumMod val="20000"/>
        <a:lumOff val="80000"/>
      </a:schemeClr>
    </a:solidFill>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304800</xdr:colOff>
      <xdr:row>1</xdr:row>
      <xdr:rowOff>0</xdr:rowOff>
    </xdr:from>
    <xdr:to>
      <xdr:col>9</xdr:col>
      <xdr:colOff>695325</xdr:colOff>
      <xdr:row>53</xdr:row>
      <xdr:rowOff>47625</xdr:rowOff>
    </xdr:to>
    <xdr:sp macro="" textlink="">
      <xdr:nvSpPr>
        <xdr:cNvPr id="51202" name="Text Box 2">
          <a:extLst>
            <a:ext uri="{FF2B5EF4-FFF2-40B4-BE49-F238E27FC236}">
              <a16:creationId xmlns:a16="http://schemas.microsoft.com/office/drawing/2014/main" id="{D1F83440-0EF7-4D80-8914-760FF6ECB347}"/>
            </a:ext>
          </a:extLst>
        </xdr:cNvPr>
        <xdr:cNvSpPr txBox="1">
          <a:spLocks noChangeArrowheads="1"/>
        </xdr:cNvSpPr>
      </xdr:nvSpPr>
      <xdr:spPr bwMode="auto">
        <a:xfrm>
          <a:off x="304800" y="200025"/>
          <a:ext cx="7934325" cy="10448925"/>
        </a:xfrm>
        <a:prstGeom prst="rect">
          <a:avLst/>
        </a:prstGeom>
        <a:solidFill>
          <a:srgbClr val="FFFFFF"/>
        </a:solidFill>
        <a:ln w="9525">
          <a:solidFill>
            <a:srgbClr val="000000"/>
          </a:solidFill>
          <a:miter lim="800000"/>
          <a:headEnd/>
          <a:tailEnd/>
        </a:ln>
      </xdr:spPr>
      <xdr:txBody>
        <a:bodyPr vertOverflow="clip" wrap="square" lIns="540000" tIns="180000" rIns="360000" bIns="180000" anchor="t" upright="1"/>
        <a:lstStyle/>
        <a:p>
          <a:pPr algn="l" rtl="0">
            <a:defRPr sz="1000"/>
          </a:pPr>
          <a:r>
            <a:rPr lang="es-ES" sz="1600" b="1" i="0" u="none" strike="noStrike" baseline="0">
              <a:solidFill>
                <a:srgbClr val="000000"/>
              </a:solidFill>
              <a:latin typeface="Tahoma"/>
              <a:cs typeface="Tahoma"/>
            </a:rPr>
            <a:t>CONDIÇÕES DE USO</a:t>
          </a: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O objetivo deste modelo em folha de cálculo é ajudar á evaluação da viabilidade de projetos de empresas no âmbito dos programas de formação que ministra este autor.</a:t>
          </a:r>
        </a:p>
        <a:p>
          <a:pPr algn="l" rtl="0">
            <a:defRPr sz="1000"/>
          </a:pPr>
          <a:endParaRPr lang="es-ES" sz="1200" b="0" i="0" u="none" strike="noStrike" baseline="0">
            <a:solidFill>
              <a:srgbClr val="000000"/>
            </a:solidFill>
            <a:latin typeface="Tahoma"/>
            <a:cs typeface="Tahoma"/>
          </a:endParaRPr>
        </a:p>
        <a:p>
          <a:pPr algn="l" rtl="0">
            <a:defRPr sz="1000"/>
          </a:pPr>
          <a:r>
            <a:rPr lang="es-ES" sz="1200" b="0" i="0" u="none" strike="noStrike" baseline="0">
              <a:solidFill>
                <a:srgbClr val="000000"/>
              </a:solidFill>
              <a:latin typeface="Tahoma"/>
              <a:cs typeface="Tahoma"/>
            </a:rPr>
            <a:t>             Todo o desenvolvimento do modelo foi feito na folha de cálculo Microsoft Excel que é um produto registado a Microsoft e por isso é necessário para poder usá-lo ter este programa nas condições em que é subministrado pela Microsoft.</a:t>
          </a:r>
        </a:p>
        <a:p>
          <a:pPr algn="l" rtl="0">
            <a:defRPr sz="1000"/>
          </a:pPr>
          <a:r>
            <a:rPr lang="es-ES" sz="1200" b="0" i="0" u="none" strike="noStrike" baseline="0">
              <a:solidFill>
                <a:srgbClr val="000000"/>
              </a:solidFill>
              <a:latin typeface="Tahoma"/>
              <a:cs typeface="Tahoma"/>
            </a:rPr>
            <a:t>            Não obstante também se experimentou o funcionamento com outros programas como por exemplo OpenOffice, onde a excetuando algum problemas de coerências de formato funciona corretamente.</a:t>
          </a:r>
        </a:p>
        <a:p>
          <a:pPr algn="l" rtl="0">
            <a:defRPr sz="1000"/>
          </a:pPr>
          <a:endParaRPr lang="es-ES" sz="1200" b="0" i="0" u="none" strike="noStrike" baseline="0">
            <a:solidFill>
              <a:srgbClr val="000000"/>
            </a:solidFill>
            <a:latin typeface="Tahoma"/>
            <a:cs typeface="Tahoma"/>
          </a:endParaRPr>
        </a:p>
        <a:p>
          <a:r>
            <a:rPr lang="pt-PT" sz="1200">
              <a:effectLst/>
              <a:latin typeface="Tahoma" panose="020B0604030504040204" pitchFamily="34" charset="0"/>
              <a:ea typeface="Tahoma" panose="020B0604030504040204" pitchFamily="34" charset="0"/>
              <a:cs typeface="Tahoma" panose="020B0604030504040204" pitchFamily="34" charset="0"/>
            </a:rPr>
            <a:t>            O desenvolvimento do modelo foi feito por Miguel Martínez Prieto, professor da </a:t>
          </a:r>
          <a:r>
            <a:rPr lang="pt-PT" sz="1200" i="1">
              <a:effectLst/>
              <a:latin typeface="Tahoma" panose="020B0604030504040204" pitchFamily="34" charset="0"/>
              <a:ea typeface="Tahoma" panose="020B0604030504040204" pitchFamily="34" charset="0"/>
              <a:cs typeface="Tahoma" panose="020B0604030504040204" pitchFamily="34" charset="0"/>
            </a:rPr>
            <a:t>Escuela de Organización Industrial EOI</a:t>
          </a:r>
          <a:r>
            <a:rPr lang="pt-PT" sz="1200">
              <a:effectLst/>
              <a:latin typeface="Tahoma" panose="020B0604030504040204" pitchFamily="34" charset="0"/>
              <a:ea typeface="Tahoma" panose="020B0604030504040204" pitchFamily="34" charset="0"/>
              <a:cs typeface="Tahoma" panose="020B0604030504040204" pitchFamily="34" charset="0"/>
            </a:rPr>
            <a:t>, e por tanto é o autor e proprietário intelectual do modelo nos termos previstos na Lei de Propriedade Intelectual espanhola ou a lei </a:t>
          </a:r>
          <a:r>
            <a:rPr lang="pt-PT" sz="1200" baseline="0">
              <a:effectLst/>
              <a:latin typeface="Tahoma" panose="020B0604030504040204" pitchFamily="34" charset="0"/>
              <a:ea typeface="Tahoma" panose="020B0604030504040204" pitchFamily="34" charset="0"/>
              <a:cs typeface="Tahoma" panose="020B0604030504040204" pitchFamily="34" charset="0"/>
            </a:rPr>
            <a:t>correspondente do país onde for </a:t>
          </a:r>
          <a:r>
            <a:rPr lang="pt-PT" sz="1200">
              <a:effectLst/>
              <a:latin typeface="Tahoma" panose="020B0604030504040204" pitchFamily="34" charset="0"/>
              <a:ea typeface="Tahoma" panose="020B0604030504040204" pitchFamily="34" charset="0"/>
              <a:cs typeface="Tahoma" panose="020B0604030504040204" pitchFamily="34" charset="0"/>
            </a:rPr>
            <a:t>. Não concorrem as condições previstas nos artigos 51 e 97.4 da Lei espanhola dita neste caso e portanto a propriedade é exclusiva do autor.</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O modelo é de uso gratuito nas condições descritas e só e exclusivamente nelas.</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O modelo é fornecido “tal qual está” aos alunos dos diferentes programas e aulas de forma individual e pessoal com o propósito de ser usado na avaliação dos seus respetivos projetos de empresa, porém não é possível assumirmos a responsabilidade do uso ou mau uso que os possíveis usuários possam fazer do modelo ou dos resultados dele obtidos posto que não tem nenhuma classe de proteção, senha, etc. Portanto o uso do modelo é feito em qualquer caso sob a exclusiva responsabilidade do utente. O autor não pode garantir a fiabilidade do modelo nem o serviço de suporte ou de atualização aos utentes.</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Não está autorizada em caso nenhum a publicação, reprodução ou a utilização sem a expressa autorização do autor. É expressamente desautorizado o uso profissional ou remunerado em qualquer âmbito docente salvo autorização expressa e escrita do autor. </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O autor do modelo autoriza o seu uso aos alunos dos programas em que dá aulas ou outros programas com as seguintes condições:</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1. O autor não assume qualquer</a:t>
          </a:r>
          <a:r>
            <a:rPr lang="pt-PT" sz="1200" baseline="0">
              <a:effectLst/>
              <a:latin typeface="Tahoma" panose="020B0604030504040204" pitchFamily="34" charset="0"/>
              <a:ea typeface="Tahoma" panose="020B0604030504040204" pitchFamily="34" charset="0"/>
              <a:cs typeface="Tahoma" panose="020B0604030504040204" pitchFamily="34" charset="0"/>
            </a:rPr>
            <a:t> </a:t>
          </a:r>
          <a:r>
            <a:rPr lang="pt-PT" sz="1200">
              <a:effectLst/>
              <a:latin typeface="Tahoma" panose="020B0604030504040204" pitchFamily="34" charset="0"/>
              <a:ea typeface="Tahoma" panose="020B0604030504040204" pitchFamily="34" charset="0"/>
              <a:cs typeface="Tahoma" panose="020B0604030504040204" pitchFamily="34" charset="0"/>
            </a:rPr>
            <a:t>responsabilidade do uso indevido dos produtos registados de terceiros, em particular do programa Microsoft Excel em qualquer das versões, que é uma marca registada da Microsoft.</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es-ES" sz="1200">
              <a:effectLst/>
              <a:latin typeface="Tahoma" panose="020B0604030504040204" pitchFamily="34" charset="0"/>
              <a:ea typeface="Tahoma" panose="020B0604030504040204" pitchFamily="34" charset="0"/>
              <a:cs typeface="Tahoma" panose="020B0604030504040204" pitchFamily="34" charset="0"/>
            </a:rPr>
            <a:t>                      </a:t>
          </a:r>
          <a:r>
            <a:rPr lang="pt-PT" sz="1200">
              <a:effectLst/>
              <a:latin typeface="Tahoma" panose="020B0604030504040204" pitchFamily="34" charset="0"/>
              <a:ea typeface="Tahoma" panose="020B0604030504040204" pitchFamily="34" charset="0"/>
              <a:cs typeface="Tahoma" panose="020B0604030504040204" pitchFamily="34" charset="0"/>
            </a:rPr>
            <a:t>2.- O autor autoriza o uso do modelo unicamente para uso pessoal dos alunos dos programas para avaliação dos seus projetos de empresa presentes ou futuros, mas NÃO a utilização profissional ou remunerada para avaliar a viabilidade doutros projetos e em qualquer caso é desautorizado especificamente o uso do modelo mediante contraprestação económica direta ou indireta salvo única e exclusivamente se contar com a autorização expressa e por escrito do autor, especialmente nos âmbitos profissionais docentes.</a:t>
          </a:r>
        </a:p>
        <a:p>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es-ES" sz="1200">
              <a:effectLst/>
              <a:latin typeface="Tahoma" panose="020B0604030504040204" pitchFamily="34" charset="0"/>
              <a:ea typeface="Tahoma" panose="020B0604030504040204" pitchFamily="34" charset="0"/>
              <a:cs typeface="Tahoma" panose="020B0604030504040204" pitchFamily="34" charset="0"/>
            </a:rPr>
            <a:t>                       </a:t>
          </a:r>
          <a:r>
            <a:rPr lang="pt-PT" sz="1200">
              <a:effectLst/>
              <a:latin typeface="Tahoma" panose="020B0604030504040204" pitchFamily="34" charset="0"/>
              <a:ea typeface="Tahoma" panose="020B0604030504040204" pitchFamily="34" charset="0"/>
              <a:cs typeface="Tahoma" panose="020B0604030504040204" pitchFamily="34" charset="0"/>
            </a:rPr>
            <a:t>3.- Os utentes do modelo obrigam-se com o uso a assumir completamente a responsabilidade do uso indevido, mesmo</a:t>
          </a:r>
          <a:r>
            <a:rPr lang="pt-PT" sz="1200" baseline="0">
              <a:effectLst/>
              <a:latin typeface="Tahoma" panose="020B0604030504040204" pitchFamily="34" charset="0"/>
              <a:ea typeface="Tahoma" panose="020B0604030504040204" pitchFamily="34" charset="0"/>
              <a:cs typeface="Tahoma" panose="020B0604030504040204" pitchFamily="34" charset="0"/>
            </a:rPr>
            <a:t> que</a:t>
          </a:r>
          <a:r>
            <a:rPr lang="pt-PT" sz="1200">
              <a:effectLst/>
              <a:latin typeface="Tahoma" panose="020B0604030504040204" pitchFamily="34" charset="0"/>
              <a:ea typeface="Tahoma" panose="020B0604030504040204" pitchFamily="34" charset="0"/>
              <a:cs typeface="Tahoma" panose="020B0604030504040204" pitchFamily="34" charset="0"/>
            </a:rPr>
            <a:t> a não modificar os rasgos distintivos do modelo e especificamente a manter as referências pessoais do autor, do programa de formação concreito onde lhes foi subministrado ou da instituição que o patrocinara. Os utentes obrigam-se além disso a citar ao autor do modelo, bem como a respeitar e fazer respeitar estas condições de uso.</a:t>
          </a:r>
          <a:endParaRPr lang="es-ES" sz="12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314325</xdr:colOff>
      <xdr:row>54</xdr:row>
      <xdr:rowOff>0</xdr:rowOff>
    </xdr:from>
    <xdr:to>
      <xdr:col>9</xdr:col>
      <xdr:colOff>695325</xdr:colOff>
      <xdr:row>65</xdr:row>
      <xdr:rowOff>76200</xdr:rowOff>
    </xdr:to>
    <xdr:sp macro="" textlink="">
      <xdr:nvSpPr>
        <xdr:cNvPr id="51203" name="Text Box 3">
          <a:extLst>
            <a:ext uri="{FF2B5EF4-FFF2-40B4-BE49-F238E27FC236}">
              <a16:creationId xmlns:a16="http://schemas.microsoft.com/office/drawing/2014/main" id="{8A0CD21D-1732-4A74-8EF0-638B6FB1B3D9}"/>
            </a:ext>
          </a:extLst>
        </xdr:cNvPr>
        <xdr:cNvSpPr txBox="1">
          <a:spLocks noChangeArrowheads="1"/>
        </xdr:cNvSpPr>
      </xdr:nvSpPr>
      <xdr:spPr bwMode="auto">
        <a:xfrm>
          <a:off x="314325" y="10801350"/>
          <a:ext cx="7924800" cy="2276475"/>
        </a:xfrm>
        <a:prstGeom prst="rect">
          <a:avLst/>
        </a:prstGeom>
        <a:solidFill>
          <a:srgbClr val="FFFFFF"/>
        </a:solidFill>
        <a:ln w="9525">
          <a:solidFill>
            <a:srgbClr val="000000"/>
          </a:solidFill>
          <a:miter lim="800000"/>
          <a:headEnd/>
          <a:tailEnd/>
        </a:ln>
      </xdr:spPr>
      <xdr:txBody>
        <a:bodyPr vertOverflow="clip" wrap="square" lIns="540000" tIns="180000" rIns="360000" bIns="180000" anchor="t" upright="1"/>
        <a:lstStyle/>
        <a:p>
          <a:r>
            <a:rPr lang="es-ES" sz="1600" b="1">
              <a:effectLst/>
              <a:latin typeface="Tahoma" panose="020B0604030504040204" pitchFamily="34" charset="0"/>
              <a:ea typeface="Tahoma" panose="020B0604030504040204" pitchFamily="34" charset="0"/>
              <a:cs typeface="Tahoma" panose="020B0604030504040204" pitchFamily="34" charset="0"/>
            </a:rPr>
            <a:t>AGRADECIMENTOS</a:t>
          </a:r>
          <a:endParaRPr lang="es-ES" sz="1100">
            <a:effectLst/>
            <a:latin typeface="Tahoma" panose="020B0604030504040204" pitchFamily="34" charset="0"/>
            <a:ea typeface="Tahoma" panose="020B0604030504040204" pitchFamily="34" charset="0"/>
            <a:cs typeface="Tahoma" panose="020B0604030504040204" pitchFamily="34" charset="0"/>
          </a:endParaRPr>
        </a:p>
        <a:p>
          <a:endParaRPr lang="pt-PT"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Este modelo de Plano Económico Financeiro previsional só foi possível pela paciente colaboração e conselho de muitos colegas, alunos e amigos que com os seus comentários, paciência, opiniões e confiança me têm acompanhado no desenvolvimento desta ferramenta.</a:t>
          </a:r>
          <a:endParaRPr lang="es-ES" sz="1200">
            <a:effectLst/>
            <a:latin typeface="Tahoma" panose="020B0604030504040204" pitchFamily="34" charset="0"/>
            <a:ea typeface="Tahoma" panose="020B0604030504040204" pitchFamily="34" charset="0"/>
            <a:cs typeface="Tahoma" panose="020B0604030504040204" pitchFamily="34" charset="0"/>
          </a:endParaRPr>
        </a:p>
        <a:p>
          <a:r>
            <a:rPr lang="pt-PT" sz="1200">
              <a:effectLst/>
              <a:latin typeface="Tahoma" panose="020B0604030504040204" pitchFamily="34" charset="0"/>
              <a:ea typeface="Tahoma" panose="020B0604030504040204" pitchFamily="34" charset="0"/>
              <a:cs typeface="Tahoma" panose="020B0604030504040204" pitchFamily="34" charset="0"/>
            </a:rPr>
            <a:t>            Seria impossível nomeá-los todos, mas quero expressar pelo menos a minha especial gratidão a Santiago Santos, Andrés de Miguel e Alejandro Estévez. Colegas, companheiros e amigos pela sua paciência e apoio. </a:t>
          </a:r>
          <a:endParaRPr lang="es-ES" sz="1200">
            <a:effectLst/>
            <a:latin typeface="Tahoma" panose="020B0604030504040204" pitchFamily="34" charset="0"/>
            <a:ea typeface="Tahoma" panose="020B0604030504040204" pitchFamily="34" charset="0"/>
            <a:cs typeface="Tahoma" panose="020B0604030504040204" pitchFamily="34" charset="0"/>
          </a:endParaRPr>
        </a:p>
        <a:p>
          <a:pPr algn="l" rtl="0">
            <a:defRPr sz="1000"/>
          </a:pPr>
          <a:endParaRPr lang="es-ES" sz="14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10</xdr:col>
      <xdr:colOff>114300</xdr:colOff>
      <xdr:row>0</xdr:row>
      <xdr:rowOff>161924</xdr:rowOff>
    </xdr:from>
    <xdr:to>
      <xdr:col>13</xdr:col>
      <xdr:colOff>38100</xdr:colOff>
      <xdr:row>8</xdr:row>
      <xdr:rowOff>88900</xdr:rowOff>
    </xdr:to>
    <xdr:sp macro="" textlink="">
      <xdr:nvSpPr>
        <xdr:cNvPr id="51204" name="Text Box 4">
          <a:extLst>
            <a:ext uri="{FF2B5EF4-FFF2-40B4-BE49-F238E27FC236}">
              <a16:creationId xmlns:a16="http://schemas.microsoft.com/office/drawing/2014/main" id="{1AEF64D4-E543-4515-90D5-9C36B73DD5B7}"/>
            </a:ext>
          </a:extLst>
        </xdr:cNvPr>
        <xdr:cNvSpPr txBox="1">
          <a:spLocks noChangeArrowheads="1"/>
        </xdr:cNvSpPr>
      </xdr:nvSpPr>
      <xdr:spPr bwMode="auto">
        <a:xfrm>
          <a:off x="8496300" y="161924"/>
          <a:ext cx="2438400" cy="1552576"/>
        </a:xfrm>
        <a:prstGeom prst="rect">
          <a:avLst/>
        </a:prstGeom>
        <a:solidFill>
          <a:srgbClr val="FFFFFF"/>
        </a:solidFill>
        <a:ln w="9525">
          <a:solidFill>
            <a:srgbClr val="000000"/>
          </a:solidFill>
          <a:miter lim="800000"/>
          <a:headEnd/>
          <a:tailEnd/>
        </a:ln>
      </xdr:spPr>
      <xdr:txBody>
        <a:bodyPr vertOverflow="clip" wrap="square" lIns="360000" tIns="180000" rIns="180000" bIns="180000" anchor="t" upright="1"/>
        <a:lstStyle/>
        <a:p>
          <a:pPr algn="l" rtl="0">
            <a:defRPr sz="1000"/>
          </a:pPr>
          <a:r>
            <a:rPr lang="es-ES" sz="1600" b="1" i="0" u="none" strike="noStrike" baseline="0">
              <a:solidFill>
                <a:srgbClr val="000000"/>
              </a:solidFill>
              <a:latin typeface="Tahoma"/>
              <a:cs typeface="Tahoma"/>
            </a:rPr>
            <a:t>Dados de contato:</a:t>
          </a: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defRPr sz="1000"/>
          </a:pPr>
          <a:r>
            <a:rPr lang="es-ES" sz="1400" b="0" i="0" u="none" strike="noStrike" baseline="0">
              <a:solidFill>
                <a:srgbClr val="000000"/>
              </a:solidFill>
              <a:latin typeface="Tahoma"/>
              <a:cs typeface="Tahoma"/>
            </a:rPr>
            <a:t>Miguel Martínez Prieto</a:t>
          </a:r>
        </a:p>
        <a:p>
          <a:pPr algn="l" rtl="0">
            <a:defRPr sz="1000"/>
          </a:pPr>
          <a:endParaRPr lang="es-ES" sz="1400" b="0" i="0" u="none" strike="noStrike" baseline="0">
            <a:solidFill>
              <a:srgbClr val="000000"/>
            </a:solidFill>
            <a:latin typeface="Tahoma"/>
            <a:cs typeface="Tahoma"/>
          </a:endParaRPr>
        </a:p>
        <a:p>
          <a:pPr algn="l" rtl="0">
            <a:defRPr sz="1000"/>
          </a:pPr>
          <a:r>
            <a:rPr lang="es-ES" sz="1400" b="0" i="0" u="none" strike="noStrike" baseline="0">
              <a:solidFill>
                <a:srgbClr val="000000"/>
              </a:solidFill>
              <a:latin typeface="Tahoma"/>
              <a:cs typeface="Tahoma"/>
            </a:rPr>
            <a:t>www.azague.com</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28575</xdr:colOff>
      <xdr:row>36</xdr:row>
      <xdr:rowOff>9525</xdr:rowOff>
    </xdr:from>
    <xdr:to>
      <xdr:col>6</xdr:col>
      <xdr:colOff>876300</xdr:colOff>
      <xdr:row>57</xdr:row>
      <xdr:rowOff>66675</xdr:rowOff>
    </xdr:to>
    <xdr:graphicFrame macro="">
      <xdr:nvGraphicFramePr>
        <xdr:cNvPr id="8471688" name="Chart 2">
          <a:extLst>
            <a:ext uri="{FF2B5EF4-FFF2-40B4-BE49-F238E27FC236}">
              <a16:creationId xmlns:a16="http://schemas.microsoft.com/office/drawing/2014/main" id="{C5EB61D9-8C5E-4AE1-BD6C-FCB3F4A9E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51</xdr:row>
      <xdr:rowOff>142875</xdr:rowOff>
    </xdr:from>
    <xdr:to>
      <xdr:col>6</xdr:col>
      <xdr:colOff>19050</xdr:colOff>
      <xdr:row>68</xdr:row>
      <xdr:rowOff>28575</xdr:rowOff>
    </xdr:to>
    <xdr:graphicFrame macro="">
      <xdr:nvGraphicFramePr>
        <xdr:cNvPr id="69121" name="5 Gráfico">
          <a:extLst>
            <a:ext uri="{FF2B5EF4-FFF2-40B4-BE49-F238E27FC236}">
              <a16:creationId xmlns:a16="http://schemas.microsoft.com/office/drawing/2014/main" id="{5BB13FDA-9F6A-4395-8373-ED76D809F1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43</xdr:row>
      <xdr:rowOff>28575</xdr:rowOff>
    </xdr:from>
    <xdr:to>
      <xdr:col>13</xdr:col>
      <xdr:colOff>533400</xdr:colOff>
      <xdr:row>63</xdr:row>
      <xdr:rowOff>76200</xdr:rowOff>
    </xdr:to>
    <xdr:graphicFrame macro="">
      <xdr:nvGraphicFramePr>
        <xdr:cNvPr id="6930734" name="Chart 6">
          <a:extLst>
            <a:ext uri="{FF2B5EF4-FFF2-40B4-BE49-F238E27FC236}">
              <a16:creationId xmlns:a16="http://schemas.microsoft.com/office/drawing/2014/main" id="{AC22EADA-FFF0-4A5E-B9CD-1EAA4FE5D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43</xdr:row>
      <xdr:rowOff>28575</xdr:rowOff>
    </xdr:from>
    <xdr:to>
      <xdr:col>13</xdr:col>
      <xdr:colOff>533400</xdr:colOff>
      <xdr:row>63</xdr:row>
      <xdr:rowOff>76200</xdr:rowOff>
    </xdr:to>
    <xdr:graphicFrame macro="">
      <xdr:nvGraphicFramePr>
        <xdr:cNvPr id="8151210" name="Chart 1">
          <a:extLst>
            <a:ext uri="{FF2B5EF4-FFF2-40B4-BE49-F238E27FC236}">
              <a16:creationId xmlns:a16="http://schemas.microsoft.com/office/drawing/2014/main" id="{82432E7B-DC46-46A1-9BB2-B69281933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8735851" name="Chart 1">
          <a:extLst>
            <a:ext uri="{FF2B5EF4-FFF2-40B4-BE49-F238E27FC236}">
              <a16:creationId xmlns:a16="http://schemas.microsoft.com/office/drawing/2014/main" id="{EBE719B8-860A-4B37-A008-811A0BD83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8885339" name="Chart 1">
          <a:extLst>
            <a:ext uri="{FF2B5EF4-FFF2-40B4-BE49-F238E27FC236}">
              <a16:creationId xmlns:a16="http://schemas.microsoft.com/office/drawing/2014/main" id="{A73673A7-6FBE-4FAF-A0E3-EFE7143EB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8887387" name="Chart 1">
          <a:extLst>
            <a:ext uri="{FF2B5EF4-FFF2-40B4-BE49-F238E27FC236}">
              <a16:creationId xmlns:a16="http://schemas.microsoft.com/office/drawing/2014/main" id="{E70818B2-7A95-4FA8-A885-5485F0551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61</xdr:row>
      <xdr:rowOff>76200</xdr:rowOff>
    </xdr:from>
    <xdr:to>
      <xdr:col>9</xdr:col>
      <xdr:colOff>638175</xdr:colOff>
      <xdr:row>87</xdr:row>
      <xdr:rowOff>219075</xdr:rowOff>
    </xdr:to>
    <xdr:graphicFrame macro="">
      <xdr:nvGraphicFramePr>
        <xdr:cNvPr id="8710254" name="Chart 1">
          <a:extLst>
            <a:ext uri="{FF2B5EF4-FFF2-40B4-BE49-F238E27FC236}">
              <a16:creationId xmlns:a16="http://schemas.microsoft.com/office/drawing/2014/main" id="{77972F01-9A29-4E1A-A064-7E26CF0C72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800100</xdr:colOff>
      <xdr:row>33</xdr:row>
      <xdr:rowOff>123825</xdr:rowOff>
    </xdr:from>
    <xdr:to>
      <xdr:col>13</xdr:col>
      <xdr:colOff>952500</xdr:colOff>
      <xdr:row>49</xdr:row>
      <xdr:rowOff>66675</xdr:rowOff>
    </xdr:to>
    <xdr:graphicFrame macro="">
      <xdr:nvGraphicFramePr>
        <xdr:cNvPr id="6937908" name="Chart 407">
          <a:extLst>
            <a:ext uri="{FF2B5EF4-FFF2-40B4-BE49-F238E27FC236}">
              <a16:creationId xmlns:a16="http://schemas.microsoft.com/office/drawing/2014/main" id="{6171AC9C-498F-4193-9257-81B20FB1D2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343461</xdr:colOff>
      <xdr:row>31</xdr:row>
      <xdr:rowOff>126066</xdr:rowOff>
    </xdr:from>
    <xdr:to>
      <xdr:col>13</xdr:col>
      <xdr:colOff>645460</xdr:colOff>
      <xdr:row>40</xdr:row>
      <xdr:rowOff>22412</xdr:rowOff>
    </xdr:to>
    <xdr:sp macro="" textlink="">
      <xdr:nvSpPr>
        <xdr:cNvPr id="50493" name="Text Box 317">
          <a:extLst>
            <a:ext uri="{FF2B5EF4-FFF2-40B4-BE49-F238E27FC236}">
              <a16:creationId xmlns:a16="http://schemas.microsoft.com/office/drawing/2014/main" id="{6667EA97-60D3-49BB-9101-E107F27D987B}"/>
            </a:ext>
          </a:extLst>
        </xdr:cNvPr>
        <xdr:cNvSpPr txBox="1">
          <a:spLocks noChangeArrowheads="1"/>
        </xdr:cNvSpPr>
      </xdr:nvSpPr>
      <xdr:spPr bwMode="auto">
        <a:xfrm>
          <a:off x="8703049" y="7040095"/>
          <a:ext cx="3809440" cy="16108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s-ES" sz="1200" b="1" i="0" u="none" strike="noStrike" baseline="0">
              <a:solidFill>
                <a:srgbClr val="000000"/>
              </a:solidFill>
              <a:latin typeface="+mn-lt"/>
              <a:cs typeface="Times New Roman"/>
            </a:rPr>
            <a:t>NOTA:</a:t>
          </a:r>
          <a:endParaRPr lang="es-ES" sz="1200" b="0" i="0" u="none" strike="noStrike" baseline="0">
            <a:solidFill>
              <a:srgbClr val="000000"/>
            </a:solidFill>
            <a:latin typeface="+mn-lt"/>
            <a:cs typeface="Times New Roman"/>
          </a:endParaRPr>
        </a:p>
        <a:p>
          <a:pPr algn="l" rtl="0">
            <a:defRPr sz="1000"/>
          </a:pPr>
          <a:endParaRPr lang="es-ES" sz="1100" b="0" i="0" u="none" strike="noStrike" baseline="0">
            <a:solidFill>
              <a:srgbClr val="000000"/>
            </a:solidFill>
            <a:latin typeface="+mn-lt"/>
            <a:cs typeface="Tahoma"/>
          </a:endParaRPr>
        </a:p>
        <a:p>
          <a:pPr algn="l" rtl="0">
            <a:defRPr sz="1000"/>
          </a:pPr>
          <a:r>
            <a:rPr lang="es-ES" sz="1100" b="0" i="0" u="none" strike="noStrike" baseline="0">
              <a:solidFill>
                <a:srgbClr val="000000"/>
              </a:solidFill>
              <a:latin typeface="+mn-lt"/>
              <a:cs typeface="Tahoma"/>
            </a:rPr>
            <a:t>* Estos cálculos são meramente estimações. O IRPF depende ainda de outros fatores algúns de eles pessoais e familiais.</a:t>
          </a:r>
        </a:p>
        <a:p>
          <a:pPr algn="l" rtl="0">
            <a:defRPr sz="1000"/>
          </a:pPr>
          <a:endParaRPr lang="es-ES" sz="1100" b="0" i="0" u="none" strike="noStrike" baseline="0">
            <a:solidFill>
              <a:srgbClr val="000000"/>
            </a:solidFill>
            <a:latin typeface="+mn-lt"/>
            <a:cs typeface="Tahoma"/>
          </a:endParaRPr>
        </a:p>
        <a:p>
          <a:pPr algn="l" rtl="0">
            <a:defRPr sz="1000"/>
          </a:pPr>
          <a:r>
            <a:rPr lang="es-ES" sz="1100" b="0" i="0" u="none" strike="noStrike" baseline="0">
              <a:solidFill>
                <a:srgbClr val="000000"/>
              </a:solidFill>
              <a:latin typeface="+mn-lt"/>
              <a:cs typeface="Tahoma"/>
            </a:rPr>
            <a:t>   O mínimo vital varia sensivelmente em função das circunstâncias pessoais e familiais. Se considera o caso mais desfavoravel (mínimo mais baixo e por tanto com impostos mais altos).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9.xml"/><Relationship Id="rId1" Type="http://schemas.openxmlformats.org/officeDocument/2006/relationships/printerSettings" Target="../printerSettings/printerSettings44.bin"/><Relationship Id="rId4" Type="http://schemas.openxmlformats.org/officeDocument/2006/relationships/comments" Target="../comments19.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11.xml"/><Relationship Id="rId1" Type="http://schemas.openxmlformats.org/officeDocument/2006/relationships/printerSettings" Target="../printerSettings/printerSettings76.bin"/><Relationship Id="rId4" Type="http://schemas.openxmlformats.org/officeDocument/2006/relationships/comments" Target="../comments28.xml"/></Relationships>
</file>

<file path=xl/worksheets/_rels/sheet78.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7">
    <pageSetUpPr fitToPage="1"/>
  </sheetPr>
  <dimension ref="A2:M84"/>
  <sheetViews>
    <sheetView workbookViewId="0"/>
  </sheetViews>
  <sheetFormatPr baseColWidth="10" defaultColWidth="11" defaultRowHeight="18"/>
  <cols>
    <col min="1" max="1" width="8.125" style="646" customWidth="1"/>
    <col min="2" max="3" width="7" style="717" customWidth="1"/>
    <col min="4" max="5" width="4.5" style="717" bestFit="1" customWidth="1"/>
    <col min="6" max="6" width="5.875" style="717" bestFit="1" customWidth="1"/>
    <col min="7" max="7" width="6.375" style="717" customWidth="1"/>
    <col min="8" max="8" width="5.625" style="717" bestFit="1" customWidth="1"/>
    <col min="9" max="9" width="10" style="717" customWidth="1"/>
    <col min="10" max="10" width="9" style="717" bestFit="1" customWidth="1"/>
    <col min="11" max="11" width="9.375" style="717" bestFit="1" customWidth="1"/>
    <col min="12" max="12" width="10.25" style="717" customWidth="1"/>
    <col min="13" max="13" width="10.375" style="694" customWidth="1"/>
    <col min="14" max="16384" width="11" style="694"/>
  </cols>
  <sheetData>
    <row r="2" spans="1:13" s="36" customFormat="1" ht="22.5">
      <c r="A2" s="780"/>
      <c r="B2" s="780" t="str">
        <f>'Dados Básicos'!B9</f>
        <v>WWW, S.L.</v>
      </c>
      <c r="C2" s="780"/>
      <c r="D2" s="780"/>
      <c r="E2" s="780"/>
      <c r="F2" s="780"/>
      <c r="G2" s="780"/>
      <c r="H2" s="780"/>
      <c r="I2" s="780"/>
      <c r="J2" s="780"/>
      <c r="K2" s="5"/>
      <c r="L2" s="5"/>
    </row>
    <row r="3" spans="1:13" s="36" customFormat="1">
      <c r="A3" s="793"/>
      <c r="B3" s="5"/>
      <c r="C3" s="5"/>
      <c r="E3" s="5"/>
      <c r="F3" s="5"/>
      <c r="G3" s="5"/>
      <c r="H3" s="5"/>
      <c r="I3" s="5"/>
      <c r="K3" s="5"/>
      <c r="L3" s="5"/>
    </row>
    <row r="4" spans="1:13" s="36" customFormat="1" ht="23.25" thickBot="1">
      <c r="A4" s="2833" t="s">
        <v>589</v>
      </c>
      <c r="B4" s="774"/>
      <c r="C4" s="774"/>
      <c r="D4" s="356"/>
      <c r="E4" s="774"/>
      <c r="F4" s="774"/>
      <c r="G4" s="774"/>
      <c r="H4" s="774"/>
      <c r="I4" s="774"/>
      <c r="J4" s="774"/>
      <c r="K4" s="5"/>
      <c r="L4" s="5"/>
    </row>
    <row r="5" spans="1:13" ht="18.75" thickBot="1">
      <c r="D5" s="36"/>
      <c r="J5" s="781"/>
      <c r="L5" s="782" t="s">
        <v>377</v>
      </c>
      <c r="M5" s="773"/>
    </row>
    <row r="6" spans="1:13" ht="31.5" customHeight="1" thickBot="1">
      <c r="A6" s="795" t="s">
        <v>59</v>
      </c>
      <c r="B6" s="1361" t="s">
        <v>342</v>
      </c>
      <c r="C6" s="765"/>
      <c r="D6" s="794"/>
      <c r="E6" s="765"/>
      <c r="F6" s="765"/>
      <c r="G6" s="765"/>
      <c r="H6" s="765"/>
      <c r="I6" s="783"/>
      <c r="J6" s="784" t="s">
        <v>107</v>
      </c>
      <c r="K6" s="785" t="s">
        <v>378</v>
      </c>
      <c r="L6" s="786" t="s">
        <v>53</v>
      </c>
      <c r="M6" s="787" t="s">
        <v>379</v>
      </c>
    </row>
    <row r="7" spans="1:13" s="802" customFormat="1" ht="18.75" customHeight="1">
      <c r="A7" s="714">
        <v>1</v>
      </c>
      <c r="B7" s="1362" t="s">
        <v>21</v>
      </c>
      <c r="C7" s="1748"/>
      <c r="D7" s="797"/>
      <c r="E7" s="1748"/>
      <c r="F7" s="1748"/>
      <c r="G7" s="1748"/>
      <c r="H7" s="1748"/>
      <c r="I7" s="1749"/>
      <c r="J7" s="798">
        <v>1</v>
      </c>
      <c r="K7" s="799" t="s">
        <v>46</v>
      </c>
      <c r="L7" s="800" t="s">
        <v>380</v>
      </c>
      <c r="M7" s="801" t="s">
        <v>381</v>
      </c>
    </row>
    <row r="8" spans="1:13" s="802" customFormat="1" ht="18.75" customHeight="1">
      <c r="A8" s="803">
        <f t="shared" ref="A8:A70" si="0">A7+1</f>
        <v>2</v>
      </c>
      <c r="B8" s="1360" t="s">
        <v>343</v>
      </c>
      <c r="C8" s="1750"/>
      <c r="D8" s="804"/>
      <c r="E8" s="1750"/>
      <c r="F8" s="1750"/>
      <c r="G8" s="1750"/>
      <c r="H8" s="1750"/>
      <c r="I8" s="1751"/>
      <c r="J8" s="805">
        <v>0</v>
      </c>
      <c r="K8" s="806" t="s">
        <v>46</v>
      </c>
      <c r="L8" s="807" t="s">
        <v>380</v>
      </c>
      <c r="M8" s="808" t="s">
        <v>380</v>
      </c>
    </row>
    <row r="9" spans="1:13" s="802" customFormat="1" ht="18.75" customHeight="1">
      <c r="A9" s="803">
        <f t="shared" si="0"/>
        <v>3</v>
      </c>
      <c r="B9" s="1360" t="s">
        <v>344</v>
      </c>
      <c r="C9" s="1750"/>
      <c r="D9" s="804"/>
      <c r="E9" s="1750"/>
      <c r="F9" s="1750"/>
      <c r="G9" s="1750"/>
      <c r="H9" s="1750"/>
      <c r="I9" s="1751"/>
      <c r="J9" s="805">
        <v>1</v>
      </c>
      <c r="K9" s="806" t="s">
        <v>382</v>
      </c>
      <c r="L9" s="807" t="s">
        <v>381</v>
      </c>
      <c r="M9" s="808" t="s">
        <v>381</v>
      </c>
    </row>
    <row r="10" spans="1:13" s="802" customFormat="1" ht="18.75" hidden="1" customHeight="1">
      <c r="A10" s="803">
        <f t="shared" si="0"/>
        <v>4</v>
      </c>
      <c r="B10" s="1360" t="s">
        <v>66</v>
      </c>
      <c r="C10" s="1750"/>
      <c r="D10" s="804"/>
      <c r="E10" s="1750"/>
      <c r="F10" s="1828"/>
      <c r="G10" s="1750"/>
      <c r="H10" s="1750"/>
      <c r="I10" s="1751"/>
      <c r="J10" s="805">
        <v>1</v>
      </c>
      <c r="K10" s="806" t="s">
        <v>382</v>
      </c>
      <c r="L10" s="807" t="s">
        <v>380</v>
      </c>
      <c r="M10" s="808" t="s">
        <v>380</v>
      </c>
    </row>
    <row r="11" spans="1:13" s="802" customFormat="1" ht="18.75" customHeight="1">
      <c r="A11" s="803">
        <v>4</v>
      </c>
      <c r="B11" s="1360" t="s">
        <v>345</v>
      </c>
      <c r="C11" s="1750"/>
      <c r="D11" s="804"/>
      <c r="E11" s="1750"/>
      <c r="F11" s="1750"/>
      <c r="G11" s="1750"/>
      <c r="H11" s="1750"/>
      <c r="I11" s="1751"/>
      <c r="J11" s="805">
        <v>1</v>
      </c>
      <c r="K11" s="806" t="s">
        <v>382</v>
      </c>
      <c r="L11" s="807" t="s">
        <v>381</v>
      </c>
      <c r="M11" s="808" t="s">
        <v>381</v>
      </c>
    </row>
    <row r="12" spans="1:13" s="802" customFormat="1" ht="19.5" hidden="1" customHeight="1">
      <c r="A12" s="803">
        <f t="shared" si="0"/>
        <v>5</v>
      </c>
      <c r="B12" s="1816" t="s">
        <v>346</v>
      </c>
      <c r="C12" s="1750"/>
      <c r="D12" s="804"/>
      <c r="E12" s="1750"/>
      <c r="F12" s="1750"/>
      <c r="G12" s="1750"/>
      <c r="H12" s="1750"/>
      <c r="I12" s="1751"/>
      <c r="J12" s="805">
        <v>1</v>
      </c>
      <c r="K12" s="806" t="s">
        <v>382</v>
      </c>
      <c r="L12" s="807" t="s">
        <v>380</v>
      </c>
      <c r="M12" s="808" t="s">
        <v>380</v>
      </c>
    </row>
    <row r="13" spans="1:13" s="802" customFormat="1" ht="18.75" customHeight="1">
      <c r="A13" s="803">
        <f>+A11+1</f>
        <v>5</v>
      </c>
      <c r="B13" s="1360" t="s">
        <v>347</v>
      </c>
      <c r="C13" s="1750"/>
      <c r="D13" s="804"/>
      <c r="E13" s="1750"/>
      <c r="F13" s="1750"/>
      <c r="G13" s="1750"/>
      <c r="H13" s="1750"/>
      <c r="I13" s="1751"/>
      <c r="J13" s="805">
        <v>1</v>
      </c>
      <c r="K13" s="806" t="s">
        <v>382</v>
      </c>
      <c r="L13" s="807" t="s">
        <v>381</v>
      </c>
      <c r="M13" s="808" t="s">
        <v>381</v>
      </c>
    </row>
    <row r="14" spans="1:13" s="802" customFormat="1" ht="18.75" customHeight="1">
      <c r="A14" s="803">
        <f t="shared" si="0"/>
        <v>6</v>
      </c>
      <c r="B14" s="1360" t="s">
        <v>348</v>
      </c>
      <c r="C14" s="1750"/>
      <c r="D14" s="804"/>
      <c r="E14" s="1750"/>
      <c r="F14" s="1750"/>
      <c r="G14" s="1750"/>
      <c r="H14" s="1750"/>
      <c r="I14" s="1751"/>
      <c r="J14" s="805">
        <v>1</v>
      </c>
      <c r="K14" s="806" t="s">
        <v>382</v>
      </c>
      <c r="L14" s="807" t="s">
        <v>381</v>
      </c>
      <c r="M14" s="808" t="s">
        <v>381</v>
      </c>
    </row>
    <row r="15" spans="1:13" s="802" customFormat="1" ht="18.75" customHeight="1">
      <c r="A15" s="803">
        <f t="shared" si="0"/>
        <v>7</v>
      </c>
      <c r="B15" s="1360" t="s">
        <v>349</v>
      </c>
      <c r="C15" s="1750"/>
      <c r="D15" s="804"/>
      <c r="E15" s="1750"/>
      <c r="F15" s="1750"/>
      <c r="G15" s="1750"/>
      <c r="H15" s="1750"/>
      <c r="I15" s="1751"/>
      <c r="J15" s="805">
        <v>1</v>
      </c>
      <c r="K15" s="806" t="s">
        <v>382</v>
      </c>
      <c r="L15" s="807" t="s">
        <v>381</v>
      </c>
      <c r="M15" s="808" t="s">
        <v>381</v>
      </c>
    </row>
    <row r="16" spans="1:13" s="802" customFormat="1" ht="15" hidden="1" customHeight="1">
      <c r="A16" s="803">
        <f t="shared" si="0"/>
        <v>8</v>
      </c>
      <c r="B16" s="1816" t="s">
        <v>350</v>
      </c>
      <c r="C16" s="1750"/>
      <c r="D16" s="804"/>
      <c r="E16" s="1750"/>
      <c r="F16" s="1750"/>
      <c r="G16" s="1750"/>
      <c r="H16" s="1750"/>
      <c r="I16" s="1829"/>
      <c r="J16" s="805">
        <v>1</v>
      </c>
      <c r="K16" s="806" t="s">
        <v>382</v>
      </c>
      <c r="L16" s="807" t="s">
        <v>380</v>
      </c>
      <c r="M16" s="808" t="str">
        <f ca="1">IF('Finançamento Inicial'!B20+SUM(resprevio,'Finançamento Inicial'!D25:D28)&gt;0,"SIM","NÃO")</f>
        <v>NÃO</v>
      </c>
    </row>
    <row r="17" spans="1:13" s="802" customFormat="1" ht="21" hidden="1" customHeight="1">
      <c r="A17" s="803">
        <f t="shared" si="0"/>
        <v>9</v>
      </c>
      <c r="B17" s="1360" t="s">
        <v>171</v>
      </c>
      <c r="C17" s="1750"/>
      <c r="D17" s="804"/>
      <c r="E17" s="1750"/>
      <c r="F17" s="1750"/>
      <c r="G17" s="1750"/>
      <c r="H17" s="1750"/>
      <c r="I17" s="1829"/>
      <c r="J17" s="805">
        <v>1</v>
      </c>
      <c r="K17" s="806" t="s">
        <v>46</v>
      </c>
      <c r="L17" s="807" t="s">
        <v>380</v>
      </c>
      <c r="M17" s="808" t="str">
        <f>L17</f>
        <v>NÃO</v>
      </c>
    </row>
    <row r="18" spans="1:13" s="802" customFormat="1" ht="18.75" hidden="1" customHeight="1">
      <c r="A18" s="803">
        <f>+A15+1</f>
        <v>8</v>
      </c>
      <c r="B18" s="1360" t="s">
        <v>172</v>
      </c>
      <c r="C18" s="1750"/>
      <c r="D18" s="804"/>
      <c r="E18" s="1750"/>
      <c r="F18" s="1750"/>
      <c r="G18" s="1750"/>
      <c r="H18" s="1750"/>
      <c r="I18" s="1829"/>
      <c r="J18" s="805">
        <v>1</v>
      </c>
      <c r="K18" s="806" t="s">
        <v>46</v>
      </c>
      <c r="L18" s="807" t="s">
        <v>380</v>
      </c>
      <c r="M18" s="808" t="str">
        <f>L18</f>
        <v>NÃO</v>
      </c>
    </row>
    <row r="19" spans="1:13" s="802" customFormat="1" ht="18.75" hidden="1" customHeight="1">
      <c r="A19" s="803">
        <f t="shared" si="0"/>
        <v>9</v>
      </c>
      <c r="B19" s="1360" t="s">
        <v>173</v>
      </c>
      <c r="C19" s="1750"/>
      <c r="D19" s="804"/>
      <c r="E19" s="1750"/>
      <c r="F19" s="1750"/>
      <c r="G19" s="1750"/>
      <c r="H19" s="1750"/>
      <c r="I19" s="1829"/>
      <c r="J19" s="805">
        <v>1</v>
      </c>
      <c r="K19" s="806" t="s">
        <v>46</v>
      </c>
      <c r="L19" s="807" t="s">
        <v>380</v>
      </c>
      <c r="M19" s="808" t="str">
        <f>L19</f>
        <v>NÃO</v>
      </c>
    </row>
    <row r="20" spans="1:13" s="802" customFormat="1" ht="17.25" hidden="1" customHeight="1">
      <c r="A20" s="803">
        <f t="shared" si="0"/>
        <v>10</v>
      </c>
      <c r="B20" s="1816" t="s">
        <v>351</v>
      </c>
      <c r="C20" s="1750"/>
      <c r="D20" s="804"/>
      <c r="E20" s="1750"/>
      <c r="F20" s="1750"/>
      <c r="G20" s="1750"/>
      <c r="H20" s="1750"/>
      <c r="I20" s="1751"/>
      <c r="J20" s="805">
        <v>2</v>
      </c>
      <c r="K20" s="806" t="s">
        <v>138</v>
      </c>
      <c r="L20" s="807" t="s">
        <v>380</v>
      </c>
      <c r="M20" s="808" t="s">
        <v>380</v>
      </c>
    </row>
    <row r="21" spans="1:13" s="802" customFormat="1" ht="18.75" customHeight="1">
      <c r="A21" s="803">
        <v>8</v>
      </c>
      <c r="B21" s="1360" t="s">
        <v>115</v>
      </c>
      <c r="C21" s="1750"/>
      <c r="D21" s="804"/>
      <c r="E21" s="1750"/>
      <c r="F21" s="1750"/>
      <c r="G21" s="1750"/>
      <c r="H21" s="1750"/>
      <c r="I21" s="1751"/>
      <c r="J21" s="805">
        <v>1</v>
      </c>
      <c r="K21" s="806" t="s">
        <v>382</v>
      </c>
      <c r="L21" s="807" t="s">
        <v>381</v>
      </c>
      <c r="M21" s="808" t="s">
        <v>381</v>
      </c>
    </row>
    <row r="22" spans="1:13" s="802" customFormat="1" ht="11.25" hidden="1" customHeight="1">
      <c r="A22" s="803">
        <f t="shared" si="0"/>
        <v>9</v>
      </c>
      <c r="B22" s="1360" t="s">
        <v>41</v>
      </c>
      <c r="C22" s="1750"/>
      <c r="D22" s="804"/>
      <c r="E22" s="1750"/>
      <c r="F22" s="1750"/>
      <c r="G22" s="1750"/>
      <c r="H22" s="1750"/>
      <c r="I22" s="1751"/>
      <c r="J22" s="805">
        <v>2</v>
      </c>
      <c r="K22" s="806" t="s">
        <v>382</v>
      </c>
      <c r="L22" s="807" t="s">
        <v>380</v>
      </c>
      <c r="M22" s="808" t="s">
        <v>380</v>
      </c>
    </row>
    <row r="23" spans="1:13" s="802" customFormat="1" ht="18.75" customHeight="1">
      <c r="A23" s="803">
        <f>+A21+1</f>
        <v>9</v>
      </c>
      <c r="B23" s="1360" t="s">
        <v>352</v>
      </c>
      <c r="C23" s="1750"/>
      <c r="D23" s="804"/>
      <c r="E23" s="1750"/>
      <c r="F23" s="1750"/>
      <c r="G23" s="1750"/>
      <c r="H23" s="1750"/>
      <c r="I23" s="1751"/>
      <c r="J23" s="805">
        <v>1</v>
      </c>
      <c r="K23" s="806" t="s">
        <v>382</v>
      </c>
      <c r="L23" s="807" t="s">
        <v>380</v>
      </c>
      <c r="M23" s="808" t="s">
        <v>380</v>
      </c>
    </row>
    <row r="24" spans="1:13" s="802" customFormat="1" ht="18.75" customHeight="1">
      <c r="A24" s="803">
        <f t="shared" si="0"/>
        <v>10</v>
      </c>
      <c r="B24" s="1360" t="s">
        <v>353</v>
      </c>
      <c r="C24" s="1750"/>
      <c r="D24" s="804"/>
      <c r="E24" s="1750"/>
      <c r="F24" s="1750"/>
      <c r="G24" s="1750"/>
      <c r="H24" s="1750"/>
      <c r="I24" s="1751"/>
      <c r="J24" s="805">
        <v>1</v>
      </c>
      <c r="K24" s="806" t="s">
        <v>382</v>
      </c>
      <c r="L24" s="807" t="s">
        <v>381</v>
      </c>
      <c r="M24" s="808" t="s">
        <v>381</v>
      </c>
    </row>
    <row r="25" spans="1:13" s="802" customFormat="1" ht="20.25" customHeight="1">
      <c r="A25" s="803">
        <f t="shared" si="0"/>
        <v>11</v>
      </c>
      <c r="B25" s="1360" t="s">
        <v>354</v>
      </c>
      <c r="C25" s="1750"/>
      <c r="D25" s="804"/>
      <c r="E25" s="1750"/>
      <c r="F25" s="1750"/>
      <c r="G25" s="1750"/>
      <c r="H25" s="1750"/>
      <c r="I25" s="1751"/>
      <c r="J25" s="805">
        <v>2</v>
      </c>
      <c r="K25" s="806" t="s">
        <v>382</v>
      </c>
      <c r="L25" s="807" t="s">
        <v>380</v>
      </c>
      <c r="M25" s="808" t="s">
        <v>380</v>
      </c>
    </row>
    <row r="26" spans="1:13" s="802" customFormat="1" ht="2.25" hidden="1" customHeight="1">
      <c r="A26" s="803">
        <f t="shared" si="0"/>
        <v>12</v>
      </c>
      <c r="B26" s="1360" t="s">
        <v>355</v>
      </c>
      <c r="C26" s="1750"/>
      <c r="D26" s="804"/>
      <c r="E26" s="1750"/>
      <c r="F26" s="1750"/>
      <c r="G26" s="1750"/>
      <c r="H26" s="1750"/>
      <c r="I26" s="1751"/>
      <c r="J26" s="805">
        <v>2</v>
      </c>
      <c r="K26" s="806" t="s">
        <v>382</v>
      </c>
      <c r="L26" s="807" t="s">
        <v>380</v>
      </c>
      <c r="M26" s="808" t="s">
        <v>380</v>
      </c>
    </row>
    <row r="27" spans="1:13" s="802" customFormat="1" ht="17.25" hidden="1" customHeight="1">
      <c r="A27" s="803">
        <f t="shared" si="0"/>
        <v>13</v>
      </c>
      <c r="B27" s="1816" t="s">
        <v>116</v>
      </c>
      <c r="C27" s="1750"/>
      <c r="D27" s="804"/>
      <c r="E27" s="1750"/>
      <c r="F27" s="1750"/>
      <c r="G27" s="1750"/>
      <c r="H27" s="1750"/>
      <c r="I27" s="1751"/>
      <c r="J27" s="805">
        <v>1</v>
      </c>
      <c r="K27" s="806" t="s">
        <v>139</v>
      </c>
      <c r="L27" s="807" t="s">
        <v>380</v>
      </c>
      <c r="M27" s="808" t="s">
        <v>380</v>
      </c>
    </row>
    <row r="28" spans="1:13" s="802" customFormat="1" ht="18.75" customHeight="1">
      <c r="A28" s="803">
        <v>12</v>
      </c>
      <c r="B28" s="1360" t="s">
        <v>356</v>
      </c>
      <c r="C28" s="1750"/>
      <c r="D28" s="804"/>
      <c r="E28" s="1750"/>
      <c r="F28" s="1750"/>
      <c r="G28" s="1750"/>
      <c r="H28" s="1750"/>
      <c r="I28" s="1751"/>
      <c r="J28" s="805">
        <v>1</v>
      </c>
      <c r="K28" s="806" t="s">
        <v>47</v>
      </c>
      <c r="L28" s="807" t="s">
        <v>381</v>
      </c>
      <c r="M28" s="808" t="s">
        <v>381</v>
      </c>
    </row>
    <row r="29" spans="1:13" s="802" customFormat="1" ht="18.75" hidden="1" customHeight="1">
      <c r="A29" s="803">
        <f t="shared" si="0"/>
        <v>13</v>
      </c>
      <c r="B29" s="1360" t="s">
        <v>357</v>
      </c>
      <c r="C29" s="1750"/>
      <c r="D29" s="804"/>
      <c r="E29" s="1750"/>
      <c r="F29" s="1750"/>
      <c r="G29" s="1750"/>
      <c r="H29" s="1750"/>
      <c r="I29" s="1751"/>
      <c r="J29" s="805">
        <v>2</v>
      </c>
      <c r="K29" s="806" t="s">
        <v>139</v>
      </c>
      <c r="L29" s="807" t="s">
        <v>380</v>
      </c>
      <c r="M29" s="808" t="s">
        <v>380</v>
      </c>
    </row>
    <row r="30" spans="1:13" s="802" customFormat="1" ht="18.75" hidden="1" customHeight="1">
      <c r="A30" s="803">
        <f t="shared" si="0"/>
        <v>14</v>
      </c>
      <c r="B30" s="1360" t="s">
        <v>358</v>
      </c>
      <c r="C30" s="1750"/>
      <c r="D30" s="804"/>
      <c r="E30" s="1750"/>
      <c r="F30" s="1750"/>
      <c r="G30" s="1750"/>
      <c r="H30" s="1750"/>
      <c r="I30" s="1751"/>
      <c r="J30" s="805">
        <v>2</v>
      </c>
      <c r="K30" s="806" t="s">
        <v>139</v>
      </c>
      <c r="L30" s="807" t="s">
        <v>380</v>
      </c>
      <c r="M30" s="808" t="s">
        <v>380</v>
      </c>
    </row>
    <row r="31" spans="1:13" s="802" customFormat="1" ht="18.75" hidden="1" customHeight="1">
      <c r="A31" s="803">
        <f t="shared" si="0"/>
        <v>15</v>
      </c>
      <c r="B31" s="1360" t="s">
        <v>359</v>
      </c>
      <c r="C31" s="1750"/>
      <c r="D31" s="804"/>
      <c r="E31" s="1750"/>
      <c r="F31" s="1750"/>
      <c r="G31" s="1750"/>
      <c r="H31" s="1750"/>
      <c r="I31" s="1751"/>
      <c r="J31" s="805">
        <v>2</v>
      </c>
      <c r="K31" s="806" t="s">
        <v>139</v>
      </c>
      <c r="L31" s="807" t="s">
        <v>380</v>
      </c>
      <c r="M31" s="808" t="s">
        <v>380</v>
      </c>
    </row>
    <row r="32" spans="1:13" s="802" customFormat="1" ht="18.75" hidden="1" customHeight="1">
      <c r="A32" s="803">
        <f t="shared" si="0"/>
        <v>16</v>
      </c>
      <c r="B32" s="1360" t="s">
        <v>360</v>
      </c>
      <c r="C32" s="1750"/>
      <c r="D32" s="804"/>
      <c r="E32" s="1750"/>
      <c r="F32" s="1750"/>
      <c r="G32" s="1750"/>
      <c r="H32" s="1750"/>
      <c r="I32" s="1751"/>
      <c r="J32" s="805">
        <v>2</v>
      </c>
      <c r="K32" s="806" t="s">
        <v>139</v>
      </c>
      <c r="L32" s="807" t="s">
        <v>380</v>
      </c>
      <c r="M32" s="808" t="s">
        <v>380</v>
      </c>
    </row>
    <row r="33" spans="1:13" s="802" customFormat="1" ht="9.75" hidden="1" customHeight="1">
      <c r="A33" s="803">
        <f t="shared" si="0"/>
        <v>17</v>
      </c>
      <c r="B33" s="1360" t="s">
        <v>361</v>
      </c>
      <c r="C33" s="1750"/>
      <c r="D33" s="804"/>
      <c r="E33" s="1750"/>
      <c r="F33" s="1750"/>
      <c r="G33" s="1750"/>
      <c r="H33" s="1750"/>
      <c r="I33" s="1751"/>
      <c r="J33" s="805">
        <v>2</v>
      </c>
      <c r="K33" s="806" t="s">
        <v>139</v>
      </c>
      <c r="L33" s="807" t="s">
        <v>380</v>
      </c>
      <c r="M33" s="808" t="s">
        <v>380</v>
      </c>
    </row>
    <row r="34" spans="1:13" s="802" customFormat="1" ht="18.75" customHeight="1">
      <c r="A34" s="803">
        <f>+A28+1</f>
        <v>13</v>
      </c>
      <c r="B34" s="1360" t="s">
        <v>362</v>
      </c>
      <c r="C34" s="1750"/>
      <c r="D34" s="804"/>
      <c r="E34" s="1750"/>
      <c r="F34" s="1750"/>
      <c r="G34" s="1750"/>
      <c r="H34" s="1750"/>
      <c r="I34" s="1751"/>
      <c r="J34" s="805">
        <v>1</v>
      </c>
      <c r="K34" s="806" t="s">
        <v>47</v>
      </c>
      <c r="L34" s="807" t="s">
        <v>381</v>
      </c>
      <c r="M34" s="808" t="s">
        <v>381</v>
      </c>
    </row>
    <row r="35" spans="1:13" s="802" customFormat="1" ht="18.75" hidden="1" customHeight="1">
      <c r="A35" s="803">
        <f t="shared" si="0"/>
        <v>14</v>
      </c>
      <c r="B35" s="1360" t="s">
        <v>117</v>
      </c>
      <c r="C35" s="1750"/>
      <c r="D35" s="804"/>
      <c r="E35" s="1750"/>
      <c r="F35" s="1750"/>
      <c r="G35" s="1750"/>
      <c r="H35" s="1750"/>
      <c r="I35" s="1751"/>
      <c r="J35" s="805">
        <v>1</v>
      </c>
      <c r="K35" s="806" t="s">
        <v>139</v>
      </c>
      <c r="L35" s="807" t="s">
        <v>380</v>
      </c>
      <c r="M35" s="808" t="s">
        <v>380</v>
      </c>
    </row>
    <row r="36" spans="1:13" s="802" customFormat="1" ht="18.75" hidden="1" customHeight="1">
      <c r="A36" s="803">
        <f t="shared" si="0"/>
        <v>15</v>
      </c>
      <c r="B36" s="1360" t="s">
        <v>118</v>
      </c>
      <c r="C36" s="1750"/>
      <c r="D36" s="804"/>
      <c r="E36" s="1750"/>
      <c r="F36" s="1750"/>
      <c r="G36" s="1750"/>
      <c r="H36" s="1750"/>
      <c r="I36" s="1751"/>
      <c r="J36" s="805">
        <v>1</v>
      </c>
      <c r="K36" s="806" t="s">
        <v>139</v>
      </c>
      <c r="L36" s="807" t="s">
        <v>380</v>
      </c>
      <c r="M36" s="808" t="s">
        <v>380</v>
      </c>
    </row>
    <row r="37" spans="1:13" s="802" customFormat="1" ht="18.75" hidden="1" customHeight="1">
      <c r="A37" s="803">
        <f t="shared" si="0"/>
        <v>16</v>
      </c>
      <c r="B37" s="1360" t="s">
        <v>119</v>
      </c>
      <c r="C37" s="1750"/>
      <c r="D37" s="804"/>
      <c r="E37" s="1750"/>
      <c r="F37" s="1750"/>
      <c r="G37" s="1750"/>
      <c r="H37" s="1750"/>
      <c r="I37" s="1751"/>
      <c r="J37" s="805">
        <v>1</v>
      </c>
      <c r="K37" s="806" t="s">
        <v>139</v>
      </c>
      <c r="L37" s="807" t="s">
        <v>380</v>
      </c>
      <c r="M37" s="808" t="s">
        <v>380</v>
      </c>
    </row>
    <row r="38" spans="1:13" s="802" customFormat="1" ht="18.75" hidden="1" customHeight="1">
      <c r="A38" s="803">
        <f t="shared" si="0"/>
        <v>17</v>
      </c>
      <c r="B38" s="1360" t="s">
        <v>120</v>
      </c>
      <c r="C38" s="1750"/>
      <c r="D38" s="804"/>
      <c r="E38" s="1750"/>
      <c r="F38" s="1750"/>
      <c r="G38" s="1750"/>
      <c r="H38" s="1750"/>
      <c r="I38" s="1751"/>
      <c r="J38" s="805">
        <v>1</v>
      </c>
      <c r="K38" s="806" t="s">
        <v>139</v>
      </c>
      <c r="L38" s="807" t="s">
        <v>380</v>
      </c>
      <c r="M38" s="808" t="s">
        <v>380</v>
      </c>
    </row>
    <row r="39" spans="1:13" s="802" customFormat="1" ht="18.75" hidden="1" customHeight="1">
      <c r="A39" s="803">
        <f t="shared" si="0"/>
        <v>18</v>
      </c>
      <c r="B39" s="1360" t="s">
        <v>121</v>
      </c>
      <c r="C39" s="1750"/>
      <c r="D39" s="804"/>
      <c r="E39" s="1750"/>
      <c r="F39" s="1750"/>
      <c r="G39" s="1750"/>
      <c r="H39" s="1750"/>
      <c r="I39" s="1751"/>
      <c r="J39" s="805">
        <v>1</v>
      </c>
      <c r="K39" s="806" t="s">
        <v>139</v>
      </c>
      <c r="L39" s="807" t="s">
        <v>380</v>
      </c>
      <c r="M39" s="808" t="s">
        <v>380</v>
      </c>
    </row>
    <row r="40" spans="1:13" s="802" customFormat="1" ht="18.75" customHeight="1">
      <c r="A40" s="803">
        <f>A34+1</f>
        <v>14</v>
      </c>
      <c r="B40" s="1360" t="s">
        <v>363</v>
      </c>
      <c r="C40" s="1750"/>
      <c r="D40" s="804"/>
      <c r="E40" s="1750"/>
      <c r="F40" s="1750"/>
      <c r="G40" s="1750"/>
      <c r="H40" s="1750"/>
      <c r="I40" s="1751"/>
      <c r="J40" s="805">
        <v>1</v>
      </c>
      <c r="K40" s="806" t="s">
        <v>47</v>
      </c>
      <c r="L40" s="807" t="s">
        <v>381</v>
      </c>
      <c r="M40" s="808" t="s">
        <v>381</v>
      </c>
    </row>
    <row r="41" spans="1:13" s="802" customFormat="1" ht="18.75" customHeight="1">
      <c r="A41" s="803">
        <f t="shared" si="0"/>
        <v>15</v>
      </c>
      <c r="B41" s="1360" t="str">
        <f>'Dados Básicos'!I44&amp;" "&amp;'Dados Básicos'!$J$44</f>
        <v>I.R.C. Imposto Rendas Pessoas Coletivas</v>
      </c>
      <c r="C41" s="1750"/>
      <c r="D41" s="804"/>
      <c r="E41" s="1750"/>
      <c r="F41" s="1750"/>
      <c r="G41" s="1750"/>
      <c r="H41" s="1750"/>
      <c r="I41" s="1751"/>
      <c r="J41" s="805">
        <v>1</v>
      </c>
      <c r="K41" s="806" t="s">
        <v>47</v>
      </c>
      <c r="L41" s="807" t="s">
        <v>380</v>
      </c>
      <c r="M41" s="808" t="str">
        <f>IF(isoc&lt;&gt;0,"SIM","NÃO")</f>
        <v>SIM</v>
      </c>
    </row>
    <row r="42" spans="1:13" s="802" customFormat="1" ht="18.75" customHeight="1">
      <c r="A42" s="803">
        <f t="shared" si="0"/>
        <v>16</v>
      </c>
      <c r="B42" s="1360" t="str">
        <f>'Dados Básicos'!I43&amp;" "&amp;'Dados Básicos'!$J$43</f>
        <v>I.R.S. Imposto Rendas Pessoas Singulares</v>
      </c>
      <c r="C42" s="1750"/>
      <c r="D42" s="804"/>
      <c r="E42" s="1750"/>
      <c r="F42" s="1750"/>
      <c r="G42" s="1750"/>
      <c r="H42" s="1750"/>
      <c r="I42" s="1751"/>
      <c r="J42" s="805">
        <v>1</v>
      </c>
      <c r="K42" s="806" t="s">
        <v>47</v>
      </c>
      <c r="L42" s="807" t="s">
        <v>380</v>
      </c>
      <c r="M42" s="808" t="str">
        <f>IF(irpf&lt;&gt;0,"SIM","NÃO")</f>
        <v>NÃO</v>
      </c>
    </row>
    <row r="43" spans="1:13" s="802" customFormat="1" ht="18.75" hidden="1" customHeight="1">
      <c r="A43" s="803">
        <f t="shared" si="0"/>
        <v>17</v>
      </c>
      <c r="B43" s="1360" t="s">
        <v>364</v>
      </c>
      <c r="C43" s="1750"/>
      <c r="D43" s="804"/>
      <c r="E43" s="1750"/>
      <c r="F43" s="1750"/>
      <c r="G43" s="1750"/>
      <c r="H43" s="1750"/>
      <c r="I43" s="1751"/>
      <c r="J43" s="805">
        <v>1</v>
      </c>
      <c r="K43" s="806" t="s">
        <v>140</v>
      </c>
      <c r="L43" s="807" t="s">
        <v>380</v>
      </c>
      <c r="M43" s="808" t="s">
        <v>380</v>
      </c>
    </row>
    <row r="44" spans="1:13" s="802" customFormat="1" ht="18.75" hidden="1" customHeight="1">
      <c r="A44" s="803">
        <f t="shared" si="0"/>
        <v>18</v>
      </c>
      <c r="B44" s="1360" t="s">
        <v>365</v>
      </c>
      <c r="C44" s="1750"/>
      <c r="D44" s="804"/>
      <c r="E44" s="1750"/>
      <c r="F44" s="1750"/>
      <c r="G44" s="1750"/>
      <c r="H44" s="1750"/>
      <c r="I44" s="1751"/>
      <c r="J44" s="805">
        <v>1</v>
      </c>
      <c r="K44" s="806" t="s">
        <v>140</v>
      </c>
      <c r="L44" s="807" t="s">
        <v>380</v>
      </c>
      <c r="M44" s="808" t="s">
        <v>380</v>
      </c>
    </row>
    <row r="45" spans="1:13" s="802" customFormat="1" ht="18.75" hidden="1" customHeight="1">
      <c r="A45" s="803">
        <f t="shared" si="0"/>
        <v>19</v>
      </c>
      <c r="B45" s="1360" t="s">
        <v>366</v>
      </c>
      <c r="C45" s="1750"/>
      <c r="D45" s="804"/>
      <c r="E45" s="1750"/>
      <c r="F45" s="1750"/>
      <c r="G45" s="1750"/>
      <c r="H45" s="1750"/>
      <c r="I45" s="1751"/>
      <c r="J45" s="805">
        <v>1</v>
      </c>
      <c r="K45" s="806" t="s">
        <v>140</v>
      </c>
      <c r="L45" s="807" t="s">
        <v>380</v>
      </c>
      <c r="M45" s="808" t="s">
        <v>380</v>
      </c>
    </row>
    <row r="46" spans="1:13" s="802" customFormat="1" ht="18.75" hidden="1" customHeight="1">
      <c r="A46" s="803">
        <f t="shared" si="0"/>
        <v>20</v>
      </c>
      <c r="B46" s="1360" t="s">
        <v>367</v>
      </c>
      <c r="C46" s="1750"/>
      <c r="D46" s="804"/>
      <c r="E46" s="1750"/>
      <c r="F46" s="1750"/>
      <c r="G46" s="1750"/>
      <c r="H46" s="1750"/>
      <c r="I46" s="1751"/>
      <c r="J46" s="805">
        <v>1</v>
      </c>
      <c r="K46" s="806" t="s">
        <v>140</v>
      </c>
      <c r="L46" s="807" t="s">
        <v>380</v>
      </c>
      <c r="M46" s="808" t="s">
        <v>380</v>
      </c>
    </row>
    <row r="47" spans="1:13" s="802" customFormat="1" ht="18.75" hidden="1" customHeight="1">
      <c r="A47" s="803">
        <f t="shared" si="0"/>
        <v>21</v>
      </c>
      <c r="B47" s="1360" t="s">
        <v>368</v>
      </c>
      <c r="C47" s="1750"/>
      <c r="D47" s="804"/>
      <c r="E47" s="1750"/>
      <c r="F47" s="1750"/>
      <c r="G47" s="1750"/>
      <c r="H47" s="1750"/>
      <c r="I47" s="1751"/>
      <c r="J47" s="805">
        <v>1</v>
      </c>
      <c r="K47" s="806" t="s">
        <v>140</v>
      </c>
      <c r="L47" s="807" t="s">
        <v>380</v>
      </c>
      <c r="M47" s="808" t="s">
        <v>380</v>
      </c>
    </row>
    <row r="48" spans="1:13" s="802" customFormat="1" ht="18.75" hidden="1" customHeight="1">
      <c r="A48" s="803">
        <f t="shared" si="0"/>
        <v>22</v>
      </c>
      <c r="B48" s="1360" t="s">
        <v>122</v>
      </c>
      <c r="C48" s="1750"/>
      <c r="D48" s="804"/>
      <c r="E48" s="1750"/>
      <c r="F48" s="1750"/>
      <c r="G48" s="1750"/>
      <c r="H48" s="1750"/>
      <c r="I48" s="1751"/>
      <c r="J48" s="805">
        <v>1</v>
      </c>
      <c r="K48" s="806" t="s">
        <v>140</v>
      </c>
      <c r="L48" s="807" t="s">
        <v>380</v>
      </c>
      <c r="M48" s="808" t="s">
        <v>380</v>
      </c>
    </row>
    <row r="49" spans="1:13" s="802" customFormat="1" ht="18.75" hidden="1" customHeight="1">
      <c r="A49" s="803">
        <f t="shared" si="0"/>
        <v>23</v>
      </c>
      <c r="B49" s="1360" t="s">
        <v>123</v>
      </c>
      <c r="C49" s="1750"/>
      <c r="D49" s="804"/>
      <c r="E49" s="1750"/>
      <c r="F49" s="1750"/>
      <c r="G49" s="1750"/>
      <c r="H49" s="1750"/>
      <c r="I49" s="1751"/>
      <c r="J49" s="805">
        <v>1</v>
      </c>
      <c r="K49" s="806" t="s">
        <v>140</v>
      </c>
      <c r="L49" s="807" t="s">
        <v>380</v>
      </c>
      <c r="M49" s="808" t="s">
        <v>380</v>
      </c>
    </row>
    <row r="50" spans="1:13" s="802" customFormat="1" ht="18.75" hidden="1" customHeight="1">
      <c r="A50" s="803">
        <f t="shared" si="0"/>
        <v>24</v>
      </c>
      <c r="B50" s="1360" t="s">
        <v>124</v>
      </c>
      <c r="C50" s="1750"/>
      <c r="D50" s="804"/>
      <c r="E50" s="1750"/>
      <c r="F50" s="1750"/>
      <c r="G50" s="1750"/>
      <c r="H50" s="1750"/>
      <c r="I50" s="1751"/>
      <c r="J50" s="805">
        <v>1</v>
      </c>
      <c r="K50" s="806" t="s">
        <v>140</v>
      </c>
      <c r="L50" s="807" t="s">
        <v>380</v>
      </c>
      <c r="M50" s="808" t="s">
        <v>380</v>
      </c>
    </row>
    <row r="51" spans="1:13" s="802" customFormat="1" ht="18.75" hidden="1" customHeight="1">
      <c r="A51" s="803">
        <f t="shared" si="0"/>
        <v>25</v>
      </c>
      <c r="B51" s="1360" t="s">
        <v>125</v>
      </c>
      <c r="C51" s="1750"/>
      <c r="D51" s="804"/>
      <c r="E51" s="1750"/>
      <c r="F51" s="1750"/>
      <c r="G51" s="1750"/>
      <c r="H51" s="1750"/>
      <c r="I51" s="1751"/>
      <c r="J51" s="805">
        <v>1</v>
      </c>
      <c r="K51" s="806" t="s">
        <v>140</v>
      </c>
      <c r="L51" s="807" t="s">
        <v>380</v>
      </c>
      <c r="M51" s="808" t="s">
        <v>380</v>
      </c>
    </row>
    <row r="52" spans="1:13" s="802" customFormat="1" ht="18.75" hidden="1" customHeight="1">
      <c r="A52" s="803">
        <f t="shared" si="0"/>
        <v>26</v>
      </c>
      <c r="B52" s="1360" t="s">
        <v>126</v>
      </c>
      <c r="C52" s="1750"/>
      <c r="D52" s="804"/>
      <c r="E52" s="1750"/>
      <c r="F52" s="1750"/>
      <c r="G52" s="1750"/>
      <c r="H52" s="1750"/>
      <c r="I52" s="1751"/>
      <c r="J52" s="805">
        <v>1</v>
      </c>
      <c r="K52" s="806" t="s">
        <v>140</v>
      </c>
      <c r="L52" s="807" t="s">
        <v>380</v>
      </c>
      <c r="M52" s="808" t="s">
        <v>380</v>
      </c>
    </row>
    <row r="53" spans="1:13" s="802" customFormat="1" ht="18.75" hidden="1" customHeight="1">
      <c r="A53" s="803">
        <f t="shared" si="0"/>
        <v>27</v>
      </c>
      <c r="B53" s="1360" t="s">
        <v>127</v>
      </c>
      <c r="C53" s="1750"/>
      <c r="D53" s="804"/>
      <c r="E53" s="1750"/>
      <c r="F53" s="1750"/>
      <c r="G53" s="1750"/>
      <c r="H53" s="1750"/>
      <c r="I53" s="1751"/>
      <c r="J53" s="805">
        <v>1</v>
      </c>
      <c r="K53" s="806" t="s">
        <v>140</v>
      </c>
      <c r="L53" s="807" t="s">
        <v>380</v>
      </c>
      <c r="M53" s="808" t="s">
        <v>380</v>
      </c>
    </row>
    <row r="54" spans="1:13" s="802" customFormat="1" ht="18.75" hidden="1" customHeight="1">
      <c r="A54" s="803">
        <f t="shared" si="0"/>
        <v>28</v>
      </c>
      <c r="B54" s="1360" t="s">
        <v>128</v>
      </c>
      <c r="C54" s="1750"/>
      <c r="D54" s="804"/>
      <c r="E54" s="1750"/>
      <c r="F54" s="1750"/>
      <c r="G54" s="1750"/>
      <c r="H54" s="1750"/>
      <c r="I54" s="1751"/>
      <c r="J54" s="805">
        <v>1</v>
      </c>
      <c r="K54" s="806" t="s">
        <v>140</v>
      </c>
      <c r="L54" s="807" t="s">
        <v>380</v>
      </c>
      <c r="M54" s="808" t="s">
        <v>380</v>
      </c>
    </row>
    <row r="55" spans="1:13" s="802" customFormat="1" ht="18.75" hidden="1" customHeight="1">
      <c r="A55" s="803">
        <f t="shared" si="0"/>
        <v>29</v>
      </c>
      <c r="B55" s="1360" t="s">
        <v>129</v>
      </c>
      <c r="C55" s="1750"/>
      <c r="D55" s="804"/>
      <c r="E55" s="1750"/>
      <c r="F55" s="1750"/>
      <c r="G55" s="1750"/>
      <c r="H55" s="1750"/>
      <c r="I55" s="1751"/>
      <c r="J55" s="805">
        <v>1</v>
      </c>
      <c r="K55" s="806" t="s">
        <v>140</v>
      </c>
      <c r="L55" s="807" t="s">
        <v>380</v>
      </c>
      <c r="M55" s="808" t="s">
        <v>380</v>
      </c>
    </row>
    <row r="56" spans="1:13" s="802" customFormat="1" ht="18.75" hidden="1" customHeight="1">
      <c r="A56" s="803">
        <f t="shared" si="0"/>
        <v>30</v>
      </c>
      <c r="B56" s="1360" t="s">
        <v>130</v>
      </c>
      <c r="C56" s="1750"/>
      <c r="D56" s="804"/>
      <c r="E56" s="1750"/>
      <c r="F56" s="1750"/>
      <c r="G56" s="1750"/>
      <c r="H56" s="1750"/>
      <c r="I56" s="1751"/>
      <c r="J56" s="805">
        <v>1</v>
      </c>
      <c r="K56" s="806" t="s">
        <v>140</v>
      </c>
      <c r="L56" s="807" t="s">
        <v>380</v>
      </c>
      <c r="M56" s="808" t="s">
        <v>380</v>
      </c>
    </row>
    <row r="57" spans="1:13" s="802" customFormat="1" ht="18.75" hidden="1" customHeight="1">
      <c r="A57" s="803">
        <f t="shared" si="0"/>
        <v>31</v>
      </c>
      <c r="B57" s="1360" t="s">
        <v>131</v>
      </c>
      <c r="C57" s="1750"/>
      <c r="D57" s="804"/>
      <c r="E57" s="1750"/>
      <c r="F57" s="1750"/>
      <c r="G57" s="1750"/>
      <c r="H57" s="1750"/>
      <c r="I57" s="1751"/>
      <c r="J57" s="805">
        <v>1</v>
      </c>
      <c r="K57" s="806" t="s">
        <v>140</v>
      </c>
      <c r="L57" s="807" t="s">
        <v>380</v>
      </c>
      <c r="M57" s="808" t="s">
        <v>380</v>
      </c>
    </row>
    <row r="58" spans="1:13" s="802" customFormat="1" ht="18.75" hidden="1" customHeight="1">
      <c r="A58" s="803">
        <f t="shared" si="0"/>
        <v>32</v>
      </c>
      <c r="B58" s="1360" t="s">
        <v>132</v>
      </c>
      <c r="C58" s="1750"/>
      <c r="D58" s="804"/>
      <c r="E58" s="1750"/>
      <c r="F58" s="1750"/>
      <c r="G58" s="1750"/>
      <c r="H58" s="1750"/>
      <c r="I58" s="1751"/>
      <c r="J58" s="805">
        <v>1</v>
      </c>
      <c r="K58" s="806" t="s">
        <v>140</v>
      </c>
      <c r="L58" s="807" t="s">
        <v>380</v>
      </c>
      <c r="M58" s="808" t="s">
        <v>380</v>
      </c>
    </row>
    <row r="59" spans="1:13" s="802" customFormat="1" ht="18.75" customHeight="1">
      <c r="A59" s="803">
        <f>A42+1</f>
        <v>17</v>
      </c>
      <c r="B59" s="1360" t="s">
        <v>369</v>
      </c>
      <c r="C59" s="1750"/>
      <c r="D59" s="804"/>
      <c r="E59" s="1750"/>
      <c r="F59" s="1750"/>
      <c r="G59" s="1750"/>
      <c r="H59" s="1750"/>
      <c r="I59" s="1751"/>
      <c r="J59" s="805">
        <v>1</v>
      </c>
      <c r="K59" s="806" t="s">
        <v>47</v>
      </c>
      <c r="L59" s="807" t="s">
        <v>381</v>
      </c>
      <c r="M59" s="808" t="s">
        <v>381</v>
      </c>
    </row>
    <row r="60" spans="1:13" s="802" customFormat="1" ht="18.75" hidden="1" customHeight="1">
      <c r="A60" s="803">
        <f t="shared" si="0"/>
        <v>18</v>
      </c>
      <c r="B60" s="1360" t="s">
        <v>370</v>
      </c>
      <c r="C60" s="1750"/>
      <c r="D60" s="804"/>
      <c r="E60" s="1750"/>
      <c r="F60" s="1750"/>
      <c r="G60" s="1750"/>
      <c r="H60" s="1750"/>
      <c r="I60" s="1751"/>
      <c r="J60" s="805">
        <v>1</v>
      </c>
      <c r="K60" s="806" t="s">
        <v>47</v>
      </c>
      <c r="L60" s="807" t="s">
        <v>380</v>
      </c>
      <c r="M60" s="808" t="s">
        <v>380</v>
      </c>
    </row>
    <row r="61" spans="1:13" s="802" customFormat="1" ht="18.75" hidden="1" customHeight="1">
      <c r="A61" s="803">
        <f t="shared" si="0"/>
        <v>19</v>
      </c>
      <c r="B61" s="1360" t="s">
        <v>133</v>
      </c>
      <c r="C61" s="1750"/>
      <c r="D61" s="804"/>
      <c r="E61" s="1750"/>
      <c r="F61" s="1750"/>
      <c r="G61" s="1750"/>
      <c r="H61" s="1750"/>
      <c r="I61" s="1751"/>
      <c r="J61" s="805">
        <v>1</v>
      </c>
      <c r="K61" s="806" t="s">
        <v>140</v>
      </c>
      <c r="L61" s="807" t="s">
        <v>380</v>
      </c>
      <c r="M61" s="808" t="s">
        <v>380</v>
      </c>
    </row>
    <row r="62" spans="1:13" s="802" customFormat="1" ht="18.75" hidden="1" customHeight="1">
      <c r="A62" s="803">
        <f t="shared" si="0"/>
        <v>20</v>
      </c>
      <c r="B62" s="1360" t="s">
        <v>134</v>
      </c>
      <c r="C62" s="1750"/>
      <c r="D62" s="804"/>
      <c r="E62" s="1750"/>
      <c r="F62" s="1750"/>
      <c r="G62" s="1750"/>
      <c r="H62" s="1750"/>
      <c r="I62" s="1751"/>
      <c r="J62" s="805">
        <v>1</v>
      </c>
      <c r="K62" s="806" t="s">
        <v>140</v>
      </c>
      <c r="L62" s="807" t="s">
        <v>380</v>
      </c>
      <c r="M62" s="808" t="s">
        <v>380</v>
      </c>
    </row>
    <row r="63" spans="1:13" s="802" customFormat="1" ht="18.75" hidden="1" customHeight="1">
      <c r="A63" s="803">
        <f t="shared" si="0"/>
        <v>21</v>
      </c>
      <c r="B63" s="1360" t="s">
        <v>135</v>
      </c>
      <c r="C63" s="1750"/>
      <c r="D63" s="804"/>
      <c r="E63" s="1750"/>
      <c r="F63" s="1750"/>
      <c r="G63" s="1750"/>
      <c r="H63" s="1750"/>
      <c r="I63" s="1751"/>
      <c r="J63" s="805">
        <v>1</v>
      </c>
      <c r="K63" s="806" t="s">
        <v>140</v>
      </c>
      <c r="L63" s="807" t="s">
        <v>380</v>
      </c>
      <c r="M63" s="808" t="s">
        <v>380</v>
      </c>
    </row>
    <row r="64" spans="1:13" s="802" customFormat="1" ht="18.75" hidden="1" customHeight="1">
      <c r="A64" s="803">
        <f t="shared" si="0"/>
        <v>22</v>
      </c>
      <c r="B64" s="1360" t="s">
        <v>136</v>
      </c>
      <c r="C64" s="1750"/>
      <c r="D64" s="804"/>
      <c r="E64" s="1750"/>
      <c r="F64" s="1750"/>
      <c r="G64" s="1750"/>
      <c r="H64" s="1750"/>
      <c r="I64" s="1751"/>
      <c r="J64" s="805">
        <v>1</v>
      </c>
      <c r="K64" s="806" t="s">
        <v>140</v>
      </c>
      <c r="L64" s="807" t="s">
        <v>380</v>
      </c>
      <c r="M64" s="808" t="s">
        <v>380</v>
      </c>
    </row>
    <row r="65" spans="1:13" s="802" customFormat="1" ht="18.75" hidden="1" customHeight="1">
      <c r="A65" s="803">
        <f t="shared" si="0"/>
        <v>23</v>
      </c>
      <c r="B65" s="1360" t="s">
        <v>137</v>
      </c>
      <c r="C65" s="1750"/>
      <c r="D65" s="804"/>
      <c r="E65" s="1750"/>
      <c r="F65" s="1750"/>
      <c r="G65" s="1750"/>
      <c r="H65" s="1750"/>
      <c r="I65" s="1751"/>
      <c r="J65" s="805">
        <v>1</v>
      </c>
      <c r="K65" s="806" t="s">
        <v>140</v>
      </c>
      <c r="L65" s="807" t="s">
        <v>380</v>
      </c>
      <c r="M65" s="808" t="s">
        <v>380</v>
      </c>
    </row>
    <row r="66" spans="1:13" s="802" customFormat="1" ht="18.75" customHeight="1">
      <c r="A66" s="803">
        <f>A59+1</f>
        <v>18</v>
      </c>
      <c r="B66" s="1360" t="s">
        <v>371</v>
      </c>
      <c r="C66" s="1750"/>
      <c r="D66" s="804"/>
      <c r="E66" s="1750"/>
      <c r="F66" s="1750"/>
      <c r="G66" s="1750"/>
      <c r="H66" s="1750"/>
      <c r="I66" s="1751"/>
      <c r="J66" s="805">
        <v>1</v>
      </c>
      <c r="K66" s="806" t="s">
        <v>382</v>
      </c>
      <c r="L66" s="807" t="s">
        <v>380</v>
      </c>
      <c r="M66" s="808" t="s">
        <v>381</v>
      </c>
    </row>
    <row r="67" spans="1:13" s="802" customFormat="1" ht="18.75" customHeight="1">
      <c r="A67" s="803">
        <f t="shared" si="0"/>
        <v>19</v>
      </c>
      <c r="B67" s="1360" t="s">
        <v>372</v>
      </c>
      <c r="C67" s="1750"/>
      <c r="D67" s="804"/>
      <c r="E67" s="1750"/>
      <c r="F67" s="1750"/>
      <c r="G67" s="1750"/>
      <c r="H67" s="1750"/>
      <c r="I67" s="1751"/>
      <c r="J67" s="805">
        <v>1</v>
      </c>
      <c r="K67" s="806" t="s">
        <v>47</v>
      </c>
      <c r="L67" s="807" t="s">
        <v>381</v>
      </c>
      <c r="M67" s="808" t="s">
        <v>381</v>
      </c>
    </row>
    <row r="68" spans="1:13" s="802" customFormat="1" ht="18.75" customHeight="1">
      <c r="A68" s="803">
        <f t="shared" si="0"/>
        <v>20</v>
      </c>
      <c r="B68" s="1360" t="s">
        <v>373</v>
      </c>
      <c r="C68" s="1750"/>
      <c r="D68" s="804"/>
      <c r="E68" s="1750"/>
      <c r="F68" s="1750"/>
      <c r="G68" s="1750"/>
      <c r="H68" s="1750"/>
      <c r="I68" s="1751"/>
      <c r="J68" s="805">
        <v>1</v>
      </c>
      <c r="K68" s="806" t="s">
        <v>47</v>
      </c>
      <c r="L68" s="807" t="s">
        <v>381</v>
      </c>
      <c r="M68" s="808" t="s">
        <v>381</v>
      </c>
    </row>
    <row r="69" spans="1:13" s="802" customFormat="1" ht="18.75" customHeight="1">
      <c r="A69" s="803">
        <f t="shared" si="0"/>
        <v>21</v>
      </c>
      <c r="B69" s="1360" t="s">
        <v>374</v>
      </c>
      <c r="C69" s="1750"/>
      <c r="D69" s="804"/>
      <c r="E69" s="1750"/>
      <c r="F69" s="1750"/>
      <c r="G69" s="1750"/>
      <c r="H69" s="1750"/>
      <c r="I69" s="1751"/>
      <c r="J69" s="805">
        <v>1</v>
      </c>
      <c r="K69" s="806" t="s">
        <v>47</v>
      </c>
      <c r="L69" s="807" t="s">
        <v>380</v>
      </c>
      <c r="M69" s="808" t="s">
        <v>381</v>
      </c>
    </row>
    <row r="70" spans="1:13" s="802" customFormat="1" ht="18.75" customHeight="1">
      <c r="A70" s="803">
        <f t="shared" si="0"/>
        <v>22</v>
      </c>
      <c r="B70" s="1360" t="s">
        <v>375</v>
      </c>
      <c r="C70" s="1750"/>
      <c r="D70" s="804"/>
      <c r="E70" s="1750"/>
      <c r="F70" s="1750"/>
      <c r="G70" s="1750"/>
      <c r="H70" s="1750"/>
      <c r="I70" s="1751"/>
      <c r="J70" s="805">
        <v>1</v>
      </c>
      <c r="K70" s="806" t="s">
        <v>47</v>
      </c>
      <c r="L70" s="807" t="s">
        <v>380</v>
      </c>
      <c r="M70" s="808" t="s">
        <v>381</v>
      </c>
    </row>
    <row r="71" spans="1:13" s="802" customFormat="1" ht="18.75" customHeight="1" thickBot="1">
      <c r="A71" s="820">
        <f>A70+1</f>
        <v>23</v>
      </c>
      <c r="B71" s="1363" t="s">
        <v>376</v>
      </c>
      <c r="C71" s="1752"/>
      <c r="D71" s="1752"/>
      <c r="E71" s="1752"/>
      <c r="F71" s="1752"/>
      <c r="G71" s="1752"/>
      <c r="H71" s="1752"/>
      <c r="I71" s="1753"/>
      <c r="J71" s="809">
        <v>1</v>
      </c>
      <c r="K71" s="810" t="s">
        <v>46</v>
      </c>
      <c r="L71" s="821" t="s">
        <v>380</v>
      </c>
      <c r="M71" s="822" t="s">
        <v>380</v>
      </c>
    </row>
    <row r="73" spans="1:13" s="802" customFormat="1" hidden="1">
      <c r="A73" s="811"/>
      <c r="B73" s="812"/>
      <c r="C73" s="812"/>
      <c r="D73" s="812"/>
      <c r="E73" s="812"/>
      <c r="F73" s="812"/>
      <c r="G73" s="813"/>
      <c r="H73" s="796"/>
      <c r="I73" s="814" t="s">
        <v>31</v>
      </c>
      <c r="J73" s="815">
        <f>SUM(J7:J71)</f>
        <v>73</v>
      </c>
      <c r="K73" s="812"/>
      <c r="L73" s="798">
        <f>SUMIF(L7:L71,"SÍ",$J7:$J71)</f>
        <v>0</v>
      </c>
      <c r="M73" s="816">
        <f ca="1">SUMIF(M7:M71,"SÍ",$J7:$J71)</f>
        <v>0</v>
      </c>
    </row>
    <row r="74" spans="1:13" s="802" customFormat="1" ht="18.75" hidden="1" thickBot="1">
      <c r="A74" s="811"/>
      <c r="B74" s="812"/>
      <c r="C74" s="812"/>
      <c r="D74" s="812"/>
      <c r="E74" s="812"/>
      <c r="F74" s="812"/>
      <c r="G74" s="817"/>
      <c r="H74" s="818"/>
      <c r="I74" s="819" t="s">
        <v>108</v>
      </c>
      <c r="J74" s="820">
        <f>COUNT(J7:J71)</f>
        <v>65</v>
      </c>
      <c r="K74" s="812"/>
      <c r="L74" s="821" t="s">
        <v>56</v>
      </c>
      <c r="M74" s="822" t="s">
        <v>56</v>
      </c>
    </row>
    <row r="81" spans="1:13" s="727" customFormat="1" ht="15">
      <c r="A81" s="788">
        <v>15</v>
      </c>
      <c r="B81" s="1364" t="s">
        <v>30</v>
      </c>
      <c r="C81" s="789"/>
      <c r="D81" s="790"/>
      <c r="E81" s="789"/>
      <c r="F81" s="789"/>
      <c r="G81" s="789"/>
      <c r="H81" s="789"/>
      <c r="I81" s="789"/>
      <c r="J81" s="788">
        <v>1</v>
      </c>
      <c r="K81" s="791" t="s">
        <v>47</v>
      </c>
      <c r="L81" s="792" t="s">
        <v>55</v>
      </c>
      <c r="M81" s="792" t="s">
        <v>55</v>
      </c>
    </row>
    <row r="82" spans="1:13" s="727" customFormat="1" ht="15">
      <c r="A82" s="788">
        <v>16</v>
      </c>
      <c r="B82" s="1364" t="s">
        <v>1135</v>
      </c>
      <c r="C82" s="789"/>
      <c r="D82" s="790"/>
      <c r="E82" s="789"/>
      <c r="F82" s="789"/>
      <c r="G82" s="789"/>
      <c r="H82" s="789"/>
      <c r="I82" s="789"/>
      <c r="J82" s="788">
        <v>1</v>
      </c>
      <c r="K82" s="791" t="s">
        <v>47</v>
      </c>
      <c r="L82" s="792" t="s">
        <v>54</v>
      </c>
      <c r="M82" s="792" t="s">
        <v>55</v>
      </c>
    </row>
    <row r="83" spans="1:13" s="727" customFormat="1" ht="15">
      <c r="A83" s="788">
        <v>17</v>
      </c>
      <c r="B83" s="1364" t="s">
        <v>1136</v>
      </c>
      <c r="C83" s="789"/>
      <c r="D83" s="790"/>
      <c r="E83" s="789"/>
      <c r="F83" s="789"/>
      <c r="G83" s="789"/>
      <c r="H83" s="789"/>
      <c r="I83" s="789"/>
      <c r="J83" s="788">
        <v>1</v>
      </c>
      <c r="K83" s="791" t="s">
        <v>47</v>
      </c>
      <c r="L83" s="792" t="s">
        <v>54</v>
      </c>
      <c r="M83" s="792" t="s">
        <v>55</v>
      </c>
    </row>
    <row r="84" spans="1:13" s="727" customFormat="1" ht="15">
      <c r="A84" s="788">
        <v>18</v>
      </c>
      <c r="B84" s="1364" t="s">
        <v>1137</v>
      </c>
      <c r="C84" s="789"/>
      <c r="D84" s="790"/>
      <c r="E84" s="789"/>
      <c r="F84" s="789"/>
      <c r="G84" s="789"/>
      <c r="H84" s="789"/>
      <c r="I84" s="789"/>
      <c r="J84" s="788">
        <v>1</v>
      </c>
      <c r="K84" s="791" t="s">
        <v>47</v>
      </c>
      <c r="L84" s="792" t="s">
        <v>54</v>
      </c>
      <c r="M84" s="792" t="s">
        <v>55</v>
      </c>
    </row>
  </sheetData>
  <sheetProtection sheet="1" objects="1" scenarios="1"/>
  <phoneticPr fontId="4" type="noConversion"/>
  <hyperlinks>
    <hyperlink ref="B9" location="'Datos Básicos'!A1" display="'Datos Básicos'!A1" xr:uid="{00000000-0004-0000-0000-000000000000}"/>
    <hyperlink ref="B16" location="'Financiación Inicial'!A1" display="'Financiación Inicial'!A1" xr:uid="{00000000-0004-0000-0000-000001000000}"/>
    <hyperlink ref="B17" location="Préstamos!A1" display="Préstamos" xr:uid="{00000000-0004-0000-0000-000002000000}"/>
    <hyperlink ref="B81" location="'Bal. Inicial Previo'!A1" display="'Bal. Inicial Previo'!A1" xr:uid="{00000000-0004-0000-0000-000003000000}"/>
    <hyperlink ref="B82" location="'Bal. Año 0'!A1" display="'Bal. Año 0'!A1" xr:uid="{00000000-0004-0000-0000-000004000000}"/>
    <hyperlink ref="B83" location="'Bal. Año 1'!A1" display="'Bal. Año 1'!A1" xr:uid="{00000000-0004-0000-0000-000005000000}"/>
    <hyperlink ref="B84" location="'Bal. Año 2'!A1" display="'Bal. Año 2'!A1" xr:uid="{00000000-0004-0000-0000-000006000000}"/>
    <hyperlink ref="B28" location="'Balances anuales'!A1" display="Balances Anuales" xr:uid="{00000000-0004-0000-0000-000007000000}"/>
    <hyperlink ref="B24" location="'Precios-CV'!A1" display="Precios de Venta y Coste por familias" xr:uid="{00000000-0004-0000-0000-000008000000}"/>
    <hyperlink ref="B25" location="'Estimaciones Ventas'!A1" display="Estimaciones de Ventas: Datos" xr:uid="{00000000-0004-0000-0000-000009000000}"/>
    <hyperlink ref="B40" location="'PPyGG anuales'!A1" display="Cuentas de Resultados: Comparativa" xr:uid="{00000000-0004-0000-0000-00000A000000}"/>
    <hyperlink ref="B21" location="RR.HH.!A1" display="Recursos Humanos (RR.HH.)" xr:uid="{00000000-0004-0000-0000-00000B000000}"/>
    <hyperlink ref="B68" location="'P. Equilibrio'!A1" display="'P. Equilibrio'!A1" xr:uid="{00000000-0004-0000-0000-00000C000000}"/>
    <hyperlink ref="B69" location="'Ratios Básicos'!A1" display="'Ratios Básicos'!A1" xr:uid="{00000000-0004-0000-0000-00000D000000}"/>
    <hyperlink ref="B71" location="'Datos Evaluación'!A1" display="'Datos Evaluación'!A1" xr:uid="{00000000-0004-0000-0000-00000E000000}"/>
    <hyperlink ref="B23" location="'Gastos Fijos Datos'!A1" display="Gastos Fijos Datos" xr:uid="{00000000-0004-0000-0000-00000F000000}"/>
    <hyperlink ref="B8" location="'Condiciones de Uso'!A1" display="'Condiciones de Uso'!A1" xr:uid="{00000000-0004-0000-0000-000010000000}"/>
    <hyperlink ref="B66" location="Amortizaciones!A1" display="Amortizaciones!A1" xr:uid="{00000000-0004-0000-0000-000011000000}"/>
    <hyperlink ref="B10" location="Parametros!A5" display="Parámetros" xr:uid="{00000000-0004-0000-0000-000012000000}"/>
    <hyperlink ref="B34" location="'Resumen Ventas 5 años'!Área_de_impresión" display="Ventas Anuales: resúmen" xr:uid="{00000000-0004-0000-0000-000013000000}"/>
    <hyperlink ref="B59" location="'Resumen Gastos Fijos'!A1" display="Gastos Fijos Anuales: Resumen" xr:uid="{00000000-0004-0000-0000-000014000000}"/>
    <hyperlink ref="B60" location="'Gastos Financieros'!A1" display="Ingresos y Gastos Financieros" xr:uid="{00000000-0004-0000-0000-000015000000}"/>
    <hyperlink ref="B67" location="'Resumen Tesorerias'!A1" display="Tesoerías Mensuales: Resúmen" xr:uid="{00000000-0004-0000-0000-000016000000}"/>
    <hyperlink ref="B14" location="'Gastos Iniciales'!A1" display="Gastos Iniciales" xr:uid="{00000000-0004-0000-0000-000017000000}"/>
    <hyperlink ref="B11" location="'Inv. Iniciales ANC'!A1" display="Inversiones Iniciales AF" xr:uid="{00000000-0004-0000-0000-000018000000}"/>
    <hyperlink ref="B12" location="'Inv. Adicionales ANC'!A1" display="Inversiones Adicionales ANC" xr:uid="{00000000-0004-0000-0000-000019000000}"/>
    <hyperlink ref="B13" location="'Inversiones AC'!A1" display="Inversiones AC" xr:uid="{00000000-0004-0000-0000-00001A000000}"/>
    <hyperlink ref="B15" location="Financiación!A1" display="Financiación" xr:uid="{00000000-0004-0000-0000-00001B000000}"/>
    <hyperlink ref="B22" location="Plantilla!A1" display="Plantilla por meses" xr:uid="{00000000-0004-0000-0000-00001C000000}"/>
    <hyperlink ref="B18" location="Leasing!A1" display="Leasing" xr:uid="{00000000-0004-0000-0000-00001D000000}"/>
    <hyperlink ref="B19" location="Renting!A1" display="Renting" xr:uid="{00000000-0004-0000-0000-00001E000000}"/>
    <hyperlink ref="B70" location="'Valoración Empresa'!A1" display="Valoración de la empresa." xr:uid="{00000000-0004-0000-0000-00001F000000}"/>
    <hyperlink ref="B42" location="'IRPF Prof y Autónomos'!A1" display="I.R.P.F. De Profesionales y Autónomos" xr:uid="{00000000-0004-0000-0000-000020000000}"/>
    <hyperlink ref="B41" location="Imp.Sociedades!A1" display="Impuesto de sociedades" xr:uid="{00000000-0004-0000-0000-000021000000}"/>
  </hyperlinks>
  <pageMargins left="1" right="0.61" top="0.78740157480314965" bottom="0.39370078740157483" header="0" footer="0.19685039370078741"/>
  <pageSetup paperSize="9" orientation="portrait" horizontalDpi="300" verticalDpi="300" r:id="rId1"/>
  <headerFooter alignWithMargins="0">
    <oddFooter>&amp;C&amp;"Tahoma,Normal"&amp;10&amp;A</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pageSetUpPr fitToPage="1"/>
  </sheetPr>
  <dimension ref="A1:J84"/>
  <sheetViews>
    <sheetView workbookViewId="0"/>
  </sheetViews>
  <sheetFormatPr baseColWidth="10" defaultColWidth="11" defaultRowHeight="15"/>
  <cols>
    <col min="1" max="1" width="37.375" style="21" customWidth="1"/>
    <col min="2" max="2" width="22.375" style="21" customWidth="1"/>
    <col min="3" max="3" width="20.875" style="168" customWidth="1"/>
    <col min="4" max="8" width="20.875" style="21" customWidth="1"/>
    <col min="9" max="9" width="17.625" style="21" customWidth="1"/>
    <col min="10" max="10" width="16" style="21" customWidth="1"/>
    <col min="11" max="16384" width="11" style="21"/>
  </cols>
  <sheetData>
    <row r="1" spans="1:10" ht="30">
      <c r="A1" s="671" t="s">
        <v>530</v>
      </c>
      <c r="B1" s="671"/>
    </row>
    <row r="2" spans="1:10" ht="25.5">
      <c r="A2" s="572" t="str">
        <f>'Dados Básicos'!B9</f>
        <v>WWW, S.L.</v>
      </c>
      <c r="B2" s="572"/>
    </row>
    <row r="3" spans="1:10" ht="26.25" thickBot="1">
      <c r="A3" s="18"/>
      <c r="B3" s="18"/>
    </row>
    <row r="4" spans="1:10" ht="36" customHeight="1" thickBot="1">
      <c r="A4" s="2269" t="s">
        <v>531</v>
      </c>
      <c r="B4" s="2332"/>
      <c r="C4" s="2270"/>
      <c r="D4" s="2207"/>
      <c r="E4" s="2208"/>
      <c r="F4" s="2209"/>
      <c r="G4" s="2210"/>
      <c r="H4" s="2211"/>
    </row>
    <row r="5" spans="1:10" ht="36" customHeight="1">
      <c r="A5" s="2271"/>
      <c r="B5" s="2333"/>
      <c r="C5" s="2223"/>
      <c r="D5" s="1398" t="str">
        <f>CONCATENATE("Inicial  ",Parametros!B77)</f>
        <v>Inicial  Ano 0:  2026</v>
      </c>
      <c r="E5" s="1398" t="str">
        <f t="array" ref="E5:H5">Parametros!C77:F77</f>
        <v>Ano 1:  2027</v>
      </c>
      <c r="F5" s="1398" t="str">
        <v>Ano 2:  2028</v>
      </c>
      <c r="G5" s="1398" t="str">
        <v>Ano 3:  2029</v>
      </c>
      <c r="H5" s="1398" t="str">
        <v>Ano 4:  2030</v>
      </c>
    </row>
    <row r="6" spans="1:10" s="35" customFormat="1" ht="25.5" customHeight="1">
      <c r="A6" s="2181" t="s">
        <v>532</v>
      </c>
      <c r="B6" s="2334"/>
      <c r="C6" s="831"/>
      <c r="D6" s="1396">
        <f>Amortiçações!B19-Amortiçações!C19+'Despesas Iniciais'!B26</f>
        <v>0</v>
      </c>
      <c r="E6" s="1397">
        <f t="array" ref="E6:H6">Amortiçações!E19:H19</f>
        <v>0</v>
      </c>
      <c r="F6" s="1396">
        <v>0</v>
      </c>
      <c r="G6" s="1397">
        <v>0</v>
      </c>
      <c r="H6" s="1396">
        <v>0</v>
      </c>
    </row>
    <row r="7" spans="1:10" s="35" customFormat="1" ht="25.5" customHeight="1" thickBot="1">
      <c r="A7" s="2182" t="s">
        <v>533</v>
      </c>
      <c r="B7" s="2335"/>
      <c r="C7" s="1379"/>
      <c r="D7" s="837">
        <f t="array" aca="1" ref="D7:H7" ca="1">+'Investimentos AC'!B46:F46-'Investimentos AC'!B42:F42</f>
        <v>133.35</v>
      </c>
      <c r="E7" s="838">
        <f ca="1"/>
        <v>0</v>
      </c>
      <c r="F7" s="837">
        <f ca="1"/>
        <v>0</v>
      </c>
      <c r="G7" s="838">
        <f ca="1"/>
        <v>0</v>
      </c>
      <c r="H7" s="837">
        <f ca="1"/>
        <v>0</v>
      </c>
    </row>
    <row r="8" spans="1:10" s="35" customFormat="1" ht="12.75" customHeight="1" thickBot="1">
      <c r="A8" s="2203"/>
      <c r="B8" s="2336"/>
      <c r="C8" s="2204"/>
      <c r="D8" s="2205"/>
      <c r="E8" s="2205"/>
      <c r="F8" s="2205"/>
      <c r="G8" s="2205"/>
      <c r="H8" s="2206"/>
    </row>
    <row r="9" spans="1:10" ht="24" customHeight="1" thickBot="1">
      <c r="A9" s="468" t="s">
        <v>534</v>
      </c>
      <c r="B9" s="469"/>
      <c r="C9" s="2199"/>
      <c r="D9" s="2200">
        <f ca="1">SUM(D6:D7)</f>
        <v>133.35</v>
      </c>
      <c r="E9" s="2201">
        <f ca="1">SUM(E6:E7)</f>
        <v>0</v>
      </c>
      <c r="F9" s="2201">
        <f ca="1">SUM(F6:F7)</f>
        <v>0</v>
      </c>
      <c r="G9" s="2201">
        <f ca="1">SUM(G6:G7)</f>
        <v>0</v>
      </c>
      <c r="H9" s="2202">
        <f ca="1">SUM(H6:H7)</f>
        <v>0</v>
      </c>
    </row>
    <row r="10" spans="1:10">
      <c r="A10" s="685"/>
      <c r="B10" s="685"/>
      <c r="D10" s="684"/>
      <c r="E10" s="683"/>
      <c r="F10" s="683"/>
      <c r="G10" s="683"/>
      <c r="H10" s="683"/>
    </row>
    <row r="11" spans="1:10" ht="15" customHeight="1" thickBot="1">
      <c r="A11" s="685"/>
      <c r="B11" s="685"/>
      <c r="C11" s="1817">
        <f>+'Dados Básicos'!$B$25</f>
        <v>3000</v>
      </c>
      <c r="D11" s="1810" t="str">
        <f>IF(D14+D15+C14+C15&lt;C11,"ERROR: Capital mínimo "&amp;TEXT(C11,"#.##0 €"),"")</f>
        <v/>
      </c>
      <c r="E11" s="1809"/>
      <c r="F11" s="1809"/>
      <c r="G11" s="1809"/>
      <c r="H11" s="1809"/>
    </row>
    <row r="12" spans="1:10" ht="36" customHeight="1" thickBot="1">
      <c r="A12" s="2269" t="s">
        <v>535</v>
      </c>
      <c r="B12" s="2332"/>
      <c r="C12" s="2270"/>
      <c r="D12" s="2207"/>
      <c r="E12" s="2208"/>
      <c r="F12" s="2209"/>
      <c r="G12" s="2210"/>
      <c r="H12" s="2211"/>
    </row>
    <row r="13" spans="1:10" ht="36.75" customHeight="1">
      <c r="A13" s="2272"/>
      <c r="B13" s="2337"/>
      <c r="C13" s="1398" t="s">
        <v>536</v>
      </c>
      <c r="D13" s="1398" t="str">
        <f t="array" ref="D13:H13">D$5:H$5</f>
        <v>Inicial  Ano 0:  2026</v>
      </c>
      <c r="E13" s="1398" t="str">
        <v>Ano 1:  2027</v>
      </c>
      <c r="F13" s="1398" t="str">
        <v>Ano 2:  2028</v>
      </c>
      <c r="G13" s="1398" t="str">
        <v>Ano 3:  2029</v>
      </c>
      <c r="H13" s="1398" t="str">
        <v>Ano 4:  2030</v>
      </c>
    </row>
    <row r="14" spans="1:10" s="35" customFormat="1" ht="21.75" customHeight="1">
      <c r="A14" s="539" t="str">
        <f>'Balanços anuais'!$A$27&amp;" e ampliações de "&amp;'Balanços anuais'!$A$27&amp;" (aport. dinerarias)"</f>
        <v>Capital e ampliações de Capital (aport. dinerarias)</v>
      </c>
      <c r="B14" s="2338"/>
      <c r="C14" s="893">
        <f>'Bal. Inicial Previo'!H10</f>
        <v>0</v>
      </c>
      <c r="D14" s="2068">
        <v>3000</v>
      </c>
      <c r="E14" s="2068">
        <v>0</v>
      </c>
      <c r="F14" s="2068">
        <v>0</v>
      </c>
      <c r="G14" s="2068">
        <v>0</v>
      </c>
      <c r="H14" s="2212">
        <v>0</v>
      </c>
      <c r="I14" s="21"/>
      <c r="J14" s="21"/>
    </row>
    <row r="15" spans="1:10" s="35" customFormat="1" ht="21.75" customHeight="1">
      <c r="A15" s="545" t="str">
        <f>'Balanços anuais'!$A$27&amp;" e ampliações de "&amp;'Balanços anuais'!$A$27&amp;" (aport. em especie)"</f>
        <v>Capital e ampliações de Capital (aport. em especie)</v>
      </c>
      <c r="B15" s="2339"/>
      <c r="C15" s="715">
        <v>0</v>
      </c>
      <c r="D15" s="715">
        <f>SUM('Inv. Iniciais ANC'!I63,'Inv. Iniciais ANC'!I55,'Inv. Iniciais ANC'!I50,'Inv. Iniciais ANC'!I43,'Inv. Iniciais ANC'!I37,'Inv. Iniciais ANC'!I31,'Inv. Iniciais ANC'!I26,'Inv. Iniciais ANC'!I20,'Inv. Iniciais ANC'!I10)+SUM('Investimentos AC'!D12:D14)</f>
        <v>0</v>
      </c>
      <c r="E15" s="716">
        <v>0</v>
      </c>
      <c r="F15" s="715">
        <v>0</v>
      </c>
      <c r="G15" s="715">
        <v>0</v>
      </c>
      <c r="H15" s="2213">
        <v>0</v>
      </c>
      <c r="J15" s="21"/>
    </row>
    <row r="16" spans="1:10" s="35" customFormat="1" ht="9.75" customHeight="1">
      <c r="A16" s="2214"/>
      <c r="B16" s="2340"/>
      <c r="C16" s="745"/>
      <c r="D16" s="745"/>
      <c r="E16" s="892"/>
      <c r="F16" s="745"/>
      <c r="G16" s="745"/>
      <c r="H16" s="2215"/>
    </row>
    <row r="17" spans="1:9" s="35" customFormat="1" ht="21.75" customHeight="1">
      <c r="A17" s="545" t="s">
        <v>537</v>
      </c>
      <c r="B17" s="2339"/>
      <c r="C17" s="715">
        <f>+'Bal. Inicial Previo'!H21+'Bal. Inicial Previo'!H13</f>
        <v>0</v>
      </c>
      <c r="D17" s="2420">
        <v>0</v>
      </c>
      <c r="E17" s="2420">
        <v>0</v>
      </c>
      <c r="F17" s="2420">
        <v>0</v>
      </c>
      <c r="G17" s="2420">
        <v>0</v>
      </c>
      <c r="H17" s="2449">
        <v>0</v>
      </c>
    </row>
    <row r="18" spans="1:9" s="35" customFormat="1" ht="10.5" customHeight="1">
      <c r="A18" s="545"/>
      <c r="B18" s="2339"/>
      <c r="C18" s="893"/>
      <c r="D18" s="893"/>
      <c r="E18" s="894"/>
      <c r="F18" s="893"/>
      <c r="G18" s="893"/>
      <c r="H18" s="2217"/>
    </row>
    <row r="19" spans="1:9" s="35" customFormat="1" ht="21.75" customHeight="1">
      <c r="A19" s="545" t="s">
        <v>538</v>
      </c>
      <c r="B19" s="2339"/>
      <c r="C19" s="715">
        <f>+'Bal. Inicial Previo'!H14</f>
        <v>0</v>
      </c>
      <c r="D19" s="2068">
        <v>0</v>
      </c>
      <c r="E19" s="2068">
        <v>0</v>
      </c>
      <c r="F19" s="2068">
        <v>0</v>
      </c>
      <c r="G19" s="2068">
        <v>0</v>
      </c>
      <c r="H19" s="2068">
        <v>0</v>
      </c>
    </row>
    <row r="20" spans="1:9" s="35" customFormat="1" ht="10.5" customHeight="1">
      <c r="A20" s="2214"/>
      <c r="B20" s="2340"/>
      <c r="C20" s="715"/>
      <c r="D20" s="715"/>
      <c r="E20" s="716"/>
      <c r="F20" s="715"/>
      <c r="G20" s="715"/>
      <c r="H20" s="2213"/>
    </row>
    <row r="21" spans="1:9" ht="21.75" customHeight="1">
      <c r="A21" s="2214" t="s">
        <v>539</v>
      </c>
      <c r="B21" s="2340"/>
      <c r="C21" s="715">
        <f>+B31</f>
        <v>0</v>
      </c>
      <c r="D21" s="715">
        <f>+SUM(C31:D31)</f>
        <v>0</v>
      </c>
      <c r="E21" s="716">
        <f t="array" ref="E21:H21">E31:H31</f>
        <v>0</v>
      </c>
      <c r="F21" s="715">
        <v>0</v>
      </c>
      <c r="G21" s="715">
        <v>0</v>
      </c>
      <c r="H21" s="2213">
        <v>0</v>
      </c>
      <c r="I21" s="35"/>
    </row>
    <row r="22" spans="1:9" ht="10.5" customHeight="1">
      <c r="A22" s="2214"/>
      <c r="B22" s="2340"/>
      <c r="C22" s="715"/>
      <c r="D22" s="715"/>
      <c r="E22" s="716"/>
      <c r="F22" s="715"/>
      <c r="G22" s="715"/>
      <c r="H22" s="2213"/>
      <c r="I22" s="35"/>
    </row>
    <row r="23" spans="1:9" ht="21.75" customHeight="1" thickBot="1">
      <c r="A23" s="2218" t="s">
        <v>540</v>
      </c>
      <c r="B23" s="2341"/>
      <c r="C23" s="824">
        <f>+B57</f>
        <v>0</v>
      </c>
      <c r="D23" s="824">
        <f>C57+D57</f>
        <v>0</v>
      </c>
      <c r="E23" s="1755">
        <f t="array" ref="E23:H23">E57:H57</f>
        <v>0</v>
      </c>
      <c r="F23" s="824">
        <v>0</v>
      </c>
      <c r="G23" s="824">
        <v>0</v>
      </c>
      <c r="H23" s="2219">
        <v>0</v>
      </c>
      <c r="I23" s="35"/>
    </row>
    <row r="24" spans="1:9" ht="15.75" thickBot="1">
      <c r="A24" s="2222"/>
      <c r="B24" s="2224"/>
      <c r="C24" s="2223"/>
      <c r="D24" s="2223"/>
      <c r="E24" s="2224"/>
      <c r="F24" s="2224"/>
      <c r="G24" s="2224"/>
      <c r="H24" s="2225"/>
    </row>
    <row r="25" spans="1:9" ht="24" customHeight="1" thickBot="1">
      <c r="A25" s="2220" t="s">
        <v>541</v>
      </c>
      <c r="B25" s="2342"/>
      <c r="C25" s="2221">
        <f t="shared" ref="C25:H25" si="0">SUM(C14:C23)</f>
        <v>0</v>
      </c>
      <c r="D25" s="2221">
        <f t="shared" si="0"/>
        <v>3000</v>
      </c>
      <c r="E25" s="2221">
        <f t="shared" si="0"/>
        <v>0</v>
      </c>
      <c r="F25" s="2221">
        <f t="shared" si="0"/>
        <v>0</v>
      </c>
      <c r="G25" s="2221">
        <f t="shared" si="0"/>
        <v>0</v>
      </c>
      <c r="H25" s="2221">
        <f t="shared" si="0"/>
        <v>0</v>
      </c>
    </row>
    <row r="26" spans="1:9">
      <c r="D26" s="168"/>
    </row>
    <row r="27" spans="1:9" ht="24" customHeight="1">
      <c r="A27" s="1550" t="s">
        <v>955</v>
      </c>
      <c r="B27" s="1550"/>
      <c r="C27" s="1551"/>
      <c r="D27" s="1327">
        <f ca="1">'Investimentos AC'!I26-tesoreriasec+Finançamento!D49</f>
        <v>1201.6500000000001</v>
      </c>
      <c r="E27" s="1327">
        <f ca="1">-'Tesorería 1'!$C$39</f>
        <v>-15126.963843636366</v>
      </c>
      <c r="F27" s="1327">
        <f ca="1">-'Tesorería 2'!$C$39</f>
        <v>-23005.309287336371</v>
      </c>
      <c r="G27" s="1327">
        <f ca="1">-'Tesorería 3'!$C$39</f>
        <v>-30873.669101798463</v>
      </c>
      <c r="H27" s="1327">
        <f ca="1">-'Tesorería 4'!$C$39</f>
        <v>-38711.768984771967</v>
      </c>
      <c r="I27" s="1383">
        <f ca="1">MIN(D27:H27)-tesoreriasec*0</f>
        <v>-38711.768984771967</v>
      </c>
    </row>
    <row r="28" spans="1:9" ht="25.5" customHeight="1" thickBot="1">
      <c r="C28" s="2002" t="s">
        <v>1141</v>
      </c>
      <c r="D28" s="1327">
        <f ca="1">-'Tesorería 0'!$C$39</f>
        <v>-7289.1101818181842</v>
      </c>
      <c r="F28" s="1754" t="str">
        <f ca="1">IF(D27&lt;&gt;"","Tesouraria de segurança: "&amp;TEXT(tesoreriasec,"#.##0 €")&amp;" mínimo.","")</f>
        <v>Tesouraria de segurança: 1.000 € mínimo.</v>
      </c>
    </row>
    <row r="29" spans="1:9" s="35" customFormat="1" ht="32.25" customHeight="1" thickBot="1">
      <c r="A29" s="1399" t="s">
        <v>542</v>
      </c>
      <c r="B29" s="1399"/>
      <c r="C29" s="1400"/>
      <c r="D29" s="1400"/>
      <c r="E29" s="1400"/>
      <c r="F29" s="1400"/>
      <c r="G29" s="1400"/>
      <c r="H29" s="1400"/>
    </row>
    <row r="30" spans="1:9" s="35" customFormat="1" ht="33.75" customHeight="1" thickBot="1">
      <c r="A30" s="875"/>
      <c r="B30" s="682" t="str">
        <f>+$C$13</f>
        <v>Previo ao inicio
(Bal. Previo)</v>
      </c>
      <c r="C30" s="682" t="str">
        <f>CONCATENATE("Empréstimo 1  ",Parametros!B77)</f>
        <v>Empréstimo 1  Ano 0:  2026</v>
      </c>
      <c r="D30" s="1398" t="str">
        <f>SUBSTITUTE(C30,"mo 1","mo 2")</f>
        <v>Empréstimo 2  Ano 0:  2026</v>
      </c>
      <c r="E30" s="682" t="str">
        <f t="array" ref="E30:H30">E$13:H$13</f>
        <v>Ano 1:  2027</v>
      </c>
      <c r="F30" s="682" t="str">
        <v>Ano 2:  2028</v>
      </c>
      <c r="G30" s="682" t="str">
        <v>Ano 3:  2029</v>
      </c>
      <c r="H30" s="682" t="str">
        <v>Ano 4:  2030</v>
      </c>
    </row>
    <row r="31" spans="1:9" s="35" customFormat="1" ht="24.75" customHeight="1">
      <c r="A31" s="930" t="s">
        <v>35</v>
      </c>
      <c r="B31" s="2440">
        <f>+'Bal. Inicial Previo'!H39</f>
        <v>0</v>
      </c>
      <c r="C31" s="2070">
        <v>0</v>
      </c>
      <c r="D31" s="2070">
        <v>0</v>
      </c>
      <c r="E31" s="2071">
        <v>0</v>
      </c>
      <c r="F31" s="2071">
        <v>0</v>
      </c>
      <c r="G31" s="2071">
        <v>0</v>
      </c>
      <c r="H31" s="2071">
        <v>0</v>
      </c>
    </row>
    <row r="32" spans="1:9" s="35" customFormat="1" ht="20.25" customHeight="1">
      <c r="A32" s="876" t="s">
        <v>543</v>
      </c>
      <c r="B32" s="2347">
        <f>+'Bal. Inicial Previo'!H40</f>
        <v>0.08</v>
      </c>
      <c r="C32" s="2072">
        <v>7.0000000000000007E-2</v>
      </c>
      <c r="D32" s="2072">
        <v>4.4999999999999998E-2</v>
      </c>
      <c r="E32" s="2072">
        <f>D32</f>
        <v>4.4999999999999998E-2</v>
      </c>
      <c r="F32" s="2072">
        <v>0.05</v>
      </c>
      <c r="G32" s="2072">
        <f>F32</f>
        <v>0.05</v>
      </c>
      <c r="H32" s="2072">
        <f>G32</f>
        <v>0.05</v>
      </c>
    </row>
    <row r="33" spans="1:9" s="35" customFormat="1" ht="20.25" customHeight="1">
      <c r="A33" s="876" t="s">
        <v>544</v>
      </c>
      <c r="B33" s="2347">
        <v>0</v>
      </c>
      <c r="C33" s="2072">
        <v>5.0000000000000001E-3</v>
      </c>
      <c r="D33" s="2072">
        <v>5.0000000000000001E-3</v>
      </c>
      <c r="E33" s="2072">
        <f t="shared" ref="E33:H36" si="1">D33</f>
        <v>5.0000000000000001E-3</v>
      </c>
      <c r="F33" s="2072">
        <f t="shared" si="1"/>
        <v>5.0000000000000001E-3</v>
      </c>
      <c r="G33" s="2072">
        <f t="shared" si="1"/>
        <v>5.0000000000000001E-3</v>
      </c>
      <c r="H33" s="2072">
        <f t="shared" si="1"/>
        <v>5.0000000000000001E-3</v>
      </c>
    </row>
    <row r="34" spans="1:9" s="35" customFormat="1" ht="20.25" customHeight="1">
      <c r="A34" s="876" t="s">
        <v>545</v>
      </c>
      <c r="B34" s="2440">
        <f>+'Bal. Inicial Previo'!H41</f>
        <v>78</v>
      </c>
      <c r="C34" s="2073">
        <f>12*7</f>
        <v>84</v>
      </c>
      <c r="D34" s="2073">
        <v>20</v>
      </c>
      <c r="E34" s="2073">
        <v>120</v>
      </c>
      <c r="F34" s="2073">
        <f t="shared" si="1"/>
        <v>120</v>
      </c>
      <c r="G34" s="2073">
        <f t="shared" si="1"/>
        <v>120</v>
      </c>
      <c r="H34" s="2073">
        <f t="shared" si="1"/>
        <v>120</v>
      </c>
    </row>
    <row r="35" spans="1:9" s="35" customFormat="1" ht="20.25" customHeight="1">
      <c r="A35" s="876" t="s">
        <v>546</v>
      </c>
      <c r="B35" s="2440">
        <f>+'Bal. Inicial Previo'!H42</f>
        <v>4</v>
      </c>
      <c r="C35" s="2073">
        <v>12</v>
      </c>
      <c r="D35" s="2073">
        <v>12</v>
      </c>
      <c r="E35" s="2073">
        <f t="shared" si="1"/>
        <v>12</v>
      </c>
      <c r="F35" s="2073">
        <f t="shared" si="1"/>
        <v>12</v>
      </c>
      <c r="G35" s="2073">
        <f t="shared" si="1"/>
        <v>12</v>
      </c>
      <c r="H35" s="2073">
        <f t="shared" si="1"/>
        <v>12</v>
      </c>
    </row>
    <row r="36" spans="1:9" s="35" customFormat="1" ht="20.25" customHeight="1" thickBot="1">
      <c r="A36" s="931" t="s">
        <v>547</v>
      </c>
      <c r="B36" s="2348">
        <v>0</v>
      </c>
      <c r="C36" s="2069">
        <v>0</v>
      </c>
      <c r="D36" s="2069">
        <v>0</v>
      </c>
      <c r="E36" s="2069">
        <f t="shared" si="1"/>
        <v>0</v>
      </c>
      <c r="F36" s="2069">
        <v>0</v>
      </c>
      <c r="G36" s="2069">
        <f t="shared" si="1"/>
        <v>0</v>
      </c>
      <c r="H36" s="2069">
        <f t="shared" si="1"/>
        <v>0</v>
      </c>
    </row>
    <row r="37" spans="1:9" ht="15.75" thickBot="1">
      <c r="D37" s="168"/>
      <c r="I37" s="35"/>
    </row>
    <row r="38" spans="1:9" ht="20.25" customHeight="1">
      <c r="A38" s="930" t="s">
        <v>548</v>
      </c>
      <c r="B38" s="1326">
        <f t="array" ref="B38:H38">B34:H34/B35:H35</f>
        <v>19.5</v>
      </c>
      <c r="C38" s="1326">
        <v>7</v>
      </c>
      <c r="D38" s="1326">
        <v>1.6666666666666667</v>
      </c>
      <c r="E38" s="1325">
        <v>10</v>
      </c>
      <c r="F38" s="1326">
        <v>10</v>
      </c>
      <c r="G38" s="1325">
        <v>10</v>
      </c>
      <c r="H38" s="1326">
        <v>10</v>
      </c>
      <c r="I38" s="35"/>
    </row>
    <row r="39" spans="1:9" s="35" customFormat="1" ht="20.25" customHeight="1">
      <c r="A39" s="876" t="s">
        <v>549</v>
      </c>
      <c r="B39" s="933">
        <f t="array" ref="B39:H39">IF(B31:H31=0,0,TEXT(PMT(B32:H32/B35:H35,B34:H34,-B31:H31),"#.##0,#0")&amp;VLOOKUP(B35:H35,periodicidad,2))</f>
        <v>0</v>
      </c>
      <c r="C39" s="933">
        <v>0</v>
      </c>
      <c r="D39" s="933">
        <v>0</v>
      </c>
      <c r="E39" s="932">
        <v>0</v>
      </c>
      <c r="F39" s="933">
        <v>0</v>
      </c>
      <c r="G39" s="932">
        <v>0</v>
      </c>
      <c r="H39" s="933">
        <v>0</v>
      </c>
    </row>
    <row r="40" spans="1:9" s="35" customFormat="1" ht="20.25" customHeight="1">
      <c r="A40" s="876" t="s">
        <v>17</v>
      </c>
      <c r="B40" s="1758">
        <f t="array" ref="B40:H40">IF(B35:H35*B34:H34=0,0,PMT(B32:H32/B35:H35,B34:H34,-B31:H31)*B34:H34)</f>
        <v>0</v>
      </c>
      <c r="C40" s="1758">
        <v>0</v>
      </c>
      <c r="D40" s="1758">
        <v>0</v>
      </c>
      <c r="E40" s="1757">
        <v>0</v>
      </c>
      <c r="F40" s="1758">
        <v>0</v>
      </c>
      <c r="G40" s="1757">
        <v>0</v>
      </c>
      <c r="H40" s="1758">
        <v>0</v>
      </c>
    </row>
    <row r="41" spans="1:9" s="35" customFormat="1" ht="20.25" customHeight="1">
      <c r="A41" s="876" t="s">
        <v>90</v>
      </c>
      <c r="B41" s="1758">
        <f t="array" ref="B41:H41">B40:H40-B31:H31</f>
        <v>0</v>
      </c>
      <c r="C41" s="1758">
        <v>0</v>
      </c>
      <c r="D41" s="1758">
        <v>0</v>
      </c>
      <c r="E41" s="1757">
        <v>0</v>
      </c>
      <c r="F41" s="1758">
        <v>0</v>
      </c>
      <c r="G41" s="1757">
        <v>0</v>
      </c>
      <c r="H41" s="1758">
        <v>0</v>
      </c>
    </row>
    <row r="42" spans="1:9" s="35" customFormat="1" ht="20.25" customHeight="1">
      <c r="A42" s="876" t="s">
        <v>544</v>
      </c>
      <c r="B42" s="1758">
        <v>0</v>
      </c>
      <c r="C42" s="1758">
        <f t="array" ref="C42:H42">C33:H33*C31:H31</f>
        <v>0</v>
      </c>
      <c r="D42" s="1758">
        <v>0</v>
      </c>
      <c r="E42" s="1757">
        <v>0</v>
      </c>
      <c r="F42" s="1758">
        <v>0</v>
      </c>
      <c r="G42" s="1757">
        <v>0</v>
      </c>
      <c r="H42" s="1758">
        <v>0</v>
      </c>
    </row>
    <row r="43" spans="1:9" s="35" customFormat="1" ht="20.25" customHeight="1">
      <c r="A43" s="876" t="s">
        <v>550</v>
      </c>
      <c r="B43" s="1758">
        <v>0</v>
      </c>
      <c r="C43" s="1758">
        <f t="array" ref="C43:H43">C31:H31*C32:H32/C35:H35*C36:H36</f>
        <v>0</v>
      </c>
      <c r="D43" s="1758">
        <v>0</v>
      </c>
      <c r="E43" s="1757">
        <v>0</v>
      </c>
      <c r="F43" s="1758">
        <v>0</v>
      </c>
      <c r="G43" s="1757">
        <v>0</v>
      </c>
      <c r="H43" s="1758">
        <v>0</v>
      </c>
    </row>
    <row r="44" spans="1:9" ht="20.25" customHeight="1" thickBot="1">
      <c r="A44" s="934" t="s">
        <v>40</v>
      </c>
      <c r="B44" s="1760">
        <f t="array" ref="B44:H44">B43:H43+B41:H41+B42:H42</f>
        <v>0</v>
      </c>
      <c r="C44" s="1760">
        <v>0</v>
      </c>
      <c r="D44" s="1760">
        <v>0</v>
      </c>
      <c r="E44" s="1759">
        <v>0</v>
      </c>
      <c r="F44" s="1760">
        <v>0</v>
      </c>
      <c r="G44" s="1759">
        <v>0</v>
      </c>
      <c r="H44" s="1760">
        <v>0</v>
      </c>
    </row>
    <row r="46" spans="1:9" ht="15.75" thickBot="1"/>
    <row r="47" spans="1:9" s="35" customFormat="1" ht="32.25" customHeight="1" thickBot="1">
      <c r="A47" s="1399" t="s">
        <v>551</v>
      </c>
      <c r="B47" s="1399"/>
      <c r="C47" s="1400"/>
      <c r="D47" s="1400"/>
      <c r="E47" s="1400"/>
      <c r="F47" s="1400"/>
      <c r="G47" s="1400"/>
      <c r="H47" s="1400"/>
    </row>
    <row r="48" spans="1:9" s="35" customFormat="1" ht="36.75" customHeight="1" thickBot="1">
      <c r="A48" s="1836"/>
      <c r="B48" s="2345"/>
      <c r="D48" s="682" t="str">
        <f t="array" ref="D48:H48">anni</f>
        <v>Ano 0:  2026</v>
      </c>
      <c r="E48" s="682" t="str">
        <v>Ano 1:  2027</v>
      </c>
      <c r="F48" s="682" t="str">
        <v>Ano 2:  2028</v>
      </c>
      <c r="G48" s="682" t="str">
        <v>Ano 3:  2029</v>
      </c>
      <c r="H48" s="682" t="str">
        <v>Ano 4:  2030</v>
      </c>
    </row>
    <row r="49" spans="1:9" ht="21" customHeight="1">
      <c r="A49" s="1837" t="s">
        <v>552</v>
      </c>
      <c r="B49" s="2343"/>
      <c r="C49" s="1840"/>
      <c r="D49" s="2070">
        <v>0</v>
      </c>
      <c r="E49" s="2071">
        <f t="shared" ref="E49:H50" si="2">D49</f>
        <v>0</v>
      </c>
      <c r="F49" s="2071">
        <f t="shared" si="2"/>
        <v>0</v>
      </c>
      <c r="G49" s="2071">
        <f t="shared" si="2"/>
        <v>0</v>
      </c>
      <c r="H49" s="2071">
        <f t="shared" si="2"/>
        <v>0</v>
      </c>
    </row>
    <row r="50" spans="1:9" ht="21" customHeight="1">
      <c r="A50" s="2535" t="s">
        <v>553</v>
      </c>
      <c r="B50" s="2536"/>
      <c r="C50" s="2537"/>
      <c r="D50" s="834">
        <v>5.0000000000000001E-3</v>
      </c>
      <c r="E50" s="834">
        <f t="shared" si="2"/>
        <v>5.0000000000000001E-3</v>
      </c>
      <c r="F50" s="834">
        <f t="shared" si="2"/>
        <v>5.0000000000000001E-3</v>
      </c>
      <c r="G50" s="834">
        <f t="shared" si="2"/>
        <v>5.0000000000000001E-3</v>
      </c>
      <c r="H50" s="834">
        <f t="shared" si="2"/>
        <v>5.0000000000000001E-3</v>
      </c>
    </row>
    <row r="51" spans="1:9" s="35" customFormat="1" ht="22.5" customHeight="1">
      <c r="A51" s="1838" t="s">
        <v>554</v>
      </c>
      <c r="B51" s="2344"/>
      <c r="C51" s="1841"/>
      <c r="D51" s="834">
        <v>7.0000000000000007E-2</v>
      </c>
      <c r="E51" s="834">
        <f t="shared" ref="E51:H52" si="3">D51</f>
        <v>7.0000000000000007E-2</v>
      </c>
      <c r="F51" s="834">
        <f t="shared" si="3"/>
        <v>7.0000000000000007E-2</v>
      </c>
      <c r="G51" s="834">
        <f t="shared" si="3"/>
        <v>7.0000000000000007E-2</v>
      </c>
      <c r="H51" s="834">
        <f t="shared" si="3"/>
        <v>7.0000000000000007E-2</v>
      </c>
    </row>
    <row r="52" spans="1:9" ht="24" customHeight="1" thickBot="1">
      <c r="A52" s="1839" t="s">
        <v>555</v>
      </c>
      <c r="B52" s="2346"/>
      <c r="C52" s="1842"/>
      <c r="D52" s="1384">
        <v>0.02</v>
      </c>
      <c r="E52" s="1384">
        <f t="shared" si="3"/>
        <v>0.02</v>
      </c>
      <c r="F52" s="1384">
        <f t="shared" si="3"/>
        <v>0.02</v>
      </c>
      <c r="G52" s="1384">
        <f t="shared" si="3"/>
        <v>0.02</v>
      </c>
      <c r="H52" s="1384">
        <f t="shared" si="3"/>
        <v>0.02</v>
      </c>
    </row>
    <row r="53" spans="1:9" ht="18">
      <c r="A53" s="1550" t="s">
        <v>956</v>
      </c>
      <c r="B53" s="1550"/>
      <c r="C53" s="1551"/>
      <c r="D53" s="1327">
        <f t="array" ref="D53:H53" ca="1">D27:H27</f>
        <v>1201.6500000000001</v>
      </c>
      <c r="E53" s="1327">
        <f ca="1"/>
        <v>-15126.963843636366</v>
      </c>
      <c r="F53" s="1327">
        <f ca="1"/>
        <v>-23005.309287336371</v>
      </c>
      <c r="G53" s="1327">
        <f ca="1"/>
        <v>-30873.669101798463</v>
      </c>
      <c r="H53" s="1327">
        <f ca="1"/>
        <v>-38711.768984771967</v>
      </c>
      <c r="I53" s="1383">
        <f ca="1">I27</f>
        <v>-38711.768984771967</v>
      </c>
    </row>
    <row r="54" spans="1:9" ht="15.75" thickBot="1"/>
    <row r="55" spans="1:9" ht="29.25" customHeight="1" thickBot="1">
      <c r="A55" s="1401" t="s">
        <v>556</v>
      </c>
      <c r="B55" s="1380"/>
      <c r="C55" s="1761"/>
      <c r="D55" s="1380"/>
      <c r="E55" s="825"/>
      <c r="F55" s="825"/>
      <c r="G55" s="825"/>
      <c r="H55" s="826"/>
    </row>
    <row r="56" spans="1:9" ht="33.75" customHeight="1" thickBot="1">
      <c r="A56" s="1381"/>
      <c r="B56" s="682" t="str">
        <f>+$C$13</f>
        <v>Previo ao inicio
(Bal. Previo)</v>
      </c>
      <c r="C56" s="682" t="str">
        <f>CONCATENATE("Leasing 1 ",Parametros!B77)</f>
        <v>Leasing 1 Ano 0:  2026</v>
      </c>
      <c r="D56" s="682" t="str">
        <f>SUBSTITUTE(C56,"ing 1","ing 2")</f>
        <v>Leasing 2 Ano 0:  2026</v>
      </c>
      <c r="E56" s="682" t="str">
        <f t="array" ref="E56:H56">E$13:H$13</f>
        <v>Ano 1:  2027</v>
      </c>
      <c r="F56" s="682" t="str">
        <v>Ano 2:  2028</v>
      </c>
      <c r="G56" s="682" t="str">
        <v>Ano 3:  2029</v>
      </c>
      <c r="H56" s="682" t="str">
        <v>Ano 4:  2030</v>
      </c>
    </row>
    <row r="57" spans="1:9" ht="18.75" customHeight="1">
      <c r="A57" s="1737" t="s">
        <v>35</v>
      </c>
      <c r="B57" s="2441">
        <f>+'Bal. Inicial Previo'!H47</f>
        <v>0</v>
      </c>
      <c r="C57" s="2074">
        <v>0</v>
      </c>
      <c r="D57" s="2074">
        <v>0</v>
      </c>
      <c r="E57" s="2074">
        <v>0</v>
      </c>
      <c r="F57" s="2074">
        <v>0</v>
      </c>
      <c r="G57" s="2074">
        <v>0</v>
      </c>
      <c r="H57" s="2074">
        <v>0</v>
      </c>
      <c r="I57" s="1871"/>
    </row>
    <row r="58" spans="1:9" ht="18.75" customHeight="1">
      <c r="A58" s="1737" t="s">
        <v>93</v>
      </c>
      <c r="B58" s="2442">
        <f>+'Bal. Inicial Previo'!H48</f>
        <v>0.12</v>
      </c>
      <c r="C58" s="834">
        <v>0.15</v>
      </c>
      <c r="D58" s="834">
        <v>0.15</v>
      </c>
      <c r="E58" s="834">
        <f>D58</f>
        <v>0.15</v>
      </c>
      <c r="F58" s="827">
        <f>E58</f>
        <v>0.15</v>
      </c>
      <c r="G58" s="834">
        <f>F58</f>
        <v>0.15</v>
      </c>
      <c r="H58" s="830">
        <f>G58</f>
        <v>0.15</v>
      </c>
      <c r="I58" s="1871"/>
    </row>
    <row r="59" spans="1:9" ht="18.75" customHeight="1">
      <c r="A59" s="1737" t="s">
        <v>34</v>
      </c>
      <c r="B59" s="2443">
        <f>+'Bal. Inicial Previo'!H49</f>
        <v>0</v>
      </c>
      <c r="C59" s="1739">
        <v>0</v>
      </c>
      <c r="D59" s="1739">
        <v>0</v>
      </c>
      <c r="E59" s="1739">
        <v>0</v>
      </c>
      <c r="F59" s="1740">
        <v>0</v>
      </c>
      <c r="G59" s="1739">
        <v>0</v>
      </c>
      <c r="H59" s="1741">
        <v>0</v>
      </c>
      <c r="I59" s="1871"/>
    </row>
    <row r="60" spans="1:9" ht="18.75" customHeight="1">
      <c r="A60" s="1737" t="s">
        <v>39</v>
      </c>
      <c r="B60" s="2347">
        <v>0</v>
      </c>
      <c r="C60" s="834">
        <v>5.0000000000000001E-3</v>
      </c>
      <c r="D60" s="834">
        <v>5.0000000000000001E-3</v>
      </c>
      <c r="E60" s="834">
        <f>D60</f>
        <v>5.0000000000000001E-3</v>
      </c>
      <c r="F60" s="834">
        <f>E60</f>
        <v>5.0000000000000001E-3</v>
      </c>
      <c r="G60" s="834">
        <f>F60</f>
        <v>5.0000000000000001E-3</v>
      </c>
      <c r="H60" s="834">
        <f>G60</f>
        <v>5.0000000000000001E-3</v>
      </c>
    </row>
    <row r="61" spans="1:9" ht="18.75" customHeight="1">
      <c r="A61" s="1745" t="s">
        <v>20</v>
      </c>
      <c r="B61" s="2444">
        <f>+'Bal. Inicial Previo'!H50</f>
        <v>60</v>
      </c>
      <c r="C61" s="835">
        <f t="shared" ref="C61:H61" si="4">12*5</f>
        <v>60</v>
      </c>
      <c r="D61" s="835">
        <f t="shared" si="4"/>
        <v>60</v>
      </c>
      <c r="E61" s="835">
        <f t="shared" si="4"/>
        <v>60</v>
      </c>
      <c r="F61" s="828">
        <f t="shared" si="4"/>
        <v>60</v>
      </c>
      <c r="G61" s="835">
        <f t="shared" si="4"/>
        <v>60</v>
      </c>
      <c r="H61" s="832">
        <f t="shared" si="4"/>
        <v>60</v>
      </c>
    </row>
    <row r="62" spans="1:9" ht="18.75" customHeight="1">
      <c r="A62" s="1737" t="s">
        <v>1142</v>
      </c>
      <c r="B62" s="2444">
        <f>+'Bal. Inicial Previo'!H51</f>
        <v>12</v>
      </c>
      <c r="C62" s="835">
        <v>12</v>
      </c>
      <c r="D62" s="835">
        <v>12</v>
      </c>
      <c r="E62" s="835">
        <v>12</v>
      </c>
      <c r="F62" s="828">
        <v>12</v>
      </c>
      <c r="G62" s="835">
        <v>12</v>
      </c>
      <c r="H62" s="832">
        <v>12</v>
      </c>
    </row>
    <row r="63" spans="1:9" ht="11.25" customHeight="1" thickBot="1">
      <c r="A63" s="1738"/>
      <c r="B63" s="1738"/>
      <c r="C63" s="836"/>
      <c r="D63" s="836"/>
      <c r="E63" s="836"/>
      <c r="F63" s="829"/>
      <c r="G63" s="836"/>
      <c r="H63" s="833"/>
    </row>
    <row r="64" spans="1:9" ht="18.75" customHeight="1" thickBot="1">
      <c r="A64" s="1382" t="s">
        <v>109</v>
      </c>
      <c r="B64" s="1382"/>
      <c r="C64" s="1762">
        <f t="shared" ref="C64:H64" si="5">IF(C57&gt;0,TEXT(PMT(C58/12,C61,-C57,C59),"#.##0,00")&amp;VLOOKUP(C62,periodicidad,2,1),0)</f>
        <v>0</v>
      </c>
      <c r="D64" s="1762">
        <f t="shared" si="5"/>
        <v>0</v>
      </c>
      <c r="E64" s="1762">
        <f t="shared" si="5"/>
        <v>0</v>
      </c>
      <c r="F64" s="1763">
        <f t="shared" si="5"/>
        <v>0</v>
      </c>
      <c r="G64" s="1762">
        <f t="shared" si="5"/>
        <v>0</v>
      </c>
      <c r="H64" s="1764">
        <f t="shared" si="5"/>
        <v>0</v>
      </c>
    </row>
    <row r="65" spans="1:8" ht="18.75" thickBot="1">
      <c r="D65" s="1336" t="str">
        <f>IF(MAX(C59-C57,D59-D57,E59-E57,F59-F57,G59-G57,H59-H57)&gt;0.4,"ERROR: Algún Leasing tiene valor residual superior al Principal ","")</f>
        <v/>
      </c>
    </row>
    <row r="66" spans="1:8" ht="32.25" customHeight="1" thickBot="1">
      <c r="A66" s="1401" t="s">
        <v>594</v>
      </c>
      <c r="B66" s="1380"/>
      <c r="C66" s="1761"/>
      <c r="D66" s="1380"/>
      <c r="E66" s="825"/>
      <c r="F66" s="825"/>
      <c r="G66" s="825"/>
      <c r="H66" s="2033" t="s">
        <v>557</v>
      </c>
    </row>
    <row r="67" spans="1:8" ht="35.25" customHeight="1" thickBot="1">
      <c r="A67" s="1381"/>
      <c r="B67" s="682" t="str">
        <f>+$C$13</f>
        <v>Previo ao inicio
(Bal. Previo)</v>
      </c>
      <c r="C67" s="1398" t="str">
        <f>SUBSTITUTE(C56,"Leasing","Renting")</f>
        <v>Renting 1 Ano 0:  2026</v>
      </c>
      <c r="D67" s="1398" t="str">
        <f>SUBSTITUTE(C67,"ing 1","ing 2")</f>
        <v>Renting 2 Ano 0:  2026</v>
      </c>
      <c r="E67" s="682" t="str">
        <f t="array" ref="E67:H67">E$13:H$13</f>
        <v>Ano 1:  2027</v>
      </c>
      <c r="F67" s="682" t="str">
        <v>Ano 2:  2028</v>
      </c>
      <c r="G67" s="682" t="str">
        <v>Ano 3:  2029</v>
      </c>
      <c r="H67" s="682" t="str">
        <v>Ano 4:  2030</v>
      </c>
    </row>
    <row r="68" spans="1:8" ht="21" customHeight="1">
      <c r="A68" s="1737" t="s">
        <v>35</v>
      </c>
      <c r="B68" s="2441">
        <v>0</v>
      </c>
      <c r="C68" s="2074">
        <v>0</v>
      </c>
      <c r="D68" s="2074">
        <v>0</v>
      </c>
      <c r="E68" s="2074">
        <v>0</v>
      </c>
      <c r="F68" s="2074">
        <v>0</v>
      </c>
      <c r="G68" s="2074">
        <v>0</v>
      </c>
      <c r="H68" s="2075">
        <v>0</v>
      </c>
    </row>
    <row r="69" spans="1:8" ht="21" customHeight="1">
      <c r="A69" s="1737" t="s">
        <v>93</v>
      </c>
      <c r="B69" s="2442">
        <f>+'Bal. Inicial Previo'!D54</f>
        <v>0.18</v>
      </c>
      <c r="C69" s="834">
        <v>0.18</v>
      </c>
      <c r="D69" s="834">
        <v>0.15</v>
      </c>
      <c r="E69" s="834">
        <f t="shared" ref="E69:H70" si="6">D69</f>
        <v>0.15</v>
      </c>
      <c r="F69" s="827">
        <f t="shared" si="6"/>
        <v>0.15</v>
      </c>
      <c r="G69" s="834">
        <f t="shared" si="6"/>
        <v>0.15</v>
      </c>
      <c r="H69" s="830">
        <f t="shared" si="6"/>
        <v>0.15</v>
      </c>
    </row>
    <row r="70" spans="1:8" ht="21" customHeight="1">
      <c r="A70" s="1737" t="s">
        <v>39</v>
      </c>
      <c r="B70" s="2347">
        <v>0</v>
      </c>
      <c r="C70" s="834">
        <v>5.0000000000000001E-3</v>
      </c>
      <c r="D70" s="834">
        <v>5.0000000000000001E-3</v>
      </c>
      <c r="E70" s="834">
        <f t="shared" si="6"/>
        <v>5.0000000000000001E-3</v>
      </c>
      <c r="F70" s="834">
        <f t="shared" si="6"/>
        <v>5.0000000000000001E-3</v>
      </c>
      <c r="G70" s="834">
        <f t="shared" si="6"/>
        <v>5.0000000000000001E-3</v>
      </c>
      <c r="H70" s="834">
        <f t="shared" si="6"/>
        <v>5.0000000000000001E-3</v>
      </c>
    </row>
    <row r="71" spans="1:8" ht="20.25" customHeight="1">
      <c r="A71" s="1745" t="s">
        <v>20</v>
      </c>
      <c r="B71" s="2444">
        <f>+'Bal. Inicial Previo'!D55</f>
        <v>60</v>
      </c>
      <c r="C71" s="835">
        <f t="shared" ref="C71:H71" si="7">12*3</f>
        <v>36</v>
      </c>
      <c r="D71" s="835">
        <f t="shared" si="7"/>
        <v>36</v>
      </c>
      <c r="E71" s="835">
        <f t="shared" si="7"/>
        <v>36</v>
      </c>
      <c r="F71" s="828">
        <f t="shared" si="7"/>
        <v>36</v>
      </c>
      <c r="G71" s="835">
        <f t="shared" si="7"/>
        <v>36</v>
      </c>
      <c r="H71" s="832">
        <f t="shared" si="7"/>
        <v>36</v>
      </c>
    </row>
    <row r="72" spans="1:8" ht="18.75" customHeight="1">
      <c r="A72" s="1737" t="s">
        <v>1143</v>
      </c>
      <c r="B72" s="2444">
        <f>+'Bal. Inicial Previo'!D56</f>
        <v>12</v>
      </c>
      <c r="C72" s="835">
        <v>12</v>
      </c>
      <c r="D72" s="835">
        <v>12</v>
      </c>
      <c r="E72" s="835">
        <v>12</v>
      </c>
      <c r="F72" s="828">
        <v>12</v>
      </c>
      <c r="G72" s="835">
        <v>12</v>
      </c>
      <c r="H72" s="832">
        <v>12</v>
      </c>
    </row>
    <row r="73" spans="1:8" ht="9" customHeight="1" thickBot="1">
      <c r="A73" s="1738"/>
      <c r="B73" s="1738"/>
      <c r="C73" s="836"/>
      <c r="D73" s="836"/>
      <c r="E73" s="836"/>
      <c r="F73" s="829"/>
      <c r="G73" s="836"/>
      <c r="H73" s="833"/>
    </row>
    <row r="74" spans="1:8" ht="19.5" customHeight="1" thickBot="1">
      <c r="A74" s="1382" t="s">
        <v>109</v>
      </c>
      <c r="B74" s="1382"/>
      <c r="C74" s="1765">
        <f t="array" ref="C74:H74">IF(C68:H68&gt;0,TEXT(PMT(C69:H69/12,C71:H71,-C68:H68),"#.##0,00")&amp;VLOOKUP(C72:H72,periodicidad,2),0)</f>
        <v>0</v>
      </c>
      <c r="D74" s="1765">
        <v>0</v>
      </c>
      <c r="E74" s="1765">
        <v>0</v>
      </c>
      <c r="F74" s="1766">
        <v>0</v>
      </c>
      <c r="G74" s="1765">
        <v>0</v>
      </c>
      <c r="H74" s="1767">
        <v>0</v>
      </c>
    </row>
    <row r="76" spans="1:8" ht="18">
      <c r="A76" s="935" t="s">
        <v>558</v>
      </c>
      <c r="B76" s="935"/>
      <c r="D76" s="1336" t="str">
        <f>IF(MIN(Finançamento!C71:H71)/12&lt;2,"ERROR: Los Renting deben ser de al menos 2 anos de duración","")</f>
        <v/>
      </c>
    </row>
    <row r="77" spans="1:8">
      <c r="A77" s="936" t="s">
        <v>559</v>
      </c>
      <c r="B77" s="936"/>
    </row>
    <row r="78" spans="1:8">
      <c r="A78" s="936" t="s">
        <v>560</v>
      </c>
      <c r="B78" s="936"/>
    </row>
    <row r="79" spans="1:8">
      <c r="A79" s="936" t="s">
        <v>561</v>
      </c>
      <c r="B79" s="936"/>
    </row>
    <row r="80" spans="1:8">
      <c r="A80" s="936" t="s">
        <v>562</v>
      </c>
      <c r="B80" s="936"/>
    </row>
    <row r="81" spans="1:10">
      <c r="A81" s="936" t="s">
        <v>563</v>
      </c>
      <c r="B81" s="936"/>
    </row>
    <row r="82" spans="1:10">
      <c r="A82" s="935"/>
      <c r="B82" s="935"/>
    </row>
    <row r="83" spans="1:10" ht="18.75" customHeight="1">
      <c r="A83" s="936"/>
      <c r="B83" s="936"/>
    </row>
    <row r="84" spans="1:10" s="1756" customFormat="1" ht="27" customHeight="1">
      <c r="A84" s="1754" t="s">
        <v>105</v>
      </c>
      <c r="B84" s="2413"/>
      <c r="C84" s="2413" t="str">
        <f ca="1">'Balanços anuais'!D53</f>
        <v/>
      </c>
      <c r="D84" s="2413" t="str">
        <f ca="1">'Balanços anuais'!F53</f>
        <v/>
      </c>
      <c r="E84" s="2413" t="str">
        <f ca="1">'Balanços anuais'!H53</f>
        <v/>
      </c>
      <c r="F84" s="2413" t="str">
        <f ca="1">'Balanços anuais'!J53</f>
        <v/>
      </c>
      <c r="G84" s="2413" t="str">
        <f ca="1">'Balanços anuais'!L53</f>
        <v/>
      </c>
      <c r="H84" s="2413" t="str">
        <f ca="1">'Balanços anuais'!N53</f>
        <v/>
      </c>
      <c r="I84" s="2413">
        <f ca="1">SUM(C84:H84)</f>
        <v>0</v>
      </c>
      <c r="J84" s="2413"/>
    </row>
  </sheetData>
  <sheetProtection sheet="1" objects="1" scenarios="1"/>
  <phoneticPr fontId="4" type="noConversion"/>
  <conditionalFormatting sqref="A27:C27 A53:C53">
    <cfRule type="expression" dxfId="43" priority="4" stopIfTrue="1">
      <formula>$I$27&lt;-0.4</formula>
    </cfRule>
  </conditionalFormatting>
  <conditionalFormatting sqref="A84:J84">
    <cfRule type="expression" dxfId="42" priority="2" stopIfTrue="1">
      <formula>$I$84&lt;&gt;0</formula>
    </cfRule>
  </conditionalFormatting>
  <conditionalFormatting sqref="C28">
    <cfRule type="expression" dxfId="41" priority="7" stopIfTrue="1">
      <formula>$D$28&lt;0</formula>
    </cfRule>
    <cfRule type="expression" dxfId="40" priority="8" stopIfTrue="1">
      <formula>$I$27&lt;0</formula>
    </cfRule>
  </conditionalFormatting>
  <conditionalFormatting sqref="D27:H27 D28 D53:H53">
    <cfRule type="cellIs" dxfId="39" priority="5" stopIfTrue="1" operator="lessThan">
      <formula>0</formula>
    </cfRule>
    <cfRule type="expression" dxfId="38" priority="6" stopIfTrue="1">
      <formula>$I$27&lt;0</formula>
    </cfRule>
  </conditionalFormatting>
  <conditionalFormatting sqref="F28">
    <cfRule type="expression" dxfId="37" priority="1" stopIfTrue="1">
      <formula>$I$27&lt;0</formula>
    </cfRule>
  </conditionalFormatting>
  <conditionalFormatting sqref="I27 I53">
    <cfRule type="expression" dxfId="36" priority="3" stopIfTrue="1">
      <formula>"""=suma($B$58:$F$58)&lt;0,5"""</formula>
    </cfRule>
  </conditionalFormatting>
  <dataValidations xWindow="575" yWindow="358" count="16">
    <dataValidation type="decimal" allowBlank="1" showInputMessage="1" showErrorMessage="1" error="El valor residual no puede ser negativo ni inferior al valor del principal." sqref="C59:H59" xr:uid="{00000000-0002-0000-0900-000000000000}">
      <formula1>0</formula1>
      <formula2>C57</formula2>
    </dataValidation>
    <dataValidation type="whole" operator="greaterThanOrEqual" allowBlank="1" showInputMessage="1" showErrorMessage="1" sqref="D14" xr:uid="{00000000-0002-0000-0900-000001000000}">
      <formula1>C11-C14</formula1>
    </dataValidation>
    <dataValidation type="decimal" allowBlank="1" showInputMessage="1" showErrorMessage="1" error="El importe a financiar mediante Leasing no puede ser superior a la inversión en Activos No corrientes del mismo año." sqref="H57" xr:uid="{00000000-0002-0000-0900-000002000000}">
      <formula1>0</formula1>
      <formula2>$H$6</formula2>
    </dataValidation>
    <dataValidation type="decimal" allowBlank="1" showInputMessage="1" showErrorMessage="1" sqref="D52:H52" xr:uid="{00000000-0002-0000-0900-000003000000}">
      <formula1>0</formula1>
      <formula2>D51</formula2>
    </dataValidation>
    <dataValidation type="list" allowBlank="1" showInputMessage="1" showErrorMessage="1" prompt="  1 = 1 solo pago anual_x000a_  2 = pagos semestrales_x000a_  3 = pagos cuatrimestrales_x000a_  4 = pagos trimestrales_x000a_  6 = pagos bimensuales_x000a_12 = pagos mensuales" sqref="C72:H72 C62:H62 D35:H35" xr:uid="{00000000-0002-0000-0900-000004000000}">
      <formula1>"1,2,3,4,6,12"</formula1>
    </dataValidation>
    <dataValidation type="whole" operator="greaterThanOrEqual" allowBlank="1" showInputMessage="1" showErrorMessage="1" sqref="C71:H71 C61:H61" xr:uid="{00000000-0002-0000-0900-000005000000}">
      <formula1>24</formula1>
    </dataValidation>
    <dataValidation type="decimal" operator="greaterThanOrEqual" allowBlank="1" showInputMessage="1" showErrorMessage="1" sqref="D19:H19 D21:H23 D17:H17 C68:H68" xr:uid="{00000000-0002-0000-0900-000006000000}">
      <formula1>0</formula1>
    </dataValidation>
    <dataValidation type="decimal" allowBlank="1" showInputMessage="1" showErrorMessage="1" sqref="C70:H70 C60:H60 C33:H33 D50:H50" xr:uid="{00000000-0002-0000-0900-000007000000}">
      <formula1>0</formula1>
      <formula2>0.05</formula2>
    </dataValidation>
    <dataValidation allowBlank="1" showInputMessage="1" showErrorMessage="1" prompt="Tipo nominal anual" sqref="E51:H51 D32:H32" xr:uid="{00000000-0002-0000-0900-000008000000}"/>
    <dataValidation type="decimal" allowBlank="1" showInputMessage="1" showErrorMessage="1" error="El importe a Financiar mediante Leasing no puede ser superior a la inversión en Activos No Corrientes." sqref="C57:D57" xr:uid="{00000000-0002-0000-0900-000009000000}">
      <formula1>0</formula1>
      <formula2>$D$6</formula2>
    </dataValidation>
    <dataValidation type="whole" allowBlank="1" showInputMessage="1" showErrorMessage="1" sqref="D36:H36" xr:uid="{00000000-0002-0000-0900-00000A000000}">
      <formula1>0</formula1>
      <formula2>plazo/npagos*12</formula2>
    </dataValidation>
    <dataValidation type="whole" allowBlank="1" showInputMessage="1" showErrorMessage="1" sqref="C34:H34" xr:uid="{00000000-0002-0000-0900-00000B000000}">
      <formula1>0</formula1>
      <formula2>400</formula2>
    </dataValidation>
    <dataValidation type="whole" operator="greaterThanOrEqual" allowBlank="1" showInputMessage="1" showErrorMessage="1" sqref="E14:H14" xr:uid="{00000000-0002-0000-0900-00000C000000}">
      <formula1>0</formula1>
    </dataValidation>
    <dataValidation type="decimal" allowBlank="1" showInputMessage="1" showErrorMessage="1" error="El importe a financiar mediante Leasing no puede ser superior a la inversión en Activos No corrientes del mismo año." sqref="E57" xr:uid="{00000000-0002-0000-0900-00000D000000}">
      <formula1>0</formula1>
      <formula2>$E$6</formula2>
    </dataValidation>
    <dataValidation type="decimal" allowBlank="1" showInputMessage="1" showErrorMessage="1" error="El importe a financiar mediante Leasing no puede ser superior a la inversión en Activos No corrientes del mismo año." sqref="F57" xr:uid="{00000000-0002-0000-0900-00000E000000}">
      <formula1>0</formula1>
      <formula2>$F$6</formula2>
    </dataValidation>
    <dataValidation type="decimal" allowBlank="1" showInputMessage="1" showErrorMessage="1" error="El importe a financiar mediante Leasing no puede ser superior a la inversión en Activos No corrientes del mismo año." sqref="G57" xr:uid="{00000000-0002-0000-0900-00000F000000}">
      <formula1>0</formula1>
      <formula2>$G$6</formula2>
    </dataValidation>
  </dataValidations>
  <printOptions horizontalCentered="1"/>
  <pageMargins left="0.78740157480314965" right="0.78740157480314965" top="0.5" bottom="0.6" header="0.37" footer="0.42"/>
  <pageSetup paperSize="9" scale="43" orientation="portrait" horizontalDpi="4294967292" verticalDpi="300" r:id="rId1"/>
  <headerFooter alignWithMargins="0">
    <oddFooter>&amp;C&amp;"Tahoma,Normal"&amp;10&amp;A</oddFooter>
  </headerFooter>
  <rowBreaks count="1" manualBreakCount="1">
    <brk id="10" max="6"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indexed="42"/>
    <pageSetUpPr fitToPage="1"/>
  </sheetPr>
  <dimension ref="A1:E38"/>
  <sheetViews>
    <sheetView workbookViewId="0"/>
  </sheetViews>
  <sheetFormatPr baseColWidth="10" defaultColWidth="11" defaultRowHeight="15"/>
  <cols>
    <col min="1" max="1" width="50.875" style="21" customWidth="1"/>
    <col min="2" max="2" width="20.25" style="168" customWidth="1"/>
    <col min="3" max="3" width="17.125" style="21" customWidth="1"/>
    <col min="4" max="4" width="12.75" style="21" customWidth="1"/>
    <col min="5" max="5" width="17.75" style="21" customWidth="1"/>
    <col min="6" max="6" width="13.125" style="21" customWidth="1"/>
    <col min="7" max="7" width="17.625" style="21" customWidth="1"/>
    <col min="8" max="8" width="16" style="21" customWidth="1"/>
    <col min="9" max="16384" width="11" style="21"/>
  </cols>
  <sheetData>
    <row r="1" spans="1:5" ht="27">
      <c r="A1" s="26" t="s">
        <v>696</v>
      </c>
    </row>
    <row r="2" spans="1:5" ht="25.5">
      <c r="A2" s="572" t="str">
        <f>'Dados Básicos'!B9</f>
        <v>WWW, S.L.</v>
      </c>
    </row>
    <row r="3" spans="1:5" ht="26.25" thickBot="1">
      <c r="A3" s="18"/>
      <c r="D3" s="2462" t="str">
        <f>IF(consolidacion," (Bal. Previo)","")</f>
        <v/>
      </c>
    </row>
    <row r="4" spans="1:5" ht="45.75" customHeight="1" thickBot="1">
      <c r="A4" s="2191" t="s">
        <v>695</v>
      </c>
      <c r="B4" s="2192"/>
      <c r="C4" s="2193"/>
      <c r="D4" s="2193"/>
      <c r="E4" s="2193"/>
    </row>
    <row r="5" spans="1:5" s="667" customFormat="1" ht="29.25" customHeight="1" thickBot="1">
      <c r="A5" s="2196"/>
      <c r="B5" s="2893" t="s">
        <v>1130</v>
      </c>
      <c r="C5" s="2893" t="str">
        <f>"Inicio "&amp;'Dados Básicos'!$B$18</f>
        <v>Inicio Ano 0</v>
      </c>
      <c r="D5" s="1004" t="s">
        <v>3</v>
      </c>
      <c r="E5" s="2919" t="s">
        <v>104</v>
      </c>
    </row>
    <row r="6" spans="1:5" s="667" customFormat="1" ht="18" customHeight="1">
      <c r="A6" s="2178" t="s">
        <v>687</v>
      </c>
      <c r="B6" s="841">
        <f>SUM(B7:B14)</f>
        <v>0</v>
      </c>
      <c r="C6" s="841">
        <f>SUM(C7:C14)</f>
        <v>2335</v>
      </c>
      <c r="D6" s="841">
        <f>B6+C6</f>
        <v>2335</v>
      </c>
      <c r="E6" s="2179">
        <f t="array" aca="1" ref="E6:E14" ca="1">IF(D$32=0,"",D6:D14/$D$32)</f>
        <v>1</v>
      </c>
    </row>
    <row r="7" spans="1:5" s="667" customFormat="1" ht="18" customHeight="1">
      <c r="A7" s="1737" t="str">
        <f>Finançamento!A14</f>
        <v>Capital e ampliações de Capital (aport. dinerarias)</v>
      </c>
      <c r="B7" s="840">
        <f>Finançamento!C14</f>
        <v>0</v>
      </c>
      <c r="C7" s="840">
        <f>+Finançamento!D14</f>
        <v>3000</v>
      </c>
      <c r="D7" s="840">
        <f>B7+C7</f>
        <v>3000</v>
      </c>
      <c r="E7" s="2180">
        <f ca="1"/>
        <v>1.2847965738758029</v>
      </c>
    </row>
    <row r="8" spans="1:5" s="667" customFormat="1" ht="18" customHeight="1">
      <c r="A8" s="1737" t="str">
        <f>Finançamento!A15</f>
        <v>Capital e ampliações de Capital (aport. em especie)</v>
      </c>
      <c r="B8" s="840">
        <f>Finançamento!C15</f>
        <v>0</v>
      </c>
      <c r="C8" s="840">
        <f>+Finançamento!D15</f>
        <v>0</v>
      </c>
      <c r="D8" s="840">
        <f t="shared" ref="D8:D14" si="0">B8+C8</f>
        <v>0</v>
      </c>
      <c r="E8" s="2180">
        <f ca="1"/>
        <v>0</v>
      </c>
    </row>
    <row r="9" spans="1:5" s="667" customFormat="1" ht="18" customHeight="1">
      <c r="A9" s="1737" t="str">
        <f>'Despesas Iniciais'!A7</f>
        <v>Despesas de Constituição</v>
      </c>
      <c r="B9" s="2894">
        <v>0</v>
      </c>
      <c r="C9" s="840">
        <f>-'Despesas Iniciais'!B12</f>
        <v>-665</v>
      </c>
      <c r="D9" s="840">
        <f t="shared" si="0"/>
        <v>-665</v>
      </c>
      <c r="E9" s="2180">
        <f ca="1"/>
        <v>-0.28479657387580298</v>
      </c>
    </row>
    <row r="10" spans="1:5" s="667" customFormat="1" ht="18" customHeight="1">
      <c r="A10" s="2329" t="str">
        <f>"Res. anteriores (Reservas)" &amp;$D$3</f>
        <v>Res. anteriores (Reservas)</v>
      </c>
      <c r="B10" s="840">
        <f>IF('Bal. Inicial Previo'!H11&gt;0,'Bal. Inicial Previo'!H11,0)+'Bal. Inicial Previo'!H22</f>
        <v>0</v>
      </c>
      <c r="C10" s="2894">
        <v>0</v>
      </c>
      <c r="D10" s="840">
        <f t="shared" si="0"/>
        <v>0</v>
      </c>
      <c r="E10" s="2180">
        <f ca="1"/>
        <v>0</v>
      </c>
    </row>
    <row r="11" spans="1:5" s="667" customFormat="1" ht="18" customHeight="1">
      <c r="A11" s="2329" t="str">
        <f>"Prejuízos cumulados anteriores" &amp;$D$3</f>
        <v>Prejuízos cumulados anteriores</v>
      </c>
      <c r="B11" s="840">
        <f>IF('Bal. Inicial Previo'!H11&lt;0,'Bal. Inicial Previo'!H11,0)</f>
        <v>0</v>
      </c>
      <c r="C11" s="2894">
        <v>0</v>
      </c>
      <c r="D11" s="840">
        <f t="shared" si="0"/>
        <v>0</v>
      </c>
      <c r="E11" s="2180">
        <f ca="1"/>
        <v>0</v>
      </c>
    </row>
    <row r="12" spans="1:5" s="667" customFormat="1" ht="18" customHeight="1">
      <c r="A12" s="2329" t="str">
        <f>"Resultado do exercicio anterior " &amp;$D$3</f>
        <v xml:space="preserve">Resultado do exercicio anterior </v>
      </c>
      <c r="B12" s="840">
        <f>'Bal. Inicial Previo'!H12</f>
        <v>0</v>
      </c>
      <c r="C12" s="2894">
        <v>0</v>
      </c>
      <c r="D12" s="840">
        <f t="shared" si="0"/>
        <v>0</v>
      </c>
      <c r="E12" s="2180">
        <f ca="1"/>
        <v>0</v>
      </c>
    </row>
    <row r="13" spans="1:5" s="667" customFormat="1" ht="18" customHeight="1">
      <c r="A13" s="2181" t="str">
        <f>+Finançamento!A17</f>
        <v>Créditos / Empréstimos dos sócios</v>
      </c>
      <c r="B13" s="840">
        <f>Finançamento!C17</f>
        <v>0</v>
      </c>
      <c r="C13" s="840">
        <f>Finançamento!D17</f>
        <v>0</v>
      </c>
      <c r="D13" s="840">
        <f t="shared" si="0"/>
        <v>0</v>
      </c>
      <c r="E13" s="2180">
        <f ca="1"/>
        <v>0</v>
      </c>
    </row>
    <row r="14" spans="1:5" s="667" customFormat="1" ht="18" customHeight="1" thickBot="1">
      <c r="A14" s="2182" t="str">
        <f>+Finançamento!A19</f>
        <v>Subvenções</v>
      </c>
      <c r="B14" s="842">
        <f>Finançamento!C19</f>
        <v>0</v>
      </c>
      <c r="C14" s="842">
        <f>Finançamento!D19</f>
        <v>0</v>
      </c>
      <c r="D14" s="842">
        <f t="shared" si="0"/>
        <v>0</v>
      </c>
      <c r="E14" s="2183">
        <f ca="1"/>
        <v>0</v>
      </c>
    </row>
    <row r="15" spans="1:5" s="667" customFormat="1" ht="32.25" customHeight="1" thickBot="1">
      <c r="A15" s="2184"/>
      <c r="E15" s="2185"/>
    </row>
    <row r="16" spans="1:5" s="668" customFormat="1" ht="18" customHeight="1">
      <c r="A16" s="2178" t="s">
        <v>688</v>
      </c>
      <c r="B16" s="841">
        <f>B17+B22</f>
        <v>0</v>
      </c>
      <c r="C16" s="841">
        <f ca="1">C17+C22</f>
        <v>0</v>
      </c>
      <c r="D16" s="841">
        <f ca="1">B16+C16</f>
        <v>0</v>
      </c>
      <c r="E16" s="2179">
        <f t="array" aca="1" ref="E16:E20" ca="1">IF(D$32=0,"",D16:D20/$D$32)</f>
        <v>0</v>
      </c>
    </row>
    <row r="17" spans="1:5" s="667" customFormat="1" ht="18" customHeight="1">
      <c r="A17" s="2186" t="s">
        <v>693</v>
      </c>
      <c r="B17" s="839">
        <f>SUM(B18:B20)</f>
        <v>0</v>
      </c>
      <c r="C17" s="839">
        <f>SUM(C18:C20)</f>
        <v>0</v>
      </c>
      <c r="D17" s="840">
        <f>B17+C17</f>
        <v>0</v>
      </c>
      <c r="E17" s="2187">
        <f ca="1"/>
        <v>0</v>
      </c>
    </row>
    <row r="18" spans="1:5" s="667" customFormat="1" ht="18" customHeight="1">
      <c r="A18" s="2181" t="s">
        <v>689</v>
      </c>
      <c r="B18" s="840">
        <f>+Finançamento!B31-B23</f>
        <v>0</v>
      </c>
      <c r="C18" s="840">
        <f>SUM(Finançamento!C31:D31)-C23</f>
        <v>0</v>
      </c>
      <c r="D18" s="840">
        <f>B18+C18</f>
        <v>0</v>
      </c>
      <c r="E18" s="2180">
        <f ca="1"/>
        <v>0</v>
      </c>
    </row>
    <row r="19" spans="1:5" s="667" customFormat="1" ht="18" customHeight="1">
      <c r="A19" s="2181" t="s">
        <v>664</v>
      </c>
      <c r="B19" s="840">
        <f>Finançamento!B57-B24</f>
        <v>0</v>
      </c>
      <c r="C19" s="840">
        <f>+SUM(Finançamento!C57:D57)-C24</f>
        <v>0</v>
      </c>
      <c r="D19" s="840">
        <f>B19+C19</f>
        <v>0</v>
      </c>
      <c r="E19" s="2190">
        <f ca="1"/>
        <v>0</v>
      </c>
    </row>
    <row r="20" spans="1:5" s="667" customFormat="1" ht="18" customHeight="1" thickBot="1">
      <c r="A20" s="2331" t="str">
        <f>"Outros Creedores L.P. " &amp;$D$3</f>
        <v xml:space="preserve">Outros Creedores L.P. </v>
      </c>
      <c r="B20" s="842">
        <f>+'Bal. Inicial Previo'!H20</f>
        <v>0</v>
      </c>
      <c r="C20" s="2895">
        <v>0</v>
      </c>
      <c r="D20" s="842">
        <f>B20+C20</f>
        <v>0</v>
      </c>
      <c r="E20" s="2183">
        <f ca="1"/>
        <v>0</v>
      </c>
    </row>
    <row r="21" spans="1:5" s="667" customFormat="1" ht="15" customHeight="1" thickBot="1">
      <c r="A21" s="2184"/>
      <c r="E21" s="2185"/>
    </row>
    <row r="22" spans="1:5" s="667" customFormat="1" ht="18" customHeight="1">
      <c r="A22" s="2188" t="s">
        <v>692</v>
      </c>
      <c r="B22" s="841">
        <f>SUM(B23:B30)</f>
        <v>0</v>
      </c>
      <c r="C22" s="841">
        <f ca="1">SUM(C23:C30)</f>
        <v>0</v>
      </c>
      <c r="D22" s="841">
        <f ca="1">B22+C22</f>
        <v>0</v>
      </c>
      <c r="E22" s="2179">
        <f t="array" aca="1" ref="E22:E30" ca="1">IF(D$32=0,"",D22:D30/$D$32)</f>
        <v>0</v>
      </c>
    </row>
    <row r="23" spans="1:5" s="667" customFormat="1" ht="18" customHeight="1">
      <c r="A23" s="2181" t="s">
        <v>690</v>
      </c>
      <c r="B23" s="840">
        <f>Empréstimos!J5</f>
        <v>0</v>
      </c>
      <c r="C23" s="840">
        <f>Empréstimos!N24-B23</f>
        <v>0</v>
      </c>
      <c r="D23" s="840">
        <f t="shared" ref="D23:D30" si="1">B23+C23</f>
        <v>0</v>
      </c>
      <c r="E23" s="2180">
        <f ca="1"/>
        <v>0</v>
      </c>
    </row>
    <row r="24" spans="1:5" s="667" customFormat="1" ht="18" customHeight="1">
      <c r="A24" s="2181" t="s">
        <v>666</v>
      </c>
      <c r="B24" s="840">
        <f>Leasing!J5</f>
        <v>0</v>
      </c>
      <c r="C24" s="840">
        <f>Leasing!N23-B24</f>
        <v>0</v>
      </c>
      <c r="D24" s="840">
        <f t="shared" si="1"/>
        <v>0</v>
      </c>
      <c r="E24" s="2180">
        <f ca="1"/>
        <v>0</v>
      </c>
    </row>
    <row r="25" spans="1:5" s="667" customFormat="1" ht="18" customHeight="1">
      <c r="A25" s="2329" t="str">
        <f>"Disposto crédito mes inicial" &amp;$D$3</f>
        <v>Disposto crédito mes inicial</v>
      </c>
      <c r="B25" s="840">
        <f>'Bal. Inicial Previo'!H27</f>
        <v>0</v>
      </c>
      <c r="C25" s="2894">
        <v>0</v>
      </c>
      <c r="D25" s="840">
        <f t="shared" si="1"/>
        <v>0</v>
      </c>
      <c r="E25" s="2180">
        <f ca="1"/>
        <v>0</v>
      </c>
    </row>
    <row r="26" spans="1:5" s="667" customFormat="1" ht="18" customHeight="1">
      <c r="A26" s="2181" t="s">
        <v>691</v>
      </c>
      <c r="B26" s="2894">
        <v>0</v>
      </c>
      <c r="C26" s="840">
        <f ca="1">'Distr CV 0'!B87+'Distr CV 0'!B106</f>
        <v>0</v>
      </c>
      <c r="D26" s="840">
        <f t="shared" ca="1" si="1"/>
        <v>0</v>
      </c>
      <c r="E26" s="2180">
        <f ca="1"/>
        <v>0</v>
      </c>
    </row>
    <row r="27" spans="1:5" s="667" customFormat="1" ht="18" customHeight="1">
      <c r="A27" s="2329" t="str">
        <f>"Fornecedores" &amp;$D$3</f>
        <v>Fornecedores</v>
      </c>
      <c r="B27" s="840">
        <f>'Bal. Inicial Previo'!H28</f>
        <v>0</v>
      </c>
      <c r="C27" s="2894">
        <v>0</v>
      </c>
      <c r="D27" s="840">
        <f t="shared" si="1"/>
        <v>0</v>
      </c>
      <c r="E27" s="2180">
        <f ca="1"/>
        <v>0</v>
      </c>
    </row>
    <row r="28" spans="1:5" s="667" customFormat="1" ht="18" customHeight="1">
      <c r="A28" s="2329" t="str">
        <f>'Dados Básicos'!A28&amp;" divido"&amp;$D$3</f>
        <v>IVA divido</v>
      </c>
      <c r="B28" s="840">
        <f>'Bal. Inicial Previo'!H29</f>
        <v>0</v>
      </c>
      <c r="C28" s="2894">
        <v>0</v>
      </c>
      <c r="D28" s="840">
        <f t="shared" si="1"/>
        <v>0</v>
      </c>
      <c r="E28" s="2180">
        <f ca="1"/>
        <v>0</v>
      </c>
    </row>
    <row r="29" spans="1:5" s="667" customFormat="1" ht="18" customHeight="1">
      <c r="A29" s="2330" t="str">
        <f>IF(isoc&lt;&gt;0,'Dados Básicos'!$I$44,'Dados Básicos'!$I$43)&amp;" divido"&amp;$D$3</f>
        <v>I.R.C. divido</v>
      </c>
      <c r="B29" s="840">
        <f>'Bal. Inicial Previo'!H30</f>
        <v>0</v>
      </c>
      <c r="C29" s="2894">
        <v>0</v>
      </c>
      <c r="D29" s="840">
        <f t="shared" si="1"/>
        <v>0</v>
      </c>
      <c r="E29" s="2190">
        <f ca="1"/>
        <v>0</v>
      </c>
    </row>
    <row r="30" spans="1:5" s="667" customFormat="1" ht="18" customHeight="1" thickBot="1">
      <c r="A30" s="2182" t="s">
        <v>669</v>
      </c>
      <c r="B30" s="842">
        <f>'Bal. Inicial Previo'!H31</f>
        <v>0</v>
      </c>
      <c r="C30" s="842">
        <f>'Despesas Fixas Dados'!C33*'Despesas Fixas Dados'!B21</f>
        <v>0</v>
      </c>
      <c r="D30" s="842">
        <f t="shared" si="1"/>
        <v>0</v>
      </c>
      <c r="E30" s="2183">
        <f ca="1"/>
        <v>0</v>
      </c>
    </row>
    <row r="31" spans="1:5" s="667" customFormat="1" ht="18" customHeight="1" thickBot="1">
      <c r="A31" s="2197"/>
      <c r="E31" s="2198"/>
    </row>
    <row r="32" spans="1:5" s="843" customFormat="1" ht="24" customHeight="1" thickBot="1">
      <c r="A32" s="2194" t="s">
        <v>694</v>
      </c>
      <c r="B32" s="2896">
        <f>B16+B6</f>
        <v>0</v>
      </c>
      <c r="C32" s="2896">
        <f ca="1">C16+C6</f>
        <v>2335</v>
      </c>
      <c r="D32" s="2896">
        <f ca="1">D16+D6</f>
        <v>2335</v>
      </c>
      <c r="E32" s="2195">
        <f ca="1">IF(D$32=0,"",D32/$D$32)</f>
        <v>1</v>
      </c>
    </row>
    <row r="33" spans="1:5" s="667" customFormat="1" ht="18" customHeight="1">
      <c r="A33" s="668"/>
      <c r="B33" s="669"/>
      <c r="C33" s="670"/>
    </row>
    <row r="34" spans="1:5" s="667" customFormat="1" ht="18" customHeight="1">
      <c r="B34" s="1336" t="str">
        <f ca="1">IF('Investimentos AC'!I26-tesoreriasec+Finançamento!D49&lt;-0.5,TEXT(tesoreriasec-'Investimentos AC'!I26-Finançamento!D49,"#.##0 €")&amp;" de défice de Finançamento","")</f>
        <v/>
      </c>
      <c r="E34" s="21"/>
    </row>
    <row r="35" spans="1:5" ht="18" customHeight="1">
      <c r="B35" s="1336" t="str">
        <f ca="1">IF(B34&lt;&gt;"","Acrescenntar finançamento inicial","")</f>
        <v/>
      </c>
    </row>
    <row r="36" spans="1:5" ht="18" customHeight="1">
      <c r="B36" s="1633">
        <f ca="1">D32-('Investimentos AC'!I28+Amortiçações!B19-Amortiçações!C19+'Despesas Iniciais'!B26)</f>
        <v>0</v>
      </c>
    </row>
    <row r="37" spans="1:5" ht="18">
      <c r="B37" s="1348" t="str">
        <f ca="1">IF(ABS(B36)&gt;0.4," DESCUADRE EN BALANCE INICIAL","")</f>
        <v/>
      </c>
    </row>
    <row r="38" spans="1:5" ht="18" customHeight="1">
      <c r="B38" s="1349" t="str">
        <f ca="1">IF(B37&lt;&gt;"",'Balanços anuais'!D24-'Balanços anuais'!D46,"")</f>
        <v/>
      </c>
    </row>
  </sheetData>
  <sheetProtection sheet="1" objects="1" scenarios="1"/>
  <phoneticPr fontId="4" type="noConversion"/>
  <printOptions horizontalCentered="1"/>
  <pageMargins left="0.78740157480314965" right="0.78740157480314965" top="0.4" bottom="0.87" header="0.37" footer="0.26"/>
  <pageSetup paperSize="9" scale="68" orientation="landscape" horizontalDpi="4294967292" verticalDpi="300" r:id="rId1"/>
  <headerFooter alignWithMargins="0">
    <oddFooter>&amp;C&amp;"Tahoma,Normal"&amp;10&amp;A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6">
    <tabColor indexed="42"/>
    <pageSetUpPr fitToPage="1"/>
  </sheetPr>
  <dimension ref="A1:N63"/>
  <sheetViews>
    <sheetView workbookViewId="0"/>
  </sheetViews>
  <sheetFormatPr baseColWidth="10" defaultColWidth="11" defaultRowHeight="15"/>
  <cols>
    <col min="1" max="1" width="20.25" style="168" customWidth="1"/>
    <col min="2" max="7" width="14.375" style="168" customWidth="1"/>
    <col min="8" max="8" width="11.75" style="168" customWidth="1"/>
    <col min="9" max="9" width="11.875" style="168" customWidth="1"/>
    <col min="10" max="13" width="14.625" style="168" bestFit="1" customWidth="1"/>
    <col min="14" max="14" width="12.875" style="168" customWidth="1"/>
    <col min="15" max="16384" width="11" style="168"/>
  </cols>
  <sheetData>
    <row r="1" spans="1:10" ht="25.5">
      <c r="A1" s="171" t="s">
        <v>697</v>
      </c>
      <c r="E1" s="172"/>
      <c r="F1" s="173"/>
    </row>
    <row r="2" spans="1:10" ht="25.5">
      <c r="A2" s="171" t="str">
        <f>'Dados Básicos'!B9</f>
        <v>WWW, S.L.</v>
      </c>
      <c r="F2" s="171"/>
    </row>
    <row r="3" spans="1:10" ht="19.5" customHeight="1" thickBot="1">
      <c r="D3" s="169"/>
    </row>
    <row r="4" spans="1:10" s="4" customFormat="1" ht="36" customHeight="1" thickBot="1">
      <c r="A4" s="879" t="s">
        <v>698</v>
      </c>
      <c r="B4" s="886" t="str">
        <f t="array" ref="B4:H4">Finançamento!B30:H30</f>
        <v>Previo ao inicio
(Bal. Previo)</v>
      </c>
      <c r="C4" s="886" t="str">
        <v>Empréstimo 1  Ano 0:  2026</v>
      </c>
      <c r="D4" s="886" t="str">
        <v>Empréstimo 2  Ano 0:  2026</v>
      </c>
      <c r="E4" s="886" t="str">
        <v>Ano 1:  2027</v>
      </c>
      <c r="F4" s="887" t="str">
        <v>Ano 2:  2028</v>
      </c>
      <c r="G4" s="887" t="str">
        <v>Ano 3:  2029</v>
      </c>
      <c r="H4" s="887" t="str">
        <v>Ano 4:  2030</v>
      </c>
      <c r="J4" s="2897" t="s">
        <v>1123</v>
      </c>
    </row>
    <row r="5" spans="1:10" s="4" customFormat="1" ht="24.75" customHeight="1">
      <c r="A5" s="881" t="s">
        <v>714</v>
      </c>
      <c r="B5" s="880">
        <f t="array" ref="B5:H10">Finançamento!B31:H36</f>
        <v>0</v>
      </c>
      <c r="C5" s="880">
        <v>0</v>
      </c>
      <c r="D5" s="880">
        <v>0</v>
      </c>
      <c r="E5" s="880">
        <v>0</v>
      </c>
      <c r="F5" s="880">
        <v>0</v>
      </c>
      <c r="G5" s="880">
        <v>0</v>
      </c>
      <c r="H5" s="880">
        <v>0</v>
      </c>
      <c r="J5" s="185">
        <f>-IFERROR(CUMPRINC(B6/B9,B8,B5,B17,B17-1+B9,0),0)</f>
        <v>0</v>
      </c>
    </row>
    <row r="6" spans="1:10" ht="18" customHeight="1">
      <c r="A6" s="1329" t="s">
        <v>699</v>
      </c>
      <c r="B6" s="877">
        <v>0.08</v>
      </c>
      <c r="C6" s="877">
        <v>7.0000000000000007E-2</v>
      </c>
      <c r="D6" s="877">
        <v>4.4999999999999998E-2</v>
      </c>
      <c r="E6" s="877">
        <v>4.4999999999999998E-2</v>
      </c>
      <c r="F6" s="877">
        <v>0.05</v>
      </c>
      <c r="G6" s="877">
        <v>0.05</v>
      </c>
      <c r="H6" s="877">
        <v>0.05</v>
      </c>
    </row>
    <row r="7" spans="1:10" ht="18" customHeight="1">
      <c r="A7" s="1329" t="s">
        <v>700</v>
      </c>
      <c r="B7" s="877">
        <v>0</v>
      </c>
      <c r="C7" s="877">
        <v>5.0000000000000001E-3</v>
      </c>
      <c r="D7" s="877">
        <v>5.0000000000000001E-3</v>
      </c>
      <c r="E7" s="877">
        <v>5.0000000000000001E-3</v>
      </c>
      <c r="F7" s="877">
        <v>5.0000000000000001E-3</v>
      </c>
      <c r="G7" s="877">
        <v>5.0000000000000001E-3</v>
      </c>
      <c r="H7" s="877">
        <v>5.0000000000000001E-3</v>
      </c>
    </row>
    <row r="8" spans="1:10" ht="18" customHeight="1">
      <c r="A8" s="1329" t="s">
        <v>633</v>
      </c>
      <c r="B8" s="878">
        <v>78</v>
      </c>
      <c r="C8" s="878">
        <v>84</v>
      </c>
      <c r="D8" s="878">
        <v>20</v>
      </c>
      <c r="E8" s="878">
        <v>120</v>
      </c>
      <c r="F8" s="878">
        <v>120</v>
      </c>
      <c r="G8" s="878">
        <v>120</v>
      </c>
      <c r="H8" s="878">
        <v>120</v>
      </c>
    </row>
    <row r="9" spans="1:10" ht="18" customHeight="1">
      <c r="A9" s="1329" t="s">
        <v>701</v>
      </c>
      <c r="B9" s="878">
        <v>4</v>
      </c>
      <c r="C9" s="878">
        <v>12</v>
      </c>
      <c r="D9" s="878">
        <v>12</v>
      </c>
      <c r="E9" s="878">
        <v>12</v>
      </c>
      <c r="F9" s="878">
        <v>12</v>
      </c>
      <c r="G9" s="878">
        <v>12</v>
      </c>
      <c r="H9" s="878">
        <v>12</v>
      </c>
    </row>
    <row r="10" spans="1:10" ht="19.5" customHeight="1" thickBot="1">
      <c r="A10" s="1328" t="s">
        <v>547</v>
      </c>
      <c r="B10" s="884">
        <v>0</v>
      </c>
      <c r="C10" s="884">
        <v>0</v>
      </c>
      <c r="D10" s="884">
        <v>0</v>
      </c>
      <c r="E10" s="884">
        <v>0</v>
      </c>
      <c r="F10" s="884">
        <v>0</v>
      </c>
      <c r="G10" s="884">
        <v>0</v>
      </c>
      <c r="H10" s="884">
        <v>0</v>
      </c>
    </row>
    <row r="11" spans="1:10" ht="19.5" customHeight="1" thickBot="1">
      <c r="F11" s="169"/>
    </row>
    <row r="12" spans="1:10" ht="19.5" customHeight="1" thickBot="1">
      <c r="A12" s="883" t="s">
        <v>702</v>
      </c>
      <c r="B12" s="882">
        <f t="array" ref="B12:H12">IF(ISERR(PMT(B$6:H6/B$9:H9,B$8:H8,-B$5:H5)),0,PMT(B$6:H6/B$9:H9,B$8:H8,-B$5:H5))</f>
        <v>0</v>
      </c>
      <c r="C12" s="882">
        <v>0</v>
      </c>
      <c r="D12" s="882">
        <v>0</v>
      </c>
      <c r="E12" s="882">
        <v>0</v>
      </c>
      <c r="F12" s="882">
        <v>0</v>
      </c>
      <c r="G12" s="882">
        <v>0</v>
      </c>
      <c r="H12" s="882">
        <v>0</v>
      </c>
    </row>
    <row r="13" spans="1:10" ht="19.5" customHeight="1" thickBot="1">
      <c r="D13" s="169"/>
      <c r="G13" s="169"/>
    </row>
    <row r="14" spans="1:10" ht="19.5" customHeight="1" thickBot="1">
      <c r="A14" s="1330" t="s">
        <v>703</v>
      </c>
      <c r="B14" s="885">
        <f t="array" ref="B14:H14">B10:H10*12/B9:H9</f>
        <v>0</v>
      </c>
      <c r="C14" s="885">
        <v>0</v>
      </c>
      <c r="D14" s="885">
        <v>0</v>
      </c>
      <c r="E14" s="885">
        <v>0</v>
      </c>
      <c r="F14" s="885">
        <v>0</v>
      </c>
      <c r="G14" s="885">
        <v>0</v>
      </c>
      <c r="H14" s="885">
        <v>0</v>
      </c>
    </row>
    <row r="15" spans="1:10" ht="19.5" customHeight="1" thickBot="1">
      <c r="A15" s="1330" t="s">
        <v>704</v>
      </c>
      <c r="B15" s="885">
        <f t="array" ref="B15:H15">B8:H8*12/B9:H9</f>
        <v>234</v>
      </c>
      <c r="C15" s="885">
        <v>84</v>
      </c>
      <c r="D15" s="885">
        <v>20</v>
      </c>
      <c r="E15" s="885">
        <v>120</v>
      </c>
      <c r="F15" s="885">
        <v>120</v>
      </c>
      <c r="G15" s="885">
        <v>120</v>
      </c>
      <c r="H15" s="885">
        <v>120</v>
      </c>
    </row>
    <row r="16" spans="1:10" ht="19.5" customHeight="1" thickBot="1">
      <c r="A16" s="1330" t="s">
        <v>705</v>
      </c>
      <c r="B16" s="885">
        <f>mes0</f>
        <v>1</v>
      </c>
      <c r="C16" s="885">
        <f>mes0</f>
        <v>1</v>
      </c>
      <c r="D16" s="885">
        <f>mes0</f>
        <v>1</v>
      </c>
      <c r="E16" s="885">
        <v>13</v>
      </c>
      <c r="F16" s="885">
        <v>25</v>
      </c>
      <c r="G16" s="885">
        <v>37</v>
      </c>
      <c r="H16" s="885">
        <v>49</v>
      </c>
    </row>
    <row r="17" spans="1:14" ht="19.5" customHeight="1" thickBot="1">
      <c r="A17" s="1330" t="s">
        <v>706</v>
      </c>
      <c r="B17" s="885">
        <f>mes0+B14</f>
        <v>1</v>
      </c>
      <c r="C17" s="885">
        <f>mes0+C14</f>
        <v>1</v>
      </c>
      <c r="D17" s="885">
        <f>mes0+D14</f>
        <v>1</v>
      </c>
      <c r="E17" s="885">
        <f t="array" ref="E17:H17">E16:H16+E14:H14</f>
        <v>13</v>
      </c>
      <c r="F17" s="885">
        <v>25</v>
      </c>
      <c r="G17" s="885">
        <v>37</v>
      </c>
      <c r="H17" s="885">
        <v>49</v>
      </c>
    </row>
    <row r="18" spans="1:14" ht="19.5" customHeight="1" thickBot="1">
      <c r="A18" s="1330" t="s">
        <v>707</v>
      </c>
      <c r="B18" s="885">
        <f t="array" ref="B18:H18">B17:H17+B15:H15-1</f>
        <v>234</v>
      </c>
      <c r="C18" s="885">
        <v>84</v>
      </c>
      <c r="D18" s="885">
        <v>20</v>
      </c>
      <c r="E18" s="885">
        <v>132</v>
      </c>
      <c r="F18" s="885">
        <v>144</v>
      </c>
      <c r="G18" s="885">
        <v>156</v>
      </c>
      <c r="H18" s="885">
        <v>168</v>
      </c>
    </row>
    <row r="19" spans="1:14" ht="19.5" customHeight="1">
      <c r="C19" s="169"/>
      <c r="F19" s="169"/>
    </row>
    <row r="20" spans="1:14" ht="19.5" customHeight="1" thickBot="1">
      <c r="A20" s="2761" t="str">
        <f>Parametros!$B$77</f>
        <v>Ano 0:  2026</v>
      </c>
      <c r="B20" s="170"/>
      <c r="C20" s="169"/>
      <c r="D20" s="169"/>
      <c r="E20" s="169"/>
      <c r="F20" s="169"/>
      <c r="G20" s="169"/>
    </row>
    <row r="21" spans="1:14" s="4" customFormat="1" ht="19.5" customHeight="1" thickBot="1">
      <c r="A21" s="174" t="s">
        <v>89</v>
      </c>
      <c r="B21" s="175">
        <v>1</v>
      </c>
      <c r="C21" s="176">
        <v>2</v>
      </c>
      <c r="D21" s="176">
        <v>3</v>
      </c>
      <c r="E21" s="176">
        <v>4</v>
      </c>
      <c r="F21" s="176">
        <v>5</v>
      </c>
      <c r="G21" s="176">
        <v>6</v>
      </c>
      <c r="H21" s="176">
        <v>7</v>
      </c>
      <c r="I21" s="176">
        <v>8</v>
      </c>
      <c r="J21" s="176">
        <v>9</v>
      </c>
      <c r="K21" s="176">
        <v>10</v>
      </c>
      <c r="L21" s="176">
        <v>11</v>
      </c>
      <c r="M21" s="177">
        <v>12</v>
      </c>
      <c r="N21" s="178" t="s">
        <v>612</v>
      </c>
    </row>
    <row r="22" spans="1:14" s="4" customFormat="1" ht="19.5" customHeight="1">
      <c r="A22" s="179" t="s">
        <v>708</v>
      </c>
      <c r="B22" s="180">
        <f t="array" ref="B22:M22">B23:M23+B24:M24</f>
        <v>0</v>
      </c>
      <c r="C22" s="181">
        <v>0</v>
      </c>
      <c r="D22" s="181">
        <v>0</v>
      </c>
      <c r="E22" s="181">
        <v>0</v>
      </c>
      <c r="F22" s="181">
        <v>0</v>
      </c>
      <c r="G22" s="181">
        <v>0</v>
      </c>
      <c r="H22" s="181">
        <v>0</v>
      </c>
      <c r="I22" s="181">
        <v>0</v>
      </c>
      <c r="J22" s="181">
        <v>0</v>
      </c>
      <c r="K22" s="181">
        <v>0</v>
      </c>
      <c r="L22" s="181">
        <v>0</v>
      </c>
      <c r="M22" s="182">
        <v>0</v>
      </c>
      <c r="N22" s="183">
        <f>SUM(B22:M22)</f>
        <v>0</v>
      </c>
    </row>
    <row r="23" spans="1:14" s="4" customFormat="1" ht="19.5" customHeight="1">
      <c r="A23" s="184" t="s">
        <v>709</v>
      </c>
      <c r="B23" s="888">
        <f t="array" ref="B23:M23">IF(B21:M21=$B$16,$B$5*$B$7,0)+IF(B21:M21=$C$16,$C$5*$C$7,0)+IF(B21:M21=$D$16,$D$5*$D$7,0)
+IF(MOD((B21:M21-$B$16)*$B$9,12),0,IF(B21:M21&lt;$B$16,0,IF(B21:M21&lt;$B$17,$B$5*$B$6/$B$9,IF(B21:M21&lt;=$B$18,IPMT($B$6/$B$9,(B21:M21-$B$16)*$B$9/12-$B$10+1,$B$8,-$B$5),0))))
+IF(MOD((B21:M21-$C$16)*$C$9,12),0,IF(B21:M21&lt;$C$16,0,IF(B21:M21&lt;$C$17,$C$5*$C$6/$C$9,IF(B21:M21&lt;=$C$18,IPMT($C$6/$C$9,(B21:M21-$C$16)*$C$9/12-$C$10+1,$C$8,-$C$5),0))))
+IF(MOD((B21:M21-$D$16)*$D$9,12),0,IF(B21:M21&lt;$D$16,0,IF(B21:M21&lt;$D$17,$D$5*$D$6/$D$9,IF(B21:M21&lt;=$D$18,IPMT($D$6/$D$9,(B21:M21-$D$16)*$D$9/12-$D$10+1,$D$8,-$D$5),0))))</f>
        <v>0</v>
      </c>
      <c r="C23" s="185">
        <v>0</v>
      </c>
      <c r="D23" s="185">
        <v>0</v>
      </c>
      <c r="E23" s="185">
        <v>0</v>
      </c>
      <c r="F23" s="185">
        <v>0</v>
      </c>
      <c r="G23" s="185">
        <v>0</v>
      </c>
      <c r="H23" s="185">
        <v>0</v>
      </c>
      <c r="I23" s="185">
        <v>0</v>
      </c>
      <c r="J23" s="185">
        <v>0</v>
      </c>
      <c r="K23" s="185">
        <v>0</v>
      </c>
      <c r="L23" s="185">
        <v>0</v>
      </c>
      <c r="M23" s="186">
        <v>0</v>
      </c>
      <c r="N23" s="187">
        <f>SUM(B23:M23)</f>
        <v>0</v>
      </c>
    </row>
    <row r="24" spans="1:14" s="4" customFormat="1" ht="19.5" customHeight="1" thickBot="1">
      <c r="A24" s="189" t="s">
        <v>710</v>
      </c>
      <c r="B24" s="889">
        <f t="shared" ref="B24:M24" si="0">IF(AND(B21&gt;=$B$17,B21&lt;=$B$18,MOD((B21-$B$16)*$B$9,12)=0),PPMT($B$6/$B$9,(B21-$B$16)*$B$9/12-$B$10+1,$B$8,-$B$5),0)
+IF(AND(B21&gt;=$C$17,B21&lt;=$C$18,MOD((B21-$C$16)*$C$9,12)=0),PPMT($C$6/$C$9,(B21-$C$16)*$C$9/12-$C$10+1,$C$8,-$C$5),0)
+IF(AND(B21&gt;=$D$17,B21&lt;=$D$18,MOD((B21-$D$16)*$D$9,12)=0),PPMT($D$6/$D$9,(B21-$D$16)*$D$9/12-$D$10+1,$D$8,-$D$5),0)</f>
        <v>0</v>
      </c>
      <c r="C24" s="890">
        <f t="shared" si="0"/>
        <v>0</v>
      </c>
      <c r="D24" s="890">
        <f t="shared" si="0"/>
        <v>0</v>
      </c>
      <c r="E24" s="890">
        <f t="shared" si="0"/>
        <v>0</v>
      </c>
      <c r="F24" s="890">
        <f t="shared" si="0"/>
        <v>0</v>
      </c>
      <c r="G24" s="890">
        <f t="shared" si="0"/>
        <v>0</v>
      </c>
      <c r="H24" s="890">
        <f t="shared" si="0"/>
        <v>0</v>
      </c>
      <c r="I24" s="890">
        <f t="shared" si="0"/>
        <v>0</v>
      </c>
      <c r="J24" s="890">
        <f t="shared" si="0"/>
        <v>0</v>
      </c>
      <c r="K24" s="890">
        <f t="shared" si="0"/>
        <v>0</v>
      </c>
      <c r="L24" s="890">
        <f t="shared" si="0"/>
        <v>0</v>
      </c>
      <c r="M24" s="891">
        <f t="shared" si="0"/>
        <v>0</v>
      </c>
      <c r="N24" s="188">
        <f>SUM(B24:M24)</f>
        <v>0</v>
      </c>
    </row>
    <row r="25" spans="1:14" ht="19.5" customHeight="1">
      <c r="A25" s="25"/>
    </row>
    <row r="26" spans="1:14" ht="19.5" customHeight="1">
      <c r="C26" s="169"/>
    </row>
    <row r="27" spans="1:14" ht="19.5" customHeight="1" thickBot="1">
      <c r="A27" s="2761" t="str">
        <f>Parametros!$B$78</f>
        <v>Ano 1:  2027</v>
      </c>
      <c r="B27" s="170"/>
      <c r="C27" s="169"/>
    </row>
    <row r="28" spans="1:14" s="4" customFormat="1" ht="19.5" customHeight="1" thickBot="1">
      <c r="A28" s="174" t="str">
        <f t="array" ref="A28:A30">A21:A23</f>
        <v>meses</v>
      </c>
      <c r="B28" s="175">
        <v>13</v>
      </c>
      <c r="C28" s="176">
        <v>14</v>
      </c>
      <c r="D28" s="176">
        <v>15</v>
      </c>
      <c r="E28" s="176">
        <v>16</v>
      </c>
      <c r="F28" s="176">
        <v>17</v>
      </c>
      <c r="G28" s="176">
        <v>18</v>
      </c>
      <c r="H28" s="176">
        <v>19</v>
      </c>
      <c r="I28" s="176">
        <v>20</v>
      </c>
      <c r="J28" s="176">
        <v>21</v>
      </c>
      <c r="K28" s="176">
        <v>22</v>
      </c>
      <c r="L28" s="176">
        <v>23</v>
      </c>
      <c r="M28" s="177">
        <v>24</v>
      </c>
      <c r="N28" s="178" t="s">
        <v>612</v>
      </c>
    </row>
    <row r="29" spans="1:14" s="4" customFormat="1" ht="19.5" customHeight="1">
      <c r="A29" s="179" t="str">
        <v>Pagamentos</v>
      </c>
      <c r="B29" s="180">
        <f t="array" ref="B29:M29">B30:M30+B32:M32</f>
        <v>0</v>
      </c>
      <c r="C29" s="181">
        <v>0</v>
      </c>
      <c r="D29" s="181">
        <v>0</v>
      </c>
      <c r="E29" s="181">
        <v>0</v>
      </c>
      <c r="F29" s="181">
        <v>0</v>
      </c>
      <c r="G29" s="181">
        <v>0</v>
      </c>
      <c r="H29" s="181">
        <v>0</v>
      </c>
      <c r="I29" s="181">
        <v>0</v>
      </c>
      <c r="J29" s="181">
        <v>0</v>
      </c>
      <c r="K29" s="181">
        <v>0</v>
      </c>
      <c r="L29" s="181">
        <v>0</v>
      </c>
      <c r="M29" s="182">
        <v>0</v>
      </c>
      <c r="N29" s="183">
        <f>SUM(B29:M29)</f>
        <v>0</v>
      </c>
    </row>
    <row r="30" spans="1:14" s="4" customFormat="1" ht="19.5" customHeight="1">
      <c r="A30" s="184" t="str">
        <v>Juros</v>
      </c>
      <c r="B30" s="888">
        <f t="array" ref="B30:M30">IF(B28:M28=$E$16,$E$7*$E$5,0)
+IF(MOD((B28:M28-$B$16)*$B$9,12),0,IF(B28:M28&lt;$B$16,0,IF(B28:M28&lt;$B$17,$B$5*$B$6/$B$9,IF(B28:M28&lt;=$B$18,IPMT($B$6/$B$9,(B28:M28-$B$16)*$B$9/12-$B$10+1,$B$8,-$B$5),0))))
+IF(MOD((B28:M28-$C$16)*$C$9,12),0,IF(B28:M28&lt;$C$16,0,IF(B28:M28&lt;$C$17,$C$5*$C$6/$C$9,IF(B28:M28&lt;=$C$18,IPMT($C$6/$C$9,(B28:M28-$C$16)*$C$9/12-$C$10+1,$C$8,-$C$5),0))))
+IF(MOD((B28:M28-$D$16)*$D$9,12),0,IF(B28:M28&lt;$D$16,0,IF(B28:M28&lt;$D$17,$D$5*$D$6/$D$9,IF(B28:M28&lt;=$D$18,IPMT($D$6/$D$9,(B28:M28-$D$16)*$D$9/12-$D$10+1,$D$8,-$D$5),0))))
+IF(MOD((B28:M28-$E$16)*$E$9,12),0,IF(B28:M28&lt;$E$17,$E$5*$E$6/$E$9,IF(B28:M28&lt;=$E$18,IPMT($E$6/$E$9,(B28:M28-$E$16)*$E$9/12-$E$10+1,$E$8,-$E$5),0)))</f>
        <v>0</v>
      </c>
      <c r="C30" s="185">
        <v>0</v>
      </c>
      <c r="D30" s="185">
        <v>0</v>
      </c>
      <c r="E30" s="185">
        <v>0</v>
      </c>
      <c r="F30" s="185">
        <v>0</v>
      </c>
      <c r="G30" s="185">
        <v>0</v>
      </c>
      <c r="H30" s="185">
        <v>0</v>
      </c>
      <c r="I30" s="185">
        <v>0</v>
      </c>
      <c r="J30" s="185">
        <v>0</v>
      </c>
      <c r="K30" s="185">
        <v>0</v>
      </c>
      <c r="L30" s="185">
        <v>0</v>
      </c>
      <c r="M30" s="186">
        <v>0</v>
      </c>
      <c r="N30" s="187">
        <f>SUM(B30:M30)</f>
        <v>0</v>
      </c>
    </row>
    <row r="31" spans="1:14" s="4" customFormat="1" ht="19.5" customHeight="1">
      <c r="A31" s="2028" t="s">
        <v>711</v>
      </c>
      <c r="B31" s="2029">
        <f t="shared" ref="B31:M31" si="1">+IF(AND(B28&gt;=$E$17,B28&lt;=$E$18,MOD((B28-$E$16)*$E$9,12)=0),PPMT($E$6/$E$9,(B28-$E$16)*$E$9/12-$E$10+1,$E$8,-$E$5),0)</f>
        <v>0</v>
      </c>
      <c r="C31" s="2030">
        <f t="shared" si="1"/>
        <v>0</v>
      </c>
      <c r="D31" s="2030">
        <f t="shared" si="1"/>
        <v>0</v>
      </c>
      <c r="E31" s="2030">
        <f t="shared" si="1"/>
        <v>0</v>
      </c>
      <c r="F31" s="2030">
        <f t="shared" si="1"/>
        <v>0</v>
      </c>
      <c r="G31" s="2030">
        <f t="shared" si="1"/>
        <v>0</v>
      </c>
      <c r="H31" s="2030">
        <f t="shared" si="1"/>
        <v>0</v>
      </c>
      <c r="I31" s="2030">
        <f t="shared" si="1"/>
        <v>0</v>
      </c>
      <c r="J31" s="2030">
        <f t="shared" si="1"/>
        <v>0</v>
      </c>
      <c r="K31" s="2030">
        <f t="shared" si="1"/>
        <v>0</v>
      </c>
      <c r="L31" s="2030">
        <f t="shared" si="1"/>
        <v>0</v>
      </c>
      <c r="M31" s="2031">
        <f t="shared" si="1"/>
        <v>0</v>
      </c>
      <c r="N31" s="187">
        <f>SUM(B31:M31)</f>
        <v>0</v>
      </c>
    </row>
    <row r="32" spans="1:14" s="4" customFormat="1" ht="19.5" customHeight="1" thickBot="1">
      <c r="A32" s="189" t="str">
        <f>A24</f>
        <v>Amortiçações</v>
      </c>
      <c r="B32" s="889">
        <f t="shared" ref="B32:M32" si="2">IF(AND(B28&gt;=$B$17,B28&lt;=$B$18,MOD((B28-$B$16)*$B$9,12)=0),PPMT($B$6/$B$9,(B28-$B$16)*$B$9/12-$B$10+1,$B$8,-$B$5),0)
+IF(AND(B28&gt;=$C$17,B28&lt;=$C$18,MOD((B28-$C$16)*$C$9,12)=0),PPMT($C$6/$C$9,(B28-$C$16)*$C$9/12-$C$10+1,$C$8,-$C$5),0)
+IF(AND(B28&gt;=$D$17,B28&lt;=$D$18,MOD((B28-$D$16)*$D$9,12)=0),PPMT($D$6/$D$9,(B28-$D$16)*$D$9/12-$D$10+1,$D$8,-$D$5),0)
+IF(AND(B28&gt;=$E$17,B28&lt;=$E$18,MOD((B28-$E$16)*$E$9,12)=0),PPMT($E$6/$E$9,(B28-$E$16)*$E$9/12-$E$10+1,$E$8,-$E$5),0)</f>
        <v>0</v>
      </c>
      <c r="C32" s="890">
        <f t="shared" si="2"/>
        <v>0</v>
      </c>
      <c r="D32" s="890">
        <f t="shared" si="2"/>
        <v>0</v>
      </c>
      <c r="E32" s="890">
        <f t="shared" si="2"/>
        <v>0</v>
      </c>
      <c r="F32" s="890">
        <f t="shared" si="2"/>
        <v>0</v>
      </c>
      <c r="G32" s="890">
        <f t="shared" si="2"/>
        <v>0</v>
      </c>
      <c r="H32" s="890">
        <f t="shared" si="2"/>
        <v>0</v>
      </c>
      <c r="I32" s="890">
        <f t="shared" si="2"/>
        <v>0</v>
      </c>
      <c r="J32" s="890">
        <f t="shared" si="2"/>
        <v>0</v>
      </c>
      <c r="K32" s="890">
        <f t="shared" si="2"/>
        <v>0</v>
      </c>
      <c r="L32" s="890">
        <f t="shared" si="2"/>
        <v>0</v>
      </c>
      <c r="M32" s="891">
        <f t="shared" si="2"/>
        <v>0</v>
      </c>
      <c r="N32" s="188">
        <f>SUM(B32:M32)</f>
        <v>0</v>
      </c>
    </row>
    <row r="35" spans="1:14" ht="18.75" thickBot="1">
      <c r="A35" s="2761" t="str">
        <f>Parametros!$B$79</f>
        <v>Ano 2:  2028</v>
      </c>
      <c r="B35" s="170"/>
    </row>
    <row r="36" spans="1:14" s="4" customFormat="1" ht="19.5" customHeight="1" thickBot="1">
      <c r="A36" s="174" t="str">
        <f t="array" ref="A36:A40">A$28:A$32</f>
        <v>meses</v>
      </c>
      <c r="B36" s="175">
        <v>25</v>
      </c>
      <c r="C36" s="176">
        <v>26</v>
      </c>
      <c r="D36" s="176">
        <v>27</v>
      </c>
      <c r="E36" s="176">
        <v>28</v>
      </c>
      <c r="F36" s="176">
        <v>29</v>
      </c>
      <c r="G36" s="176">
        <v>30</v>
      </c>
      <c r="H36" s="176">
        <v>31</v>
      </c>
      <c r="I36" s="176">
        <v>32</v>
      </c>
      <c r="J36" s="176">
        <v>33</v>
      </c>
      <c r="K36" s="176">
        <v>34</v>
      </c>
      <c r="L36" s="176">
        <v>35</v>
      </c>
      <c r="M36" s="177">
        <v>36</v>
      </c>
      <c r="N36" s="178" t="s">
        <v>612</v>
      </c>
    </row>
    <row r="37" spans="1:14" s="4" customFormat="1" ht="19.5" customHeight="1">
      <c r="A37" s="179" t="str">
        <v>Pagamentos</v>
      </c>
      <c r="B37" s="180">
        <f t="array" ref="B37:M37">B38:M38+B40:M40</f>
        <v>0</v>
      </c>
      <c r="C37" s="181">
        <v>0</v>
      </c>
      <c r="D37" s="181">
        <v>0</v>
      </c>
      <c r="E37" s="181">
        <v>0</v>
      </c>
      <c r="F37" s="181">
        <v>0</v>
      </c>
      <c r="G37" s="181">
        <v>0</v>
      </c>
      <c r="H37" s="181">
        <v>0</v>
      </c>
      <c r="I37" s="181">
        <v>0</v>
      </c>
      <c r="J37" s="181">
        <v>0</v>
      </c>
      <c r="K37" s="181">
        <v>0</v>
      </c>
      <c r="L37" s="181">
        <v>0</v>
      </c>
      <c r="M37" s="182">
        <v>0</v>
      </c>
      <c r="N37" s="183">
        <f>SUM(B37:M37)</f>
        <v>0</v>
      </c>
    </row>
    <row r="38" spans="1:14" s="4" customFormat="1" ht="19.5" customHeight="1">
      <c r="A38" s="184" t="str">
        <v>Juros</v>
      </c>
      <c r="B38" s="888">
        <f t="array" ref="B38:M38">IF(B36:M36=$F$16,$F$7*$F$5,0)
+IF(MOD((B36:M36-$B$16)*$B$9,12),0,IF(B36:M36&lt;$B$17,$B$5*$B$6/$B$9,IF(B36:M36&lt;=$B$18,IPMT($B$6/$B$9,(B36:M36-$B$16)*$B$9/12-$B$10+1,$B$8,-$B$5),0)))
+IF(MOD((B36:M36-$C$16)*$C$9,12),0,IF(B36:M36&lt;$C$17,$C$5*$C$6/$C$9,IF(B36:M36&lt;=$C$18,IPMT($C$6/$C$9,(B36:M36-$C$16)*$C$9/12-$C$10+1,$C$8,-$C$5),0)))
+IF(MOD((B36:M36-$D$16)*$D$9,12),0,IF(B36:M36&lt;$D$17,$D$5*$D$6/$D$9,IF(B36:M36&lt;=$D$18,IPMT($D$6/$D$9,(B36:M36-$D$16)*$D$9/12-$D$10+1,$D$8,-$D$5),0)))
+IF(MOD((B36:M36-$E$16)*$E$9,12),0,IF(B36:M36&lt;$E$17,$E$5*$E$6/$E$9,IF(B36:M36&lt;=$E$18,IPMT($E$6/$E$9,(B36:M36-$E$16)*$E$9/12-$E$10+1,$E$8,-$E$5),0)))
+IF(MOD((B36:M36-$F$16)*$F$9,12),0,IF(B36:M36&lt;$F$17,$F$5*$F$6/$F$9,IF(B36:M36&lt;$F$18,IPMT($F$6/$F$9,(B36:M36-$F$16)*$F$9/12-$F$10+1,$F$8,-$F$5),0)))</f>
        <v>0</v>
      </c>
      <c r="C38" s="185">
        <v>0</v>
      </c>
      <c r="D38" s="185">
        <v>0</v>
      </c>
      <c r="E38" s="185">
        <v>0</v>
      </c>
      <c r="F38" s="185">
        <v>0</v>
      </c>
      <c r="G38" s="185">
        <v>0</v>
      </c>
      <c r="H38" s="185">
        <v>0</v>
      </c>
      <c r="I38" s="185">
        <v>0</v>
      </c>
      <c r="J38" s="185">
        <v>0</v>
      </c>
      <c r="K38" s="185">
        <v>0</v>
      </c>
      <c r="L38" s="185">
        <v>0</v>
      </c>
      <c r="M38" s="186">
        <v>0</v>
      </c>
      <c r="N38" s="187">
        <f>SUM(B38:M38)</f>
        <v>0</v>
      </c>
    </row>
    <row r="39" spans="1:14" s="4" customFormat="1" ht="19.5" customHeight="1">
      <c r="A39" s="2028" t="str">
        <v>Amort. Novo empréstimo</v>
      </c>
      <c r="B39" s="2029">
        <f t="shared" ref="B39:M39" si="3">+IF(AND(B36&gt;=$F$17,B36&lt;=$F$18,MOD((B36-$F$16)*$F$9,12)=0),PPMT($F$6/$F$9,(B36-$F$16)*$F$9/12-$F$10+1,$F$8,-$F$5),0)</f>
        <v>0</v>
      </c>
      <c r="C39" s="2030">
        <f t="shared" si="3"/>
        <v>0</v>
      </c>
      <c r="D39" s="2030">
        <f t="shared" si="3"/>
        <v>0</v>
      </c>
      <c r="E39" s="2030">
        <f t="shared" si="3"/>
        <v>0</v>
      </c>
      <c r="F39" s="2030">
        <f t="shared" si="3"/>
        <v>0</v>
      </c>
      <c r="G39" s="2030">
        <f t="shared" si="3"/>
        <v>0</v>
      </c>
      <c r="H39" s="2030">
        <f t="shared" si="3"/>
        <v>0</v>
      </c>
      <c r="I39" s="2030">
        <f t="shared" si="3"/>
        <v>0</v>
      </c>
      <c r="J39" s="2030">
        <f t="shared" si="3"/>
        <v>0</v>
      </c>
      <c r="K39" s="2030">
        <f t="shared" si="3"/>
        <v>0</v>
      </c>
      <c r="L39" s="2030">
        <f t="shared" si="3"/>
        <v>0</v>
      </c>
      <c r="M39" s="2031">
        <f t="shared" si="3"/>
        <v>0</v>
      </c>
      <c r="N39" s="187">
        <f>SUM(B39:M39)</f>
        <v>0</v>
      </c>
    </row>
    <row r="40" spans="1:14" s="4" customFormat="1" ht="19.5" customHeight="1" thickBot="1">
      <c r="A40" s="189" t="str">
        <v>Amortiçações</v>
      </c>
      <c r="B40" s="889">
        <f t="shared" ref="B40:M40" si="4">IF(AND(B36&gt;=$B$17,B36&lt;=$B$18,MOD((B36-$B$16)*$B$9,12)=0),PPMT($B$6/$B$9,(B36-$B$16)*$B$9/12-$B$10+1,$B$8,-$B$5),0)
+IF(AND(B36&gt;=$C$17,B36&lt;=$C$18,MOD((B36-$C$16)*$C$9,12)=0),PPMT($C$6/$C$9,(B36-$C$16)*$C$9/12-$C$10+1,$C$8,-$C$5),0)
+IF(AND(B36&gt;=$D$17,B36&lt;=$D$18,MOD((B36-$D$16)*$D$9,12)=0),PPMT($D$6/$D$9,(B36-$D$16)*$D$9/12-$D$10+1,$D$8,-$D$5),0)
+IF(AND(B36&gt;=$E$17,B36&lt;=$E$18,MOD((B36-$E$16)*$E$9,12)=0),PPMT($E$6/$E$9,(B36-$E$16)*$E$9/12-$E$10+1,$E$8,-$E$5),0)
+IF(AND(B36&gt;=$F$17,B36&lt;=$F$18,MOD((B36-$F$16)*$F$9,12)=0),PPMT($F$6/$F$9,(B36-$F$16)*$F$9/12-$F$10+1,$F$8,-$F$5),0)</f>
        <v>0</v>
      </c>
      <c r="C40" s="890">
        <f t="shared" si="4"/>
        <v>0</v>
      </c>
      <c r="D40" s="890">
        <f t="shared" si="4"/>
        <v>0</v>
      </c>
      <c r="E40" s="890">
        <f t="shared" si="4"/>
        <v>0</v>
      </c>
      <c r="F40" s="890">
        <f t="shared" si="4"/>
        <v>0</v>
      </c>
      <c r="G40" s="890">
        <f t="shared" si="4"/>
        <v>0</v>
      </c>
      <c r="H40" s="890">
        <f t="shared" si="4"/>
        <v>0</v>
      </c>
      <c r="I40" s="890">
        <f t="shared" si="4"/>
        <v>0</v>
      </c>
      <c r="J40" s="890">
        <f t="shared" si="4"/>
        <v>0</v>
      </c>
      <c r="K40" s="890">
        <f t="shared" si="4"/>
        <v>0</v>
      </c>
      <c r="L40" s="890">
        <f t="shared" si="4"/>
        <v>0</v>
      </c>
      <c r="M40" s="891">
        <f t="shared" si="4"/>
        <v>0</v>
      </c>
      <c r="N40" s="188">
        <f>SUM(B40:M40)</f>
        <v>0</v>
      </c>
    </row>
    <row r="43" spans="1:14" ht="18.75" thickBot="1">
      <c r="A43" s="2761" t="str">
        <f>Parametros!$B$80</f>
        <v>Ano 3:  2029</v>
      </c>
      <c r="B43" s="170"/>
    </row>
    <row r="44" spans="1:14" s="4" customFormat="1" ht="19.5" customHeight="1" thickBot="1">
      <c r="A44" s="174" t="str">
        <f t="array" ref="A44:A48">A$28:A$32</f>
        <v>meses</v>
      </c>
      <c r="B44" s="175">
        <v>37</v>
      </c>
      <c r="C44" s="176">
        <v>38</v>
      </c>
      <c r="D44" s="176">
        <v>39</v>
      </c>
      <c r="E44" s="176">
        <v>40</v>
      </c>
      <c r="F44" s="176">
        <v>41</v>
      </c>
      <c r="G44" s="176">
        <v>42</v>
      </c>
      <c r="H44" s="176">
        <v>43</v>
      </c>
      <c r="I44" s="176">
        <v>44</v>
      </c>
      <c r="J44" s="176">
        <v>45</v>
      </c>
      <c r="K44" s="176">
        <v>46</v>
      </c>
      <c r="L44" s="176">
        <v>47</v>
      </c>
      <c r="M44" s="177">
        <v>48</v>
      </c>
      <c r="N44" s="178" t="s">
        <v>612</v>
      </c>
    </row>
    <row r="45" spans="1:14" s="4" customFormat="1" ht="19.5" customHeight="1">
      <c r="A45" s="179" t="str">
        <v>Pagamentos</v>
      </c>
      <c r="B45" s="180">
        <f t="array" ref="B45:M45">B46:M46+B48:M48</f>
        <v>0</v>
      </c>
      <c r="C45" s="181">
        <v>0</v>
      </c>
      <c r="D45" s="181">
        <v>0</v>
      </c>
      <c r="E45" s="181">
        <v>0</v>
      </c>
      <c r="F45" s="181">
        <v>0</v>
      </c>
      <c r="G45" s="181">
        <v>0</v>
      </c>
      <c r="H45" s="181">
        <v>0</v>
      </c>
      <c r="I45" s="181">
        <v>0</v>
      </c>
      <c r="J45" s="181">
        <v>0</v>
      </c>
      <c r="K45" s="181">
        <v>0</v>
      </c>
      <c r="L45" s="181">
        <v>0</v>
      </c>
      <c r="M45" s="182">
        <v>0</v>
      </c>
      <c r="N45" s="183">
        <f>SUM(B45:M45)</f>
        <v>0</v>
      </c>
    </row>
    <row r="46" spans="1:14" s="4" customFormat="1" ht="19.5" customHeight="1">
      <c r="A46" s="184" t="str">
        <v>Juros</v>
      </c>
      <c r="B46" s="888">
        <f t="array" ref="B46:M46">IF(B44:M44=$G$16,$G$7*$G$5,0)
+IF(MOD((B44:M44-$B$16)*$B$9,12),0,IF(B44:M44&lt;$B$17,$B$5*$B$6/$B$9,IF(B44:M44&lt;=$B$18,IPMT($B$6/$B$9,(B44:M44-$B$16)*$B$9/12-$B$10+1,$B$8,-$B$5),0)))
+IF(MOD((B44:M44-$C$16)*$C$9,12),0,IF(B44:M44&lt;$C$17,$C$5*$C$6/$C$9,IF(B44:M44&lt;=$C$18,IPMT($C$6/$C$9,(B44:M44-$C$16)*$C$9/12-$C$10+1,$C$8,-$C$5),0)))
+IF(MOD((B44:M44-$D$16)*$D$9,12),0,IF(B44:M44&lt;$D$17,$D$5*$D$6/$D$9,IF(B44:M44&lt;=$D$18,IPMT($D$6/$D$9,(B44:M44-$D$16)*$D$9/12-$D$10+1,$D$8,-$D$5),0)))
+IF(MOD((B44:M44-$E$16)*$E$9,12),0,IF(B44:M44&lt;$E$17,$E$5*$E$6/$E$9,IF(B44:M44&lt;=$E$18,IPMT($E$6/$E$9,(B44:M44-$E$16)*$E$9/12-$E$10+1,$E$8,-$E$5),0)))
+IF(MOD((B44:M44-$F$16)*$F$9,12),0,IF(B44:M44&lt;$F$17,$F$5*$F$6/$F$9,IF(B44:M44&lt;=$F$18,IPMT($F$6/$F$9,(B44:M44-$F$16)*$F$9/12-$F$10+1,$F$8,-$F$5),0)))
+IF(MOD((B44:M44-$G$16)*$G$9,12),0,IF(B44:M44&lt;$G$17,$G$5*$G$6/$G$9,IF(B44:M44&lt;=$G$18,IPMT($G$6/$G$9,(B44:M44-$G$16)*$G$9/12-$G$10+1,$G$8,-$G$5),0)))</f>
        <v>0</v>
      </c>
      <c r="C46" s="185">
        <v>0</v>
      </c>
      <c r="D46" s="185">
        <v>0</v>
      </c>
      <c r="E46" s="185">
        <v>0</v>
      </c>
      <c r="F46" s="185">
        <v>0</v>
      </c>
      <c r="G46" s="185">
        <v>0</v>
      </c>
      <c r="H46" s="185">
        <v>0</v>
      </c>
      <c r="I46" s="185">
        <v>0</v>
      </c>
      <c r="J46" s="185">
        <v>0</v>
      </c>
      <c r="K46" s="185">
        <v>0</v>
      </c>
      <c r="L46" s="185">
        <v>0</v>
      </c>
      <c r="M46" s="186">
        <v>0</v>
      </c>
      <c r="N46" s="187">
        <f>SUM(B46:M46)</f>
        <v>0</v>
      </c>
    </row>
    <row r="47" spans="1:14" s="4" customFormat="1" ht="19.5" customHeight="1">
      <c r="A47" s="2028" t="str">
        <v>Amort. Novo empréstimo</v>
      </c>
      <c r="B47" s="2029">
        <f t="shared" ref="B47:M47" si="5">+IF(AND(B44&gt;=$G$17,B44&lt;=$G$18,MOD((B44-$G$16)*$G$9,12)=0),PPMT($G$6/$G$9,(B44-$G$16)*$G$9/12-$G$10+1,$G$8,-$G$5),0)</f>
        <v>0</v>
      </c>
      <c r="C47" s="2030">
        <f t="shared" si="5"/>
        <v>0</v>
      </c>
      <c r="D47" s="2030">
        <f t="shared" si="5"/>
        <v>0</v>
      </c>
      <c r="E47" s="2030">
        <f t="shared" si="5"/>
        <v>0</v>
      </c>
      <c r="F47" s="2030">
        <f t="shared" si="5"/>
        <v>0</v>
      </c>
      <c r="G47" s="2030">
        <f t="shared" si="5"/>
        <v>0</v>
      </c>
      <c r="H47" s="2030">
        <f t="shared" si="5"/>
        <v>0</v>
      </c>
      <c r="I47" s="2030">
        <f t="shared" si="5"/>
        <v>0</v>
      </c>
      <c r="J47" s="2030">
        <f t="shared" si="5"/>
        <v>0</v>
      </c>
      <c r="K47" s="2030">
        <f t="shared" si="5"/>
        <v>0</v>
      </c>
      <c r="L47" s="2030">
        <f t="shared" si="5"/>
        <v>0</v>
      </c>
      <c r="M47" s="2031">
        <f t="shared" si="5"/>
        <v>0</v>
      </c>
      <c r="N47" s="2032">
        <f>SUM(B47:M47)</f>
        <v>0</v>
      </c>
    </row>
    <row r="48" spans="1:14" s="4" customFormat="1" ht="19.5" customHeight="1" thickBot="1">
      <c r="A48" s="189" t="str">
        <v>Amortiçações</v>
      </c>
      <c r="B48" s="889">
        <f t="shared" ref="B48:M48" si="6">IF(AND(B44&gt;=$B$17,B44&lt;=$B$18,MOD((B44-$B$16)*$B$9,12)=0),PPMT($B$6/$B$9,(B44-$B$16)*$B$9/12-$B$10+1,$B$8,-$B$5),0)
+IF(AND(B44&gt;=$C$17,B44&lt;=$C$18,MOD((B44-$C$16)*$C$9,12)=0),PPMT($C$6/$C$9,(B44-$C$16)*$C$9/12-$C$10+1,$C$8,-$C$5),0)
+IF(AND(B44&gt;=$D$17,B44&lt;=$D$18,MOD((B44-$D$16)*$D$9,12)=0),PPMT($D$6/$D$9,(B44-$D$16)*$D$9/12-$D$10+1,$D$8,-$D$5),0)
+IF(AND(B44&gt;=$E$17,B44&lt;=$E$18,MOD((B44-$E$16)*$E$9,12)=0),PPMT($E$6/$E$9,(B44-$E$16)*$E$9/12-$E$10+1,$E$8,-$E$5),0)
+IF(AND(B44&gt;=$F$17,B44&lt;=$F$18,MOD((B44-$F$16)*$F$9,12)=0),PPMT($F$6/$F$9,(B44-$F$16)*$F$9/12-$F$10+1,$F$8,-$F$5),0)
+IF(AND(B44&gt;=$G$17,B44&lt;=$G$18,MOD((B44-$G$16)*$G$9,12)=0),PPMT($G$6/$G$9,(B44-$G$16)*$G$9/12-$G$10+1,$G$8,-$G$5),0)</f>
        <v>0</v>
      </c>
      <c r="C48" s="890">
        <f t="shared" si="6"/>
        <v>0</v>
      </c>
      <c r="D48" s="890">
        <f t="shared" si="6"/>
        <v>0</v>
      </c>
      <c r="E48" s="890">
        <f t="shared" si="6"/>
        <v>0</v>
      </c>
      <c r="F48" s="890">
        <f t="shared" si="6"/>
        <v>0</v>
      </c>
      <c r="G48" s="890">
        <f t="shared" si="6"/>
        <v>0</v>
      </c>
      <c r="H48" s="890">
        <f t="shared" si="6"/>
        <v>0</v>
      </c>
      <c r="I48" s="890">
        <f t="shared" si="6"/>
        <v>0</v>
      </c>
      <c r="J48" s="890">
        <f t="shared" si="6"/>
        <v>0</v>
      </c>
      <c r="K48" s="890">
        <f t="shared" si="6"/>
        <v>0</v>
      </c>
      <c r="L48" s="890">
        <f t="shared" si="6"/>
        <v>0</v>
      </c>
      <c r="M48" s="891">
        <f t="shared" si="6"/>
        <v>0</v>
      </c>
      <c r="N48" s="188">
        <f>SUM(B48:M48)</f>
        <v>0</v>
      </c>
    </row>
    <row r="51" spans="1:14" ht="18.75" thickBot="1">
      <c r="A51" s="2761" t="str">
        <f>Parametros!$B$81</f>
        <v>Ano 4:  2030</v>
      </c>
      <c r="B51" s="170"/>
    </row>
    <row r="52" spans="1:14" s="4" customFormat="1" ht="19.5" customHeight="1" thickBot="1">
      <c r="A52" s="174" t="str">
        <f t="array" ref="A52:A56">A$28:A$32</f>
        <v>meses</v>
      </c>
      <c r="B52" s="175">
        <v>49</v>
      </c>
      <c r="C52" s="176">
        <v>50</v>
      </c>
      <c r="D52" s="176">
        <v>51</v>
      </c>
      <c r="E52" s="176">
        <v>52</v>
      </c>
      <c r="F52" s="176">
        <v>53</v>
      </c>
      <c r="G52" s="176">
        <v>54</v>
      </c>
      <c r="H52" s="176">
        <v>55</v>
      </c>
      <c r="I52" s="176">
        <v>56</v>
      </c>
      <c r="J52" s="176">
        <v>57</v>
      </c>
      <c r="K52" s="176">
        <v>58</v>
      </c>
      <c r="L52" s="176">
        <v>59</v>
      </c>
      <c r="M52" s="177">
        <v>60</v>
      </c>
      <c r="N52" s="178" t="s">
        <v>612</v>
      </c>
    </row>
    <row r="53" spans="1:14" s="4" customFormat="1" ht="19.5" customHeight="1">
      <c r="A53" s="179" t="str">
        <v>Pagamentos</v>
      </c>
      <c r="B53" s="180">
        <f t="array" ref="B53:M53">B54:M54+B56:M56</f>
        <v>0</v>
      </c>
      <c r="C53" s="181">
        <v>0</v>
      </c>
      <c r="D53" s="181">
        <v>0</v>
      </c>
      <c r="E53" s="181">
        <v>0</v>
      </c>
      <c r="F53" s="181">
        <v>0</v>
      </c>
      <c r="G53" s="181">
        <v>0</v>
      </c>
      <c r="H53" s="181">
        <v>0</v>
      </c>
      <c r="I53" s="181">
        <v>0</v>
      </c>
      <c r="J53" s="181">
        <v>0</v>
      </c>
      <c r="K53" s="181">
        <v>0</v>
      </c>
      <c r="L53" s="181">
        <v>0</v>
      </c>
      <c r="M53" s="182">
        <v>0</v>
      </c>
      <c r="N53" s="183">
        <f>SUM(B53:M53)</f>
        <v>0</v>
      </c>
    </row>
    <row r="54" spans="1:14" s="4" customFormat="1" ht="19.5" customHeight="1">
      <c r="A54" s="184" t="str">
        <v>Juros</v>
      </c>
      <c r="B54" s="888">
        <f t="array" ref="B54:M54">IF(B52:M52=$H$16,$H$7*$H$5,0)
+IF(MOD((B52:M52-$B$16)*$B$9,12),0,IF(B52:M52&lt;$B$17,$B$5*$B$6/$B$9,IF(B52:M52&lt;=$B$18,IPMT($B$6/$B$9,(B52:M52-$B$16)*$B$9/12-$B$10+1,$B$8,-$B$5),0)))
+IF(MOD((B52:M52-$C$16)*$C$9,12),0,IF(B52:M52&lt;$C$17,$C$5*$C$6/$C$9,IF(B52:M52&lt;=$C$18,IPMT($C$6/$C$9,(B52:M52-$C$16)*$C$9/12-$C$10+1,$C$8,-$C$5),0)))
+IF(MOD((B52:M52-$D$16)*$D$9,12),0,IF(B52:M52&lt;$D$17,$D$5*$D$6/$D$9,IF(B52:M52&lt;=$D$18,IPMT($D$6/$D$9,(B52:M52-$D$16)*$D$9/12-$D$10+1,$D$8,-$D$5),0)))
+IF(MOD((B52:M52-$E$16)*$E$9,12),0,IF(B52:M52&lt;$E$17,$E$5*$E$6/$E$9,IF(B52:M52&lt;=$E$18,IPMT($E$6/$E$9,(B52:M52-$E$16)*$E$9/12-$E$10+1,$E$8,-$E$5),0)))
+IF(MOD((B52:M52-$F$16)*$F$9,12),0,IF(B52:M52&lt;$F$17,$F$5*$F$6/$F$9,IF(B52:M52&lt;=$F$18,IPMT($F$6/$F$9,(B52:M52-$F$16)*$F$9/12-$F$10+1,$F$8,-$F$5),0)))
+IF(MOD((B52:M52-$G$16)*$G$9,12),0,IF(B52:M52&lt;$G$17,$G$5*$G$6/$G$9,IF(B52:M52&lt;=$G$18,IPMT($G$6/$G$9,(B52:M52-$G$16)*$G$9/12-$G$10+1,$G$8,-$G$5),0)))
+IF(MOD((B52:M52-$H$16)*$H$9,12),0,IF(B52:M52&lt;$H$17,$H$5*$H$6/$H$9,IF(B52:M52&lt;=$H$18,IPMT($H$6/$H$9,(B52:M52-$H$16)*$H$9/12-$H$10+1,$H$8,-$H$5),0)))</f>
        <v>0</v>
      </c>
      <c r="C54" s="185">
        <v>0</v>
      </c>
      <c r="D54" s="185">
        <v>0</v>
      </c>
      <c r="E54" s="185">
        <v>0</v>
      </c>
      <c r="F54" s="185">
        <v>0</v>
      </c>
      <c r="G54" s="185">
        <v>0</v>
      </c>
      <c r="H54" s="185">
        <v>0</v>
      </c>
      <c r="I54" s="185">
        <v>0</v>
      </c>
      <c r="J54" s="185">
        <v>0</v>
      </c>
      <c r="K54" s="185">
        <v>0</v>
      </c>
      <c r="L54" s="185">
        <v>0</v>
      </c>
      <c r="M54" s="186">
        <v>0</v>
      </c>
      <c r="N54" s="187">
        <f>SUM(B54:M54)</f>
        <v>0</v>
      </c>
    </row>
    <row r="55" spans="1:14" s="4" customFormat="1" ht="19.5" customHeight="1">
      <c r="A55" s="2028" t="str">
        <v>Amort. Novo empréstimo</v>
      </c>
      <c r="B55" s="2029">
        <f t="shared" ref="B55:M55" si="7">+IF(AND(B52&gt;=$H$17,B52&lt;=$H$18,MOD((B52-$H$16)*$H$9,12)=0),PPMT($H$6/$H$9,(B52-$H$16)*$H$9/12-$H$10+1,$H$8,-$H$5),0)</f>
        <v>0</v>
      </c>
      <c r="C55" s="2030">
        <f t="shared" si="7"/>
        <v>0</v>
      </c>
      <c r="D55" s="2030">
        <f t="shared" si="7"/>
        <v>0</v>
      </c>
      <c r="E55" s="2030">
        <f t="shared" si="7"/>
        <v>0</v>
      </c>
      <c r="F55" s="2030">
        <f t="shared" si="7"/>
        <v>0</v>
      </c>
      <c r="G55" s="2030">
        <f t="shared" si="7"/>
        <v>0</v>
      </c>
      <c r="H55" s="2030">
        <f t="shared" si="7"/>
        <v>0</v>
      </c>
      <c r="I55" s="2030">
        <f t="shared" si="7"/>
        <v>0</v>
      </c>
      <c r="J55" s="2030">
        <f t="shared" si="7"/>
        <v>0</v>
      </c>
      <c r="K55" s="2030">
        <f t="shared" si="7"/>
        <v>0</v>
      </c>
      <c r="L55" s="2030">
        <f t="shared" si="7"/>
        <v>0</v>
      </c>
      <c r="M55" s="2031">
        <f t="shared" si="7"/>
        <v>0</v>
      </c>
      <c r="N55" s="187">
        <f>SUM(B55:M55)</f>
        <v>0</v>
      </c>
    </row>
    <row r="56" spans="1:14" s="4" customFormat="1" ht="19.5" customHeight="1" thickBot="1">
      <c r="A56" s="189" t="str">
        <v>Amortiçações</v>
      </c>
      <c r="B56" s="889">
        <f t="shared" ref="B56:M56" si="8">IF(AND(B52&gt;=$B$17,B52&lt;=$B$18,MOD((B52-$B$16)*$B$9,12)=0),PPMT($B$6/$B$9,(B52-$B$16)*$B$9/12-$B$10+1,$B$8,-$B$5),0)
+IF(AND(B52&gt;=$C$17,B52&lt;=$C$18,MOD((B52-$C$16)*$C$9,12)=0),PPMT($C$6/$C$9,(B52-$C$16)*$C$9/12-$C$10+1,$C$8,-$C$5),0)
+IF(AND(B52&gt;=$D$17,B52&lt;=$D$18,MOD((B52-$D$16)*$D$9,12)=0),PPMT($D$6/$D$9,(B52-$D$16)*$D$9/12-$D$10+1,$D$8,-$D$5),0)
+IF(AND(B52&gt;=$E$17,B52&lt;=$E$18,MOD((B52-$E$16)*$E$9,12)=0),PPMT($E$6/$E$9,(B52-$E$16)*$E$9/12-$E$10+1,$E$8,-$E$5),0)
+IF(AND(B52&gt;=$F$17,B52&lt;=$F$18,MOD((B52-$F$16)*$F$9,12)=0),PPMT($F$6/$F$9,(B52-$F$16)*$F$9/12-$F$10+1,$F$8,-$F$5),0)
+IF(AND(B52&gt;=$G$17,B52&lt;=$G$18,MOD((B52-$G$16)*$G$9,12)=0),PPMT($G$6/$G$9,(B52-$G$16)*$G$9/12-$G$10+1,$G$8,-$G$5),0)
+IF(AND(B52&gt;=$H$17,B52&lt;=$H$18,MOD((B52-$H$16)*$H$9,12)=0),PPMT($H$6/$H$9,(B52-$H$16)*$H$9/12-$H$10+1,$H$8,-$H$5),0)</f>
        <v>0</v>
      </c>
      <c r="C56" s="890">
        <f t="shared" si="8"/>
        <v>0</v>
      </c>
      <c r="D56" s="890">
        <f t="shared" si="8"/>
        <v>0</v>
      </c>
      <c r="E56" s="890">
        <f t="shared" si="8"/>
        <v>0</v>
      </c>
      <c r="F56" s="890">
        <f t="shared" si="8"/>
        <v>0</v>
      </c>
      <c r="G56" s="890">
        <f t="shared" si="8"/>
        <v>0</v>
      </c>
      <c r="H56" s="890">
        <f t="shared" si="8"/>
        <v>0</v>
      </c>
      <c r="I56" s="890">
        <f t="shared" si="8"/>
        <v>0</v>
      </c>
      <c r="J56" s="890">
        <f t="shared" si="8"/>
        <v>0</v>
      </c>
      <c r="K56" s="890">
        <f t="shared" si="8"/>
        <v>0</v>
      </c>
      <c r="L56" s="890">
        <f t="shared" si="8"/>
        <v>0</v>
      </c>
      <c r="M56" s="891">
        <f t="shared" si="8"/>
        <v>0</v>
      </c>
      <c r="N56" s="188">
        <f>SUM(B56:M56)</f>
        <v>0</v>
      </c>
    </row>
    <row r="59" spans="1:14" ht="18.75" thickBot="1">
      <c r="A59" s="2761" t="str">
        <f>Parametros!$G$77</f>
        <v>Ano 5:  2031</v>
      </c>
      <c r="B59" s="170"/>
    </row>
    <row r="60" spans="1:14" s="4" customFormat="1" ht="19.5" customHeight="1" thickBot="1">
      <c r="A60" s="174" t="str">
        <f t="array" ref="A60:A63">A21:A24</f>
        <v>meses</v>
      </c>
      <c r="B60" s="175">
        <v>61</v>
      </c>
      <c r="C60" s="176">
        <v>62</v>
      </c>
      <c r="D60" s="176">
        <v>63</v>
      </c>
      <c r="E60" s="176">
        <v>64</v>
      </c>
      <c r="F60" s="176">
        <v>65</v>
      </c>
      <c r="G60" s="176">
        <v>66</v>
      </c>
      <c r="H60" s="176">
        <v>67</v>
      </c>
      <c r="I60" s="176">
        <v>68</v>
      </c>
      <c r="J60" s="176">
        <v>69</v>
      </c>
      <c r="K60" s="176">
        <v>70</v>
      </c>
      <c r="L60" s="176">
        <v>71</v>
      </c>
      <c r="M60" s="177">
        <v>72</v>
      </c>
      <c r="N60" s="178" t="s">
        <v>612</v>
      </c>
    </row>
    <row r="61" spans="1:14" s="4" customFormat="1" ht="19.5" customHeight="1">
      <c r="A61" s="179" t="str">
        <v>Pagamentos</v>
      </c>
      <c r="B61" s="180">
        <f t="array" ref="B61:M61">B62:M62+B63:M63</f>
        <v>0</v>
      </c>
      <c r="C61" s="181">
        <v>0</v>
      </c>
      <c r="D61" s="181">
        <v>0</v>
      </c>
      <c r="E61" s="181">
        <v>0</v>
      </c>
      <c r="F61" s="181">
        <v>0</v>
      </c>
      <c r="G61" s="181">
        <v>0</v>
      </c>
      <c r="H61" s="181">
        <v>0</v>
      </c>
      <c r="I61" s="181">
        <v>0</v>
      </c>
      <c r="J61" s="181">
        <v>0</v>
      </c>
      <c r="K61" s="181">
        <v>0</v>
      </c>
      <c r="L61" s="181">
        <v>0</v>
      </c>
      <c r="M61" s="182">
        <v>0</v>
      </c>
      <c r="N61" s="183">
        <f>SUM(B61:M61)</f>
        <v>0</v>
      </c>
    </row>
    <row r="62" spans="1:14" s="4" customFormat="1" ht="19.5" customHeight="1">
      <c r="A62" s="184" t="str">
        <v>Juros</v>
      </c>
      <c r="B62" s="888">
        <f t="array" ref="B62:M62">IF(MOD((B60:M60-$B$16)*$B$9,12),0,IF(B60:M60&lt;$B$17,$B$5*$B$6/$B$9,IF(B60:M60&lt;=$B$18,IPMT($B$6/$B$9,(B60:M60-$B$16)*$B$9/12-$B$10+1,$B$8,-$B$5),0)))
+IF(MOD((B60:M60-$C$16)*$C$9,12),0,IF(B60:M60&lt;$C$17,$C$5*$C$6/$C$9,IF(B60:M60&lt;=$C$18,IPMT($C$6/$C$9,(B60:M60-$C$16)*$C$9/12-$C$10+1,$C$8,-$C$5),0)))
+IF(MOD((B60:M60-$D$16)*$D$9,12),0,IF(B60:M60&lt;$D$17,$D$5*$D$6/$D$9,IF(B60:M60&lt;=$D$18,IPMT($D$6/$D$9,(B60:M60-$D$16)*$D$9/12-$D$10+1,$D$8,-$D$5),0)))
+IF(MOD((B60:M60-$E$16)*$E$9,12),0,IF(B60:M60&lt;$E$17,$E$5*$E$6/$E$9,IF(B60:M60&lt;=$E$18,IPMT($E$6/$E$9,(B60:M60-$E$16)*$E$9/12-$E$10+1,$E$8,-$E$5),0)))
+IF(MOD((B60:M60-$F$16)*$F$9,12),0,IF(B60:M60&lt;$F$17,$F$5*$F$6/$F$9,IF(B60:M60&lt;=$F$18,IPMT($F$6/$F$9,(B60:M60-$F$16)*$F$9/12-$F$10+1,$F$8,-$F$5),0)))
+IF(MOD((B60:M60-$G$16)*$G$9,12),0,IF(B60:M60&lt;$G$17,$G$5*$G$6/$G$9,IF(B60:M60&lt;=$G$18,IPMT($G$6/$G$9,(B60:M60-$G$16)*$G$9/12-$G$10+1,$G$8,-$G$5),0)))
+IF(MOD((B60:M60-$H$16)*$H$9,12),0,IF(B60:M60&lt;$H$17,$H$5*$H$6/$H$9,IF(B60:M60&lt;=$H$18,IPMT($H$6/$H$9,(B60:M60-$H$16)*$H$9/12-$H$10+1,$H$8,-$H$5),0)))</f>
        <v>0</v>
      </c>
      <c r="C62" s="185">
        <v>0</v>
      </c>
      <c r="D62" s="185">
        <v>0</v>
      </c>
      <c r="E62" s="185">
        <v>0</v>
      </c>
      <c r="F62" s="185">
        <v>0</v>
      </c>
      <c r="G62" s="185">
        <v>0</v>
      </c>
      <c r="H62" s="185">
        <v>0</v>
      </c>
      <c r="I62" s="185">
        <v>0</v>
      </c>
      <c r="J62" s="185">
        <v>0</v>
      </c>
      <c r="K62" s="185">
        <v>0</v>
      </c>
      <c r="L62" s="185">
        <v>0</v>
      </c>
      <c r="M62" s="186">
        <v>0</v>
      </c>
      <c r="N62" s="187">
        <f>SUM(B62:M62)</f>
        <v>0</v>
      </c>
    </row>
    <row r="63" spans="1:14" s="4" customFormat="1" ht="19.5" customHeight="1" thickBot="1">
      <c r="A63" s="189" t="str">
        <v>Amortiçações</v>
      </c>
      <c r="B63" s="889">
        <f t="shared" ref="B63:M63" si="9">IF(AND(B60&gt;=$B$17,B60&lt;=$B$18,MOD((B60-$B$16)*$B$9,12)=0),PPMT($B$6/$B$9,(B60-$B$16)*$B$9/12-$B$10+1,$B$8,-$B$5),0)
+IF(AND(B60&gt;=$C$17,B60&lt;=$C$18,MOD((B60-$C$16)*$C$9,12)=0),PPMT($C$6/$C$9,(B60-$C$16)*$C$9/12-$C$10+1,$C$8,-$C$5),0)
+IF(AND(B60&gt;=$D$17,B60&lt;=$D$18,MOD((B60-$D$16)*$D$9,12)=0),PPMT($D$6/$D$9,(B60-$D$16)*$D$9/12-$D$10+1,$D$8,-$D$5),0)
+IF(AND(B60&gt;=$E$17,B60&lt;=$E$18,MOD((B60-$E$16)*$E$9,12)=0),PPMT($E$6/$E$9,(B60-$E$16)*$E$9/12-$E$10+1,$E$8,-$E$5),0)
+IF(AND(B60&gt;=$F$17,B60&lt;=$F$18,MOD((B60-$F$16)*$F$9,12)=0),PPMT($F$6/$F$9,(B60-$F$16)*$F$9/12-$F$10+1,$F$8,-$F$5),0)
+IF(AND(B60&gt;=$G$17,B60&lt;=$G$18,MOD((B60-$G$16)*$G$9,12)=0),PPMT($G$6/$G$9,(B60-$G$16)*$G$9/12-$G$10+1,$G$8,-$G$5),0)
+IF(AND(B60&gt;=$H$17,B60&lt;=$H$18,MOD((B60-$H$16)*$H$9,12)=0),PPMT($H$6/$H$9,(B60-$H$16)*$H$9/12-$H$10+1,$H$8,-$H$5),0)</f>
        <v>0</v>
      </c>
      <c r="C63" s="890">
        <f t="shared" si="9"/>
        <v>0</v>
      </c>
      <c r="D63" s="890">
        <f t="shared" si="9"/>
        <v>0</v>
      </c>
      <c r="E63" s="890">
        <f t="shared" si="9"/>
        <v>0</v>
      </c>
      <c r="F63" s="890">
        <f t="shared" si="9"/>
        <v>0</v>
      </c>
      <c r="G63" s="890">
        <f t="shared" si="9"/>
        <v>0</v>
      </c>
      <c r="H63" s="890">
        <f t="shared" si="9"/>
        <v>0</v>
      </c>
      <c r="I63" s="890">
        <f t="shared" si="9"/>
        <v>0</v>
      </c>
      <c r="J63" s="890">
        <f t="shared" si="9"/>
        <v>0</v>
      </c>
      <c r="K63" s="890">
        <f t="shared" si="9"/>
        <v>0</v>
      </c>
      <c r="L63" s="890">
        <f t="shared" si="9"/>
        <v>0</v>
      </c>
      <c r="M63" s="891">
        <f t="shared" si="9"/>
        <v>0</v>
      </c>
      <c r="N63" s="188">
        <f>SUM(B63:M63)</f>
        <v>0</v>
      </c>
    </row>
  </sheetData>
  <sheetProtection sheet="1" objects="1" scenarios="1"/>
  <phoneticPr fontId="4" type="noConversion"/>
  <dataValidations disablePrompts="1" xWindow="106" yWindow="209" count="5">
    <dataValidation type="whole" allowBlank="1" showInputMessage="1" showErrorMessage="1" sqref="D10:H10" xr:uid="{00000000-0002-0000-0B00-000000000000}">
      <formula1>0</formula1>
      <formula2>plazo/npagos*12</formula2>
    </dataValidation>
    <dataValidation type="list" allowBlank="1" showInputMessage="1" showErrorMessage="1" prompt="  1 = 1 solo pago anual_x000a_  2 = pagos semestrales_x000a_  3 = pagos cuatrimestrales_x000a_  4 = pagos trimestrales_x000a_  6 = pagos bimensuales_x000a_12 = pagos mensuales" sqref="D9:H9" xr:uid="{00000000-0002-0000-0B00-000001000000}">
      <formula1>"1,2,3,4,6,12"</formula1>
    </dataValidation>
    <dataValidation type="whole" allowBlank="1" showInputMessage="1" showErrorMessage="1" sqref="D8:H8" xr:uid="{00000000-0002-0000-0B00-000002000000}">
      <formula1>0</formula1>
      <formula2>400</formula2>
    </dataValidation>
    <dataValidation allowBlank="1" showInputMessage="1" showErrorMessage="1" prompt="Tipo nominal anual" sqref="D6:H6" xr:uid="{00000000-0002-0000-0B00-000003000000}"/>
    <dataValidation type="decimal" allowBlank="1" showInputMessage="1" showErrorMessage="1" sqref="D7:H7" xr:uid="{00000000-0002-0000-0B00-000004000000}">
      <formula1>0</formula1>
      <formula2>0.05</formula2>
    </dataValidation>
  </dataValidations>
  <printOptions horizontalCentered="1"/>
  <pageMargins left="0.56000000000000005" right="0.69" top="0.61" bottom="0.59" header="0.51181102362204722" footer="0.43"/>
  <pageSetup paperSize="9" scale="48" orientation="landscape" horizontalDpi="4294967292" verticalDpi="300" r:id="rId1"/>
  <headerFooter alignWithMargins="0">
    <oddFooter>&amp;C&amp;"Tahoma,Normal"&amp;10&amp;A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7">
    <tabColor indexed="42"/>
    <pageSetUpPr fitToPage="1"/>
  </sheetPr>
  <dimension ref="A1:N63"/>
  <sheetViews>
    <sheetView workbookViewId="0"/>
  </sheetViews>
  <sheetFormatPr baseColWidth="10" defaultColWidth="11" defaultRowHeight="15"/>
  <cols>
    <col min="1" max="1" width="20.25" style="168" customWidth="1"/>
    <col min="2" max="8" width="14.375" style="168" customWidth="1"/>
    <col min="9" max="9" width="11.875" style="168" customWidth="1"/>
    <col min="10" max="13" width="14.625" style="168" bestFit="1" customWidth="1"/>
    <col min="14" max="14" width="12.875" style="168" customWidth="1"/>
    <col min="15" max="16384" width="11" style="168"/>
  </cols>
  <sheetData>
    <row r="1" spans="1:10" ht="25.5">
      <c r="A1" s="171" t="s">
        <v>717</v>
      </c>
      <c r="E1" s="172"/>
      <c r="F1" s="173"/>
    </row>
    <row r="2" spans="1:10" ht="25.5">
      <c r="A2" s="171" t="str">
        <f>'Dados Básicos'!B9</f>
        <v>WWW, S.L.</v>
      </c>
      <c r="F2" s="171"/>
    </row>
    <row r="3" spans="1:10" ht="19.5" customHeight="1" thickBot="1">
      <c r="D3" s="169"/>
    </row>
    <row r="4" spans="1:10" s="4" customFormat="1" ht="36" customHeight="1" thickBot="1">
      <c r="A4" s="1746" t="s">
        <v>166</v>
      </c>
      <c r="B4" s="886" t="str">
        <f t="array" ref="B4:H4">Finançamento!B56:H56</f>
        <v>Previo ao inicio
(Bal. Previo)</v>
      </c>
      <c r="C4" s="886" t="str">
        <v>Leasing 1 Ano 0:  2026</v>
      </c>
      <c r="D4" s="886" t="str">
        <v>Leasing 2 Ano 0:  2026</v>
      </c>
      <c r="E4" s="886" t="str">
        <v>Ano 1:  2027</v>
      </c>
      <c r="F4" s="887" t="str">
        <v>Ano 2:  2028</v>
      </c>
      <c r="G4" s="887" t="str">
        <v>Ano 3:  2029</v>
      </c>
      <c r="H4" s="887" t="str">
        <v>Ano 4:  2030</v>
      </c>
      <c r="J4" s="2897" t="s">
        <v>1124</v>
      </c>
    </row>
    <row r="5" spans="1:10" s="4" customFormat="1" ht="24.75" customHeight="1">
      <c r="A5" s="881" t="s">
        <v>714</v>
      </c>
      <c r="B5" s="1742">
        <f t="array" ref="B5:H10">Finançamento!B57:H62</f>
        <v>0</v>
      </c>
      <c r="C5" s="1742">
        <v>0</v>
      </c>
      <c r="D5" s="1742">
        <v>0</v>
      </c>
      <c r="E5" s="1742">
        <v>0</v>
      </c>
      <c r="F5" s="1742">
        <v>0</v>
      </c>
      <c r="G5" s="1742">
        <v>0</v>
      </c>
      <c r="H5" s="1742">
        <v>0</v>
      </c>
      <c r="J5" s="185">
        <f>IFERROR(CUMPRINC(B6/B10,B9,B5,B16,B16-1+B10,1),0)</f>
        <v>0</v>
      </c>
    </row>
    <row r="6" spans="1:10" ht="18" customHeight="1">
      <c r="A6" s="1329" t="s">
        <v>699</v>
      </c>
      <c r="B6" s="877">
        <v>0.12</v>
      </c>
      <c r="C6" s="877">
        <v>0.15</v>
      </c>
      <c r="D6" s="877">
        <v>0.15</v>
      </c>
      <c r="E6" s="877">
        <v>0.15</v>
      </c>
      <c r="F6" s="877">
        <v>0.15</v>
      </c>
      <c r="G6" s="877">
        <v>0.15</v>
      </c>
      <c r="H6" s="877">
        <v>0.15</v>
      </c>
    </row>
    <row r="7" spans="1:10" ht="18" customHeight="1">
      <c r="A7" s="1329" t="s">
        <v>715</v>
      </c>
      <c r="B7" s="878">
        <v>0</v>
      </c>
      <c r="C7" s="878">
        <v>0</v>
      </c>
      <c r="D7" s="878">
        <v>0</v>
      </c>
      <c r="E7" s="878">
        <v>0</v>
      </c>
      <c r="F7" s="878">
        <v>0</v>
      </c>
      <c r="G7" s="878">
        <v>0</v>
      </c>
      <c r="H7" s="878">
        <v>0</v>
      </c>
    </row>
    <row r="8" spans="1:10" ht="18" customHeight="1">
      <c r="A8" s="1329" t="s">
        <v>700</v>
      </c>
      <c r="B8" s="877">
        <v>0</v>
      </c>
      <c r="C8" s="877">
        <v>5.0000000000000001E-3</v>
      </c>
      <c r="D8" s="877">
        <v>5.0000000000000001E-3</v>
      </c>
      <c r="E8" s="877">
        <v>5.0000000000000001E-3</v>
      </c>
      <c r="F8" s="877">
        <v>5.0000000000000001E-3</v>
      </c>
      <c r="G8" s="877">
        <v>5.0000000000000001E-3</v>
      </c>
      <c r="H8" s="877">
        <v>5.0000000000000001E-3</v>
      </c>
    </row>
    <row r="9" spans="1:10" ht="18" customHeight="1">
      <c r="A9" s="1329" t="s">
        <v>633</v>
      </c>
      <c r="B9" s="878">
        <v>60</v>
      </c>
      <c r="C9" s="878">
        <v>60</v>
      </c>
      <c r="D9" s="878">
        <v>60</v>
      </c>
      <c r="E9" s="878">
        <v>60</v>
      </c>
      <c r="F9" s="878">
        <v>60</v>
      </c>
      <c r="G9" s="878">
        <v>60</v>
      </c>
      <c r="H9" s="878">
        <v>60</v>
      </c>
    </row>
    <row r="10" spans="1:10" ht="18" customHeight="1" thickBot="1">
      <c r="A10" s="1743" t="s">
        <v>701</v>
      </c>
      <c r="B10" s="1744">
        <v>12</v>
      </c>
      <c r="C10" s="1744">
        <v>12</v>
      </c>
      <c r="D10" s="1744">
        <v>12</v>
      </c>
      <c r="E10" s="1744">
        <v>12</v>
      </c>
      <c r="F10" s="1744">
        <v>12</v>
      </c>
      <c r="G10" s="1744">
        <v>12</v>
      </c>
      <c r="H10" s="1744">
        <v>12</v>
      </c>
    </row>
    <row r="11" spans="1:10" ht="19.5" customHeight="1" thickBot="1">
      <c r="F11" s="169"/>
    </row>
    <row r="12" spans="1:10" ht="19.5" customHeight="1" thickBot="1">
      <c r="A12" s="883" t="s">
        <v>716</v>
      </c>
      <c r="B12" s="882">
        <f t="array" ref="B12:H12">IF(ISERR(PMT(B$6:H6/B$10:H10,B$9:H9,-B$5:H5,B$7)),0,PMT(B$6:B6/B$10:H10,B$9:H9,-B$5:H5,B$7:H7))</f>
        <v>0</v>
      </c>
      <c r="C12" s="882">
        <v>0</v>
      </c>
      <c r="D12" s="882">
        <v>0</v>
      </c>
      <c r="E12" s="882">
        <v>0</v>
      </c>
      <c r="F12" s="882">
        <v>0</v>
      </c>
      <c r="G12" s="882">
        <v>0</v>
      </c>
      <c r="H12" s="882">
        <v>0</v>
      </c>
    </row>
    <row r="13" spans="1:10" ht="19.5" customHeight="1" thickBot="1">
      <c r="D13" s="169"/>
      <c r="G13" s="169"/>
    </row>
    <row r="14" spans="1:10" ht="19.5" customHeight="1" thickBot="1">
      <c r="A14" s="1330" t="s">
        <v>167</v>
      </c>
      <c r="B14" s="885">
        <f t="array" ref="B14:H14">B9:H9*12/B10:H10</f>
        <v>60</v>
      </c>
      <c r="C14" s="885">
        <v>60</v>
      </c>
      <c r="D14" s="885">
        <v>60</v>
      </c>
      <c r="E14" s="885">
        <v>60</v>
      </c>
      <c r="F14" s="885">
        <v>60</v>
      </c>
      <c r="G14" s="885">
        <v>60</v>
      </c>
      <c r="H14" s="885">
        <v>60</v>
      </c>
    </row>
    <row r="15" spans="1:10" ht="19.5" customHeight="1" thickBot="1">
      <c r="A15" s="1330" t="s">
        <v>705</v>
      </c>
      <c r="B15" s="885">
        <f t="shared" ref="B15:D16" si="0">mes0</f>
        <v>1</v>
      </c>
      <c r="C15" s="885">
        <f t="shared" si="0"/>
        <v>1</v>
      </c>
      <c r="D15" s="885">
        <f t="shared" si="0"/>
        <v>1</v>
      </c>
      <c r="E15" s="885">
        <v>13</v>
      </c>
      <c r="F15" s="885">
        <v>25</v>
      </c>
      <c r="G15" s="885">
        <v>37</v>
      </c>
      <c r="H15" s="885">
        <v>49</v>
      </c>
    </row>
    <row r="16" spans="1:10" ht="19.5" customHeight="1" thickBot="1">
      <c r="A16" s="1330" t="s">
        <v>168</v>
      </c>
      <c r="B16" s="885">
        <f t="shared" si="0"/>
        <v>1</v>
      </c>
      <c r="C16" s="885">
        <f t="shared" si="0"/>
        <v>1</v>
      </c>
      <c r="D16" s="885">
        <f t="shared" si="0"/>
        <v>1</v>
      </c>
      <c r="E16" s="885">
        <f t="array" ref="E16:H16">E15:H15</f>
        <v>13</v>
      </c>
      <c r="F16" s="885">
        <v>25</v>
      </c>
      <c r="G16" s="885">
        <v>37</v>
      </c>
      <c r="H16" s="885">
        <v>49</v>
      </c>
    </row>
    <row r="17" spans="1:14" ht="19.5" customHeight="1" thickBot="1">
      <c r="A17" s="1330" t="s">
        <v>169</v>
      </c>
      <c r="B17" s="885">
        <f t="array" ref="B17:H17">B16:H16+B14:H14-1</f>
        <v>60</v>
      </c>
      <c r="C17" s="885">
        <v>60</v>
      </c>
      <c r="D17" s="885">
        <v>60</v>
      </c>
      <c r="E17" s="885">
        <v>72</v>
      </c>
      <c r="F17" s="885">
        <v>84</v>
      </c>
      <c r="G17" s="885">
        <v>96</v>
      </c>
      <c r="H17" s="885">
        <v>108</v>
      </c>
    </row>
    <row r="18" spans="1:14" ht="19.5" customHeight="1">
      <c r="C18" s="169"/>
      <c r="F18" s="169"/>
    </row>
    <row r="19" spans="1:14" ht="19.5" customHeight="1" thickBot="1">
      <c r="A19" s="2761" t="str">
        <f>Parametros!$B$77</f>
        <v>Ano 0:  2026</v>
      </c>
      <c r="B19" s="170"/>
      <c r="C19" s="169"/>
      <c r="D19" s="169"/>
      <c r="E19" s="169"/>
      <c r="F19" s="169"/>
      <c r="G19" s="169"/>
    </row>
    <row r="20" spans="1:14" s="4" customFormat="1" ht="19.5" customHeight="1" thickBot="1">
      <c r="A20" s="174" t="s">
        <v>89</v>
      </c>
      <c r="B20" s="175">
        <v>1</v>
      </c>
      <c r="C20" s="176">
        <v>2</v>
      </c>
      <c r="D20" s="176">
        <v>3</v>
      </c>
      <c r="E20" s="176">
        <v>4</v>
      </c>
      <c r="F20" s="176">
        <v>5</v>
      </c>
      <c r="G20" s="176">
        <v>6</v>
      </c>
      <c r="H20" s="176">
        <v>7</v>
      </c>
      <c r="I20" s="176">
        <v>8</v>
      </c>
      <c r="J20" s="176">
        <v>9</v>
      </c>
      <c r="K20" s="176">
        <v>10</v>
      </c>
      <c r="L20" s="176">
        <v>11</v>
      </c>
      <c r="M20" s="177">
        <v>12</v>
      </c>
      <c r="N20" s="178" t="s">
        <v>612</v>
      </c>
    </row>
    <row r="21" spans="1:14" s="4" customFormat="1" ht="19.5" customHeight="1">
      <c r="A21" s="179" t="s">
        <v>708</v>
      </c>
      <c r="B21" s="180">
        <f t="array" ref="B21:M21">B22:M22+B23:M23</f>
        <v>0</v>
      </c>
      <c r="C21" s="181">
        <v>0</v>
      </c>
      <c r="D21" s="181">
        <v>0</v>
      </c>
      <c r="E21" s="181">
        <v>0</v>
      </c>
      <c r="F21" s="181">
        <v>0</v>
      </c>
      <c r="G21" s="181">
        <v>0</v>
      </c>
      <c r="H21" s="181">
        <v>0</v>
      </c>
      <c r="I21" s="181">
        <v>0</v>
      </c>
      <c r="J21" s="181">
        <v>0</v>
      </c>
      <c r="K21" s="181">
        <v>0</v>
      </c>
      <c r="L21" s="181">
        <v>0</v>
      </c>
      <c r="M21" s="182">
        <v>0</v>
      </c>
      <c r="N21" s="183">
        <f>SUM(B21:M21)</f>
        <v>0</v>
      </c>
    </row>
    <row r="22" spans="1:14" s="4" customFormat="1" ht="19.5" customHeight="1">
      <c r="A22" s="184" t="s">
        <v>709</v>
      </c>
      <c r="B22" s="888">
        <f t="array" ref="B22:M22">IF(B20:M20=$B$15,$B$5*$B$8,0)+IF(B20:M20=$C$15,$C$5*$C$8,0)+IF(B20:M20=$D$15,$D$5*$D$8,0)
+IF(MOD((B20:M20-$B$15)*$B$10,12),0,IF(B20:M20&lt;$B$15,0,IF(B20:M20&lt;$B$16,$B$5*$B$6/$B$10,IF(B20:M20&lt;=$B$17,IPMT($B$6/$B$10,(B20:M20-$B$15)*$B$10/12+1,$B$9,-$B$5,$B$7),0))))
+IF(MOD((B20:M20-$C$15)*$C$10,12),0,IF(B20:M20&lt;$C$15,0,IF(B20:M20&lt;$C$16,$C$5*$C$6/$C$10,IF(B20:M20&lt;=$C$17,IPMT($C$6/$C$10,(B20:M20-$C$15)*$C$10/12+1,$C$9,-$C$5,$C$7),0))))
+IF(MOD((B20:M20-$D$15)*$D$10,12),0,IF(B20:M20&lt;$D$15,0,IF(B20:M20&lt;$D$16,$D$5*$D$6/$D$10,IF(B20:M20&lt;=$D$17,IPMT($D$6/$D$10,(B20:M20-$D$15)*$D$10/12+1,$D$9,-$D$5,$D$7),0))))</f>
        <v>0</v>
      </c>
      <c r="C22" s="185">
        <v>0</v>
      </c>
      <c r="D22" s="185">
        <v>0</v>
      </c>
      <c r="E22" s="185">
        <v>0</v>
      </c>
      <c r="F22" s="185">
        <v>0</v>
      </c>
      <c r="G22" s="185">
        <v>0</v>
      </c>
      <c r="H22" s="185">
        <v>0</v>
      </c>
      <c r="I22" s="185">
        <v>0</v>
      </c>
      <c r="J22" s="185">
        <v>0</v>
      </c>
      <c r="K22" s="185">
        <v>0</v>
      </c>
      <c r="L22" s="185">
        <v>0</v>
      </c>
      <c r="M22" s="186">
        <v>0</v>
      </c>
      <c r="N22" s="187">
        <f>SUM(B22:M22)</f>
        <v>0</v>
      </c>
    </row>
    <row r="23" spans="1:14" s="4" customFormat="1" ht="19.5" customHeight="1" thickBot="1">
      <c r="A23" s="189" t="s">
        <v>710</v>
      </c>
      <c r="B23" s="889">
        <f>IF(AND(B20&gt;=$B$16,B20&lt;=$B$17,MOD((B20-$B$15)*$B$10,12)=0),PPMT($B$6/$B$10,(B20-$B$15)*$B$10/12+1,$B$9,-$B$5,$B$7),0)
+IF(AND(B20&gt;=$C$16,B20&lt;=$C$17,MOD((B20-$C$15)*$C$10,12)=0),PPMT($C$6/$C$10,(B20-$C$15)*$C$10/12+1,$C$9,-$C$5,$C$7),0)
+IF(AND(B20&gt;=$D$16,B20&lt;=$D$17,MOD((B20-$D$15)*$D$10,12)=0),PPMT($D$6/$D$10,(B20-$D$15)*$D$10/12+1,$D$9,-$D$5,$D$7),0)</f>
        <v>0</v>
      </c>
      <c r="C23" s="890">
        <f t="shared" ref="C23:M23" si="1">IF(AND(C20&gt;=$B$16,C20&lt;=$B$17,MOD((C20-$B$15)*$B$10,12)=0),PPMT($B$6/$B$10,(C20-$B$15)*$B$10/12+1,$B$9,-$B$5,$B$7),0)
+IF(AND(C20&gt;=$C$16,C20&lt;=$C$17,MOD((C20-$C$15)*$C$10,12)=0),PPMT($C$6/$C$10,(C20-$C$15)*$C$10/12+1,$C$9,-$C$5,$C$7),0)
+IF(AND(C20&gt;=$D$16,C20&lt;=$D$17,MOD((C20-$D$15)*$D$10,12)=0),PPMT($D$6/$D$10,(C20-$D$15)*$D$10/12+1,$D$9,-$D$5,$D$7),0)</f>
        <v>0</v>
      </c>
      <c r="D23" s="890">
        <f t="shared" si="1"/>
        <v>0</v>
      </c>
      <c r="E23" s="890">
        <f t="shared" si="1"/>
        <v>0</v>
      </c>
      <c r="F23" s="890">
        <f t="shared" si="1"/>
        <v>0</v>
      </c>
      <c r="G23" s="890">
        <f t="shared" si="1"/>
        <v>0</v>
      </c>
      <c r="H23" s="890">
        <f t="shared" si="1"/>
        <v>0</v>
      </c>
      <c r="I23" s="890">
        <f t="shared" si="1"/>
        <v>0</v>
      </c>
      <c r="J23" s="890">
        <f t="shared" si="1"/>
        <v>0</v>
      </c>
      <c r="K23" s="890">
        <f t="shared" si="1"/>
        <v>0</v>
      </c>
      <c r="L23" s="890">
        <f t="shared" si="1"/>
        <v>0</v>
      </c>
      <c r="M23" s="891">
        <f t="shared" si="1"/>
        <v>0</v>
      </c>
      <c r="N23" s="188">
        <f>SUM(B23:M23)</f>
        <v>0</v>
      </c>
    </row>
    <row r="24" spans="1:14" ht="19.5" customHeight="1" thickBot="1">
      <c r="A24" s="189" t="str">
        <f>'Dados Básicos'!$A$28&amp;" soportado"</f>
        <v>IVA soportado</v>
      </c>
      <c r="B24" s="889">
        <f t="array" ref="B24:M24">B21:M21*Parametros!$F$33</f>
        <v>0</v>
      </c>
      <c r="C24" s="890">
        <v>0</v>
      </c>
      <c r="D24" s="890">
        <v>0</v>
      </c>
      <c r="E24" s="890">
        <v>0</v>
      </c>
      <c r="F24" s="890">
        <v>0</v>
      </c>
      <c r="G24" s="890">
        <v>0</v>
      </c>
      <c r="H24" s="890">
        <v>0</v>
      </c>
      <c r="I24" s="890">
        <v>0</v>
      </c>
      <c r="J24" s="890">
        <v>0</v>
      </c>
      <c r="K24" s="890">
        <v>0</v>
      </c>
      <c r="L24" s="890">
        <v>0</v>
      </c>
      <c r="M24" s="891">
        <v>0</v>
      </c>
      <c r="N24" s="188">
        <f>SUM(B24:M24)</f>
        <v>0</v>
      </c>
    </row>
    <row r="25" spans="1:14" ht="19.5" customHeight="1">
      <c r="C25" s="169"/>
    </row>
    <row r="26" spans="1:14" ht="19.5" customHeight="1" thickBot="1">
      <c r="A26" s="2761" t="str">
        <f>Parametros!$B$78</f>
        <v>Ano 1:  2027</v>
      </c>
      <c r="B26" s="170"/>
      <c r="C26" s="169"/>
    </row>
    <row r="27" spans="1:14" s="4" customFormat="1" ht="19.5" customHeight="1" thickBot="1">
      <c r="A27" s="174" t="str">
        <f t="array" ref="A27:A29">A20:A22</f>
        <v>meses</v>
      </c>
      <c r="B27" s="175">
        <v>13</v>
      </c>
      <c r="C27" s="176">
        <v>14</v>
      </c>
      <c r="D27" s="176">
        <v>15</v>
      </c>
      <c r="E27" s="176">
        <v>16</v>
      </c>
      <c r="F27" s="176">
        <v>17</v>
      </c>
      <c r="G27" s="176">
        <v>18</v>
      </c>
      <c r="H27" s="176">
        <v>19</v>
      </c>
      <c r="I27" s="176">
        <v>20</v>
      </c>
      <c r="J27" s="176">
        <v>21</v>
      </c>
      <c r="K27" s="176">
        <v>22</v>
      </c>
      <c r="L27" s="176">
        <v>23</v>
      </c>
      <c r="M27" s="177">
        <v>24</v>
      </c>
      <c r="N27" s="178" t="s">
        <v>612</v>
      </c>
    </row>
    <row r="28" spans="1:14" s="4" customFormat="1" ht="19.5" customHeight="1">
      <c r="A28" s="179" t="str">
        <v>Pagamentos</v>
      </c>
      <c r="B28" s="180">
        <f t="array" ref="B28:M28">B29:M29+B31:M31</f>
        <v>0</v>
      </c>
      <c r="C28" s="181">
        <v>0</v>
      </c>
      <c r="D28" s="181">
        <v>0</v>
      </c>
      <c r="E28" s="181">
        <v>0</v>
      </c>
      <c r="F28" s="181">
        <v>0</v>
      </c>
      <c r="G28" s="181">
        <v>0</v>
      </c>
      <c r="H28" s="181">
        <v>0</v>
      </c>
      <c r="I28" s="181">
        <v>0</v>
      </c>
      <c r="J28" s="181">
        <v>0</v>
      </c>
      <c r="K28" s="181">
        <v>0</v>
      </c>
      <c r="L28" s="181">
        <v>0</v>
      </c>
      <c r="M28" s="182">
        <v>0</v>
      </c>
      <c r="N28" s="183">
        <f>SUM(B28:M28)</f>
        <v>0</v>
      </c>
    </row>
    <row r="29" spans="1:14" s="4" customFormat="1" ht="19.5" customHeight="1">
      <c r="A29" s="184" t="str">
        <v>Juros</v>
      </c>
      <c r="B29" s="888">
        <f t="array" ref="B29:M29">IF(B27:M27=$E$15,$E$8*$E$5,0)
+IF(MOD((B27:M27-$B$15)*$B$10,12),0,IF(B27:M27&lt;$B$15,0,IF(B27:M27&lt;$B$16,$B$5*$B$6/$B$10,IF(B27:M27&lt;=$B$17,IPMT($B$6/$B$10,(B27:M27-$B$15)*$B$10/12+1,$B$9,-$B$5,$B$7),0))))
+IF(MOD((B27:M27-$C$15)*$C$10,12),0,IF(B27:M27&lt;$C$15,0,IF(B27:M27&lt;$C$16,$C$5*$C$6/$C$10,IF(B27:M27&lt;=$C$17,IPMT($C$6/$C$10,(B27:M27-$C$15)*$C$10/12+1,$C$9,-$C$5,$C$7),0))))
+IF(MOD((B27:M27-$D$15)*$D$10,12),0,IF(B27:M27&lt;$D$15,0,IF(B27:M27&lt;$D$16,$D$5*$D$6/$D$10,IF(B27:M27&lt;=$D$17,IPMT($D$6/$D$10,(B27:M27-$D$15)*$D$10/12+1,$D$9,-$D$5,$D$7),0))))
+IF(MOD((B27:M27-$E$15)*$E$10,12),0,IF(B27:M27&lt;$E$16,$E$5*$E$6/$E$10,IF(B27:M27&lt;=$E$17,IPMT($E$6/$E$10,(B27:M27-$E$15)*$E$10/12+1,$E$9,-$E$5,$E$7),0)))</f>
        <v>0</v>
      </c>
      <c r="C29" s="185">
        <v>0</v>
      </c>
      <c r="D29" s="185">
        <v>0</v>
      </c>
      <c r="E29" s="185">
        <v>0</v>
      </c>
      <c r="F29" s="185">
        <v>0</v>
      </c>
      <c r="G29" s="185">
        <v>0</v>
      </c>
      <c r="H29" s="185">
        <v>0</v>
      </c>
      <c r="I29" s="185">
        <v>0</v>
      </c>
      <c r="J29" s="185">
        <v>0</v>
      </c>
      <c r="K29" s="185">
        <v>0</v>
      </c>
      <c r="L29" s="185">
        <v>0</v>
      </c>
      <c r="M29" s="186">
        <v>0</v>
      </c>
      <c r="N29" s="187">
        <f>SUM(B29:M29)</f>
        <v>0</v>
      </c>
    </row>
    <row r="30" spans="1:14" s="4" customFormat="1" ht="19.5" customHeight="1">
      <c r="A30" s="2028" t="s">
        <v>712</v>
      </c>
      <c r="B30" s="2029">
        <f t="shared" ref="B30:M30" si="2">+IF(AND(B27&gt;=$E$16,B27&lt;=$E$17,MOD((B27-$E$15)*$E$10,12)=0),PPMT($E$6/$E$10,(B27-$E$15)*$E$10/12+1,$E$9,-$E$5,$E$7),0)</f>
        <v>0</v>
      </c>
      <c r="C30" s="2030">
        <f t="shared" si="2"/>
        <v>0</v>
      </c>
      <c r="D30" s="2030">
        <f t="shared" si="2"/>
        <v>0</v>
      </c>
      <c r="E30" s="2030">
        <f t="shared" si="2"/>
        <v>0</v>
      </c>
      <c r="F30" s="2030">
        <f t="shared" si="2"/>
        <v>0</v>
      </c>
      <c r="G30" s="2030">
        <f t="shared" si="2"/>
        <v>0</v>
      </c>
      <c r="H30" s="2030">
        <f t="shared" si="2"/>
        <v>0</v>
      </c>
      <c r="I30" s="2030">
        <f t="shared" si="2"/>
        <v>0</v>
      </c>
      <c r="J30" s="2030">
        <f t="shared" si="2"/>
        <v>0</v>
      </c>
      <c r="K30" s="2030">
        <f t="shared" si="2"/>
        <v>0</v>
      </c>
      <c r="L30" s="2030">
        <f t="shared" si="2"/>
        <v>0</v>
      </c>
      <c r="M30" s="2031">
        <f t="shared" si="2"/>
        <v>0</v>
      </c>
      <c r="N30" s="187">
        <f>SUM(B30:M30)</f>
        <v>0</v>
      </c>
    </row>
    <row r="31" spans="1:14" s="4" customFormat="1" ht="19.5" customHeight="1" thickBot="1">
      <c r="A31" s="189" t="str">
        <f t="array" ref="A31:A32">A23:A24</f>
        <v>Amortiçações</v>
      </c>
      <c r="B31" s="889">
        <f t="shared" ref="B31:M31" si="3">IF(AND(B27&gt;=$B$16,B27&lt;=$B$17,MOD((B27-$B$15)*$B$10,12)=0),PPMT($B$6/$B$10,(B27-$B$15)*$B$10/12+1,$B$9,-$B$5,$B$7),0)
+IF(AND(B27&gt;=$C$16,B27&lt;=$C$17,MOD((B27-$C$15)*$C$10,12)=0),PPMT($C$6/$C$10,(B27-$C$15)*$C$10/12+1,$C$9,-$C$5,$C$7),0)
+IF(AND(B27&gt;=$D$16,B27&lt;=$D$17,MOD((B27-$D$15)*$D$10,12)=0),PPMT($D$6/$D$10,(B27-$D$15)*$D$10/12+1,$D$9,-$D$5,$D$7),0)
+IF(AND(B27&gt;=$E$16,B27&lt;=$E$17,MOD((B27-$E$15)*$E$10,12)=0),PPMT($E$6/$E$10,(B27-$E$15)*$E$10/12+1,$E$9,-$E$5,$E$7),0)</f>
        <v>0</v>
      </c>
      <c r="C31" s="890">
        <f t="shared" si="3"/>
        <v>0</v>
      </c>
      <c r="D31" s="890">
        <f t="shared" si="3"/>
        <v>0</v>
      </c>
      <c r="E31" s="890">
        <f t="shared" si="3"/>
        <v>0</v>
      </c>
      <c r="F31" s="890">
        <f t="shared" si="3"/>
        <v>0</v>
      </c>
      <c r="G31" s="890">
        <f t="shared" si="3"/>
        <v>0</v>
      </c>
      <c r="H31" s="890">
        <f t="shared" si="3"/>
        <v>0</v>
      </c>
      <c r="I31" s="890">
        <f t="shared" si="3"/>
        <v>0</v>
      </c>
      <c r="J31" s="890">
        <f t="shared" si="3"/>
        <v>0</v>
      </c>
      <c r="K31" s="890">
        <f t="shared" si="3"/>
        <v>0</v>
      </c>
      <c r="L31" s="890">
        <f t="shared" si="3"/>
        <v>0</v>
      </c>
      <c r="M31" s="891">
        <f t="shared" si="3"/>
        <v>0</v>
      </c>
      <c r="N31" s="188">
        <f>SUM(B31:M31)</f>
        <v>0</v>
      </c>
    </row>
    <row r="32" spans="1:14" ht="15.75" thickBot="1">
      <c r="A32" s="189" t="str">
        <v>IVA soportado</v>
      </c>
      <c r="B32" s="889">
        <f t="array" ref="B32:M32">B28:M28*Parametros!$F$33</f>
        <v>0</v>
      </c>
      <c r="C32" s="890">
        <v>0</v>
      </c>
      <c r="D32" s="890">
        <v>0</v>
      </c>
      <c r="E32" s="890">
        <v>0</v>
      </c>
      <c r="F32" s="890">
        <v>0</v>
      </c>
      <c r="G32" s="890">
        <v>0</v>
      </c>
      <c r="H32" s="890">
        <v>0</v>
      </c>
      <c r="I32" s="890">
        <v>0</v>
      </c>
      <c r="J32" s="890">
        <v>0</v>
      </c>
      <c r="K32" s="890">
        <v>0</v>
      </c>
      <c r="L32" s="890">
        <v>0</v>
      </c>
      <c r="M32" s="891">
        <v>0</v>
      </c>
      <c r="N32" s="188">
        <f>SUM(B32:M32)</f>
        <v>0</v>
      </c>
    </row>
    <row r="34" spans="1:14" ht="18.75" thickBot="1">
      <c r="A34" s="2761" t="str">
        <f>Parametros!$B$79</f>
        <v>Ano 2:  2028</v>
      </c>
      <c r="B34" s="170"/>
    </row>
    <row r="35" spans="1:14" s="4" customFormat="1" ht="19.5" customHeight="1" thickBot="1">
      <c r="A35" s="174" t="str">
        <f t="array" ref="A35:A40">A$27:A$32</f>
        <v>meses</v>
      </c>
      <c r="B35" s="175">
        <v>25</v>
      </c>
      <c r="C35" s="176">
        <v>26</v>
      </c>
      <c r="D35" s="176">
        <v>27</v>
      </c>
      <c r="E35" s="176">
        <v>28</v>
      </c>
      <c r="F35" s="176">
        <v>29</v>
      </c>
      <c r="G35" s="176">
        <v>30</v>
      </c>
      <c r="H35" s="176">
        <v>31</v>
      </c>
      <c r="I35" s="176">
        <v>32</v>
      </c>
      <c r="J35" s="176">
        <v>33</v>
      </c>
      <c r="K35" s="176">
        <v>34</v>
      </c>
      <c r="L35" s="176">
        <v>35</v>
      </c>
      <c r="M35" s="177">
        <v>36</v>
      </c>
      <c r="N35" s="178" t="s">
        <v>612</v>
      </c>
    </row>
    <row r="36" spans="1:14" s="4" customFormat="1" ht="19.5" customHeight="1">
      <c r="A36" s="179" t="str">
        <v>Pagamentos</v>
      </c>
      <c r="B36" s="180">
        <f t="array" ref="B36:M36">B37:M37+B39:M39</f>
        <v>0</v>
      </c>
      <c r="C36" s="181">
        <v>0</v>
      </c>
      <c r="D36" s="181">
        <v>0</v>
      </c>
      <c r="E36" s="181">
        <v>0</v>
      </c>
      <c r="F36" s="181">
        <v>0</v>
      </c>
      <c r="G36" s="181">
        <v>0</v>
      </c>
      <c r="H36" s="181">
        <v>0</v>
      </c>
      <c r="I36" s="181">
        <v>0</v>
      </c>
      <c r="J36" s="181">
        <v>0</v>
      </c>
      <c r="K36" s="181">
        <v>0</v>
      </c>
      <c r="L36" s="181">
        <v>0</v>
      </c>
      <c r="M36" s="182">
        <v>0</v>
      </c>
      <c r="N36" s="183">
        <f>SUM(B36:M36)</f>
        <v>0</v>
      </c>
    </row>
    <row r="37" spans="1:14" s="4" customFormat="1" ht="19.5" customHeight="1">
      <c r="A37" s="184" t="str">
        <v>Juros</v>
      </c>
      <c r="B37" s="888">
        <f t="array" ref="B37:M37">IF(B35:M35=$F$15,$F$8*$F$5,0)
+IF(MOD((B35:M35-$B$15)*$B$10,12),0,IF(B35:M35&lt;$B$16,$B$5*$B$6/$B$10,IF(B35:M35&lt;=$B$17,IPMT($B$6/$B$10,(B35:M35-$B$15)*$B$10/12+1,$B$9,-$B$5,$B$7),0)))
+IF(MOD((B35:M35-$C$15)*$C$10,12),0,IF(B35:M35&lt;$C$16,$C$5*$C$6/$C$10,IF(B35:M35&lt;=$C$17,IPMT($C$6/$C$10,(B35:M35-$C$15)*$C$10/12+1,$C$9,-$C$5,$C$7),0)))
+IF(MOD((B35:M35-$D$15)*$D$10,12),0,IF(B35:M35&lt;$D$16,$D$5*$D$6/$D$10,IF(B35:M35&lt;=$D$17,IPMT($D$6/$D$10,(B35:M35-$D$15)*$D$10/12+1,$D$9,-$D$5,$D$7),0)))
+IF(MOD((B35:M35-$E$15)*$E$10,12),0,IF(B35:M35&lt;$E$16,$E$5*$E$6/$E$10,IF(B35:M35&lt;=$E$17,IPMT($E$6/$E$10,(B35:M35-$E$15)*$E$10/12+1,$E$9,-$E$5,$E$7),0)))
+IF(MOD((B35:M35-$F$15)*$F$10,12),0,IF(B35:M35&lt;$F$16,$F$5*$F$6/$F$10,IF(B35:M35&lt;$F$17,IPMT($F$6/$F$10,(B35:M35-$F$15)*$F$10/12+1,$F$9,-$F$5,$F$7),0)))</f>
        <v>0</v>
      </c>
      <c r="C37" s="185">
        <v>0</v>
      </c>
      <c r="D37" s="185">
        <v>0</v>
      </c>
      <c r="E37" s="185">
        <v>0</v>
      </c>
      <c r="F37" s="185">
        <v>0</v>
      </c>
      <c r="G37" s="185">
        <v>0</v>
      </c>
      <c r="H37" s="185">
        <v>0</v>
      </c>
      <c r="I37" s="185">
        <v>0</v>
      </c>
      <c r="J37" s="185">
        <v>0</v>
      </c>
      <c r="K37" s="185">
        <v>0</v>
      </c>
      <c r="L37" s="185">
        <v>0</v>
      </c>
      <c r="M37" s="186">
        <v>0</v>
      </c>
      <c r="N37" s="187">
        <f>SUM(B37:M37)</f>
        <v>0</v>
      </c>
    </row>
    <row r="38" spans="1:14" s="4" customFormat="1" ht="19.5" customHeight="1">
      <c r="A38" s="2028" t="str">
        <v>Amort. Novo Leasing</v>
      </c>
      <c r="B38" s="2029">
        <f t="shared" ref="B38:M38" si="4">+IF(AND(B35&gt;=$F$16,B35&lt;=$F$17,MOD((B35-$F$15)*$F$10,12)=0),PPMT($F$6/$F$10,(B35-$F$15)*$F$10/12+1,$F$9,-$F$5,$F$7),0)</f>
        <v>0</v>
      </c>
      <c r="C38" s="2030">
        <f t="shared" si="4"/>
        <v>0</v>
      </c>
      <c r="D38" s="2030">
        <f t="shared" si="4"/>
        <v>0</v>
      </c>
      <c r="E38" s="2030">
        <f t="shared" si="4"/>
        <v>0</v>
      </c>
      <c r="F38" s="2030">
        <f t="shared" si="4"/>
        <v>0</v>
      </c>
      <c r="G38" s="2030">
        <f t="shared" si="4"/>
        <v>0</v>
      </c>
      <c r="H38" s="2030">
        <f t="shared" si="4"/>
        <v>0</v>
      </c>
      <c r="I38" s="2030">
        <f t="shared" si="4"/>
        <v>0</v>
      </c>
      <c r="J38" s="2030">
        <f t="shared" si="4"/>
        <v>0</v>
      </c>
      <c r="K38" s="2030">
        <f t="shared" si="4"/>
        <v>0</v>
      </c>
      <c r="L38" s="2030">
        <f t="shared" si="4"/>
        <v>0</v>
      </c>
      <c r="M38" s="2031">
        <f t="shared" si="4"/>
        <v>0</v>
      </c>
      <c r="N38" s="187">
        <f>SUM(B38:M38)</f>
        <v>0</v>
      </c>
    </row>
    <row r="39" spans="1:14" s="4" customFormat="1" ht="19.5" customHeight="1" thickBot="1">
      <c r="A39" s="189" t="str">
        <v>Amortiçações</v>
      </c>
      <c r="B39" s="889">
        <f t="shared" ref="B39:M39" si="5">IF(AND(B35&gt;=$B$16,B35&lt;=$B$17,MOD((B35-$B$15)*$B$10,12)=0),PPMT($B$6/$B$10,(B35-$B$15)*$B$10/12+1,$B$9,-$B$5,$B$7),0)
+IF(AND(B35&gt;=$C$16,B35&lt;=$C$17,MOD((B35-$C$15)*$C$10,12)=0),PPMT($C$6/$C$10,(B35-$C$15)*$C$10/12+1,$C$9,-$C$5,$C$7),0)
+IF(AND(B35&gt;=$D$16,B35&lt;=$D$17,MOD((B35-$D$15)*$D$10,12)=0),PPMT($D$6/$D$10,(B35-$D$15)*$D$10/12+1,$D$9,-$D$5,$D$7),0)
+IF(AND(B35&gt;=$E$16,B35&lt;=$E$17,MOD((B35-$E$15)*$E$10,12)=0),PPMT($E$6/$E$10,(B35-$E$15)*$E$10/12+1,$E$9,-$E$5,$E$7),0)
+IF(AND(B35&gt;=$F$16,B35&lt;=$F$17,MOD((B35-$F$15)*$F$10,12)=0),PPMT($F$6/$F$10,(B35-$F$15)*$F$10/12+1,$F$9,-$F$5,$F$7),0)</f>
        <v>0</v>
      </c>
      <c r="C39" s="890">
        <f t="shared" si="5"/>
        <v>0</v>
      </c>
      <c r="D39" s="890">
        <f t="shared" si="5"/>
        <v>0</v>
      </c>
      <c r="E39" s="890">
        <f t="shared" si="5"/>
        <v>0</v>
      </c>
      <c r="F39" s="890">
        <f t="shared" si="5"/>
        <v>0</v>
      </c>
      <c r="G39" s="890">
        <f t="shared" si="5"/>
        <v>0</v>
      </c>
      <c r="H39" s="890">
        <f t="shared" si="5"/>
        <v>0</v>
      </c>
      <c r="I39" s="890">
        <f t="shared" si="5"/>
        <v>0</v>
      </c>
      <c r="J39" s="890">
        <f t="shared" si="5"/>
        <v>0</v>
      </c>
      <c r="K39" s="890">
        <f t="shared" si="5"/>
        <v>0</v>
      </c>
      <c r="L39" s="890">
        <f t="shared" si="5"/>
        <v>0</v>
      </c>
      <c r="M39" s="891">
        <f t="shared" si="5"/>
        <v>0</v>
      </c>
      <c r="N39" s="188">
        <f>SUM(B39:M39)</f>
        <v>0</v>
      </c>
    </row>
    <row r="40" spans="1:14" ht="15.75" thickBot="1">
      <c r="A40" s="189" t="str">
        <v>IVA soportado</v>
      </c>
      <c r="B40" s="889">
        <f t="array" ref="B40:M40">B36:M36*Parametros!$F$33</f>
        <v>0</v>
      </c>
      <c r="C40" s="890">
        <v>0</v>
      </c>
      <c r="D40" s="890">
        <v>0</v>
      </c>
      <c r="E40" s="890">
        <v>0</v>
      </c>
      <c r="F40" s="890">
        <v>0</v>
      </c>
      <c r="G40" s="890">
        <v>0</v>
      </c>
      <c r="H40" s="890">
        <v>0</v>
      </c>
      <c r="I40" s="890">
        <v>0</v>
      </c>
      <c r="J40" s="890">
        <v>0</v>
      </c>
      <c r="K40" s="890">
        <v>0</v>
      </c>
      <c r="L40" s="890">
        <v>0</v>
      </c>
      <c r="M40" s="891">
        <v>0</v>
      </c>
      <c r="N40" s="188">
        <f>SUM(B40:M40)</f>
        <v>0</v>
      </c>
    </row>
    <row r="42" spans="1:14" ht="18.75" thickBot="1">
      <c r="A42" s="2761" t="str">
        <f>Parametros!$B$80</f>
        <v>Ano 3:  2029</v>
      </c>
      <c r="B42" s="170"/>
    </row>
    <row r="43" spans="1:14" s="4" customFormat="1" ht="19.5" customHeight="1" thickBot="1">
      <c r="A43" s="174" t="str">
        <f t="array" ref="A43:A48">A$27:A$32</f>
        <v>meses</v>
      </c>
      <c r="B43" s="175">
        <v>37</v>
      </c>
      <c r="C43" s="176">
        <v>38</v>
      </c>
      <c r="D43" s="176">
        <v>39</v>
      </c>
      <c r="E43" s="176">
        <v>40</v>
      </c>
      <c r="F43" s="176">
        <v>41</v>
      </c>
      <c r="G43" s="176">
        <v>42</v>
      </c>
      <c r="H43" s="176">
        <v>43</v>
      </c>
      <c r="I43" s="176">
        <v>44</v>
      </c>
      <c r="J43" s="176">
        <v>45</v>
      </c>
      <c r="K43" s="176">
        <v>46</v>
      </c>
      <c r="L43" s="176">
        <v>47</v>
      </c>
      <c r="M43" s="177">
        <v>48</v>
      </c>
      <c r="N43" s="178" t="s">
        <v>612</v>
      </c>
    </row>
    <row r="44" spans="1:14" s="4" customFormat="1" ht="19.5" customHeight="1">
      <c r="A44" s="179" t="str">
        <v>Pagamentos</v>
      </c>
      <c r="B44" s="180">
        <f t="array" ref="B44:M44">B45:M45+B47:M47</f>
        <v>0</v>
      </c>
      <c r="C44" s="181">
        <v>0</v>
      </c>
      <c r="D44" s="181">
        <v>0</v>
      </c>
      <c r="E44" s="181">
        <v>0</v>
      </c>
      <c r="F44" s="181">
        <v>0</v>
      </c>
      <c r="G44" s="181">
        <v>0</v>
      </c>
      <c r="H44" s="181">
        <v>0</v>
      </c>
      <c r="I44" s="181">
        <v>0</v>
      </c>
      <c r="J44" s="181">
        <v>0</v>
      </c>
      <c r="K44" s="181">
        <v>0</v>
      </c>
      <c r="L44" s="181">
        <v>0</v>
      </c>
      <c r="M44" s="182">
        <v>0</v>
      </c>
      <c r="N44" s="183">
        <f>SUM(B44:M44)</f>
        <v>0</v>
      </c>
    </row>
    <row r="45" spans="1:14" s="4" customFormat="1" ht="19.5" customHeight="1">
      <c r="A45" s="184" t="str">
        <v>Juros</v>
      </c>
      <c r="B45" s="888">
        <f t="array" ref="B45:M45">IF(B43:M43=37,$G$8*$G$5,0)
+IF(MOD((B43:M43-$B$15)*$B$10,12),0,IF(B43:M43&lt;$B$16,$B$5*$B$6/$B$10,IF(B43:M43&lt;=$B$17,IPMT($B$6/$B$10,(B43:M43-$B$15)*$B$10/12+1,$B$9,-$B$5,$B$7),0)))
+IF(MOD((B43:M43-$C$15)*$C$10,12),0,IF(B43:M43&lt;$C$16,$C$5*$C$6/$C$10,IF(B43:M43&lt;=$C$17,IPMT($C$6/$C$10,(B43:M43-$C$15)*$C$10/12+1,$C$9,-$C$5,$C$7),0)))
+IF(MOD((B43:M43-$D$15)*$D$10,12),0,IF(B43:M43&lt;$D$16,$D$5*$D$6/$D$10,IF(B43:M43&lt;=$D$17,IPMT($D$6/$D$10,(B43:M43-$D$15)*$D$10/12+1,$D$9,-$D$5,$D$7),0)))
+IF(MOD((B43:M43-$E$15)*$E$10,12),0,IF(B43:M43&lt;$E$16,$E$5*$E$6/$E$10,IF(B43:M43&lt;=$E$17,IPMT($E$6/$E$10,(B43:M43-$E$15)*$E$10/12+1,$E$9,-$E$5,$E$7),0)))
+IF(MOD((B43:M43-$F$15)*$F$10,12),0,IF(B43:M43&lt;$F$16,$F$5*$F$6/$F$10,IF(B43:M43&lt;=$F$17,IPMT($F$6/$F$10,(B43:M43-$F$15)*$F$10/12+1,$F$9,-$F$5,$F$7),0)))
+IF(MOD((B43:M43-$G$15)*$G$10,12),0,IF(B43:M43&lt;$G$16,$G$5*$G$6/$G$10,IF(B43:M43&lt;=$G$17,IPMT($G$6/$G$10,(B43:M43-$G$15)*$G$10/12+1,$G$9,-$G$5,$G$7),0)))</f>
        <v>0</v>
      </c>
      <c r="C45" s="185">
        <v>0</v>
      </c>
      <c r="D45" s="185">
        <v>0</v>
      </c>
      <c r="E45" s="185">
        <v>0</v>
      </c>
      <c r="F45" s="185">
        <v>0</v>
      </c>
      <c r="G45" s="185">
        <v>0</v>
      </c>
      <c r="H45" s="185">
        <v>0</v>
      </c>
      <c r="I45" s="185">
        <v>0</v>
      </c>
      <c r="J45" s="185">
        <v>0</v>
      </c>
      <c r="K45" s="185">
        <v>0</v>
      </c>
      <c r="L45" s="185">
        <v>0</v>
      </c>
      <c r="M45" s="186">
        <v>0</v>
      </c>
      <c r="N45" s="187">
        <f>SUM(B45:M45)</f>
        <v>0</v>
      </c>
    </row>
    <row r="46" spans="1:14" s="4" customFormat="1" ht="19.5" customHeight="1">
      <c r="A46" s="2028" t="str">
        <v>Amort. Novo Leasing</v>
      </c>
      <c r="B46" s="2029">
        <f t="shared" ref="B46:M46" si="6">+IF(AND(B43&gt;=$G$16,B43&lt;=$G$17,MOD((B43-$G$15)*$G$10,12)=0),PPMT($G$6/$G$10,(B43-$G$15)*$G$10/12+1,$G$9,-$G$5,$G$7),0)</f>
        <v>0</v>
      </c>
      <c r="C46" s="2030">
        <f t="shared" si="6"/>
        <v>0</v>
      </c>
      <c r="D46" s="2030">
        <f t="shared" si="6"/>
        <v>0</v>
      </c>
      <c r="E46" s="2030">
        <f t="shared" si="6"/>
        <v>0</v>
      </c>
      <c r="F46" s="2030">
        <f t="shared" si="6"/>
        <v>0</v>
      </c>
      <c r="G46" s="2030">
        <f t="shared" si="6"/>
        <v>0</v>
      </c>
      <c r="H46" s="2030">
        <f t="shared" si="6"/>
        <v>0</v>
      </c>
      <c r="I46" s="2030">
        <f t="shared" si="6"/>
        <v>0</v>
      </c>
      <c r="J46" s="2030">
        <f t="shared" si="6"/>
        <v>0</v>
      </c>
      <c r="K46" s="2030">
        <f t="shared" si="6"/>
        <v>0</v>
      </c>
      <c r="L46" s="2030">
        <f t="shared" si="6"/>
        <v>0</v>
      </c>
      <c r="M46" s="2031">
        <f t="shared" si="6"/>
        <v>0</v>
      </c>
      <c r="N46" s="187">
        <f>SUM(B46:M46)</f>
        <v>0</v>
      </c>
    </row>
    <row r="47" spans="1:14" s="4" customFormat="1" ht="19.5" customHeight="1" thickBot="1">
      <c r="A47" s="189" t="str">
        <v>Amortiçações</v>
      </c>
      <c r="B47" s="889">
        <f t="shared" ref="B47:M47" si="7">IF(AND(B43&gt;=$B$16,B43&lt;=$B$17,MOD((B43-$B$15)*$B$10,12)=0),PPMT($B$6/$B$10,(B43-$B$15)*$B$10/12+1,$B$9,-$B$5,$B$7),0)
+IF(AND(B43&gt;=$C$16,B43&lt;=$C$17,MOD((B43-$C$15)*$C$10,12)=0),PPMT($C$6/$C$10,(B43-$C$15)*$C$10/12+1,$C$9,-$C$5,$C$7),0)
+IF(AND(B43&gt;=$D$16,B43&lt;=$D$17,MOD((B43-$D$15)*$D$10,12)=0),PPMT($D$6/$D$10,(B43-$D$15)*$D$10/12+1,$D$9,-$D$5,$D$7),0)
+IF(AND(B43&gt;=$E$16,B43&lt;=$E$17,MOD((B43-$E$15)*$E$10,12)=0),PPMT($E$6/$E$10,(B43-$E$15)*$E$10/12+1,$E$9,-$E$5,$E$7),0)
+IF(AND(B43&gt;=$F$16,B43&lt;=$F$17,MOD((B43-$F$15)*$F$10,12)=0),PPMT($F$6/$F$10,(B43-$F$15)*$F$10/12+1,$F$9,-$F$5,$F$7),0)
+IF(AND(B43&gt;=$G$16,B43&lt;=$G$17,MOD((B43-$G$15)*$G$10,12)=0),PPMT($G$6/$G$10,(B43-$G$15)*$G$10/12+1,$G$9,-$G$5,$G$7),0)</f>
        <v>0</v>
      </c>
      <c r="C47" s="890">
        <f t="shared" si="7"/>
        <v>0</v>
      </c>
      <c r="D47" s="890">
        <f t="shared" si="7"/>
        <v>0</v>
      </c>
      <c r="E47" s="890">
        <f t="shared" si="7"/>
        <v>0</v>
      </c>
      <c r="F47" s="890">
        <f t="shared" si="7"/>
        <v>0</v>
      </c>
      <c r="G47" s="890">
        <f t="shared" si="7"/>
        <v>0</v>
      </c>
      <c r="H47" s="890">
        <f t="shared" si="7"/>
        <v>0</v>
      </c>
      <c r="I47" s="890">
        <f t="shared" si="7"/>
        <v>0</v>
      </c>
      <c r="J47" s="890">
        <f t="shared" si="7"/>
        <v>0</v>
      </c>
      <c r="K47" s="890">
        <f t="shared" si="7"/>
        <v>0</v>
      </c>
      <c r="L47" s="890">
        <f t="shared" si="7"/>
        <v>0</v>
      </c>
      <c r="M47" s="891">
        <f t="shared" si="7"/>
        <v>0</v>
      </c>
      <c r="N47" s="188">
        <f>SUM(B47:M47)</f>
        <v>0</v>
      </c>
    </row>
    <row r="48" spans="1:14" ht="15.75" thickBot="1">
      <c r="A48" s="189" t="str">
        <v>IVA soportado</v>
      </c>
      <c r="B48" s="889">
        <f t="array" ref="B48:M48">B44:M44*Parametros!$F$33</f>
        <v>0</v>
      </c>
      <c r="C48" s="890">
        <v>0</v>
      </c>
      <c r="D48" s="890">
        <v>0</v>
      </c>
      <c r="E48" s="890">
        <v>0</v>
      </c>
      <c r="F48" s="890">
        <v>0</v>
      </c>
      <c r="G48" s="890">
        <v>0</v>
      </c>
      <c r="H48" s="890">
        <v>0</v>
      </c>
      <c r="I48" s="890">
        <v>0</v>
      </c>
      <c r="J48" s="890">
        <v>0</v>
      </c>
      <c r="K48" s="890">
        <v>0</v>
      </c>
      <c r="L48" s="890">
        <v>0</v>
      </c>
      <c r="M48" s="891">
        <v>0</v>
      </c>
      <c r="N48" s="188">
        <f>SUM(B48:M48)</f>
        <v>0</v>
      </c>
    </row>
    <row r="50" spans="1:14" ht="18.75" thickBot="1">
      <c r="A50" s="2761" t="str">
        <f>Parametros!$B$81</f>
        <v>Ano 4:  2030</v>
      </c>
      <c r="B50" s="170"/>
    </row>
    <row r="51" spans="1:14" s="4" customFormat="1" ht="19.5" customHeight="1" thickBot="1">
      <c r="A51" s="174" t="str">
        <f t="array" ref="A51:A56">A$27:A$32</f>
        <v>meses</v>
      </c>
      <c r="B51" s="175">
        <v>49</v>
      </c>
      <c r="C51" s="176">
        <v>50</v>
      </c>
      <c r="D51" s="176">
        <v>51</v>
      </c>
      <c r="E51" s="176">
        <v>52</v>
      </c>
      <c r="F51" s="176">
        <v>53</v>
      </c>
      <c r="G51" s="176">
        <v>54</v>
      </c>
      <c r="H51" s="176">
        <v>55</v>
      </c>
      <c r="I51" s="176">
        <v>56</v>
      </c>
      <c r="J51" s="176">
        <v>57</v>
      </c>
      <c r="K51" s="176">
        <v>58</v>
      </c>
      <c r="L51" s="176">
        <v>59</v>
      </c>
      <c r="M51" s="177">
        <v>60</v>
      </c>
      <c r="N51" s="178" t="s">
        <v>612</v>
      </c>
    </row>
    <row r="52" spans="1:14" s="4" customFormat="1" ht="19.5" customHeight="1">
      <c r="A52" s="179" t="str">
        <v>Pagamentos</v>
      </c>
      <c r="B52" s="180">
        <f t="array" ref="B52:M52">B53:M53+B55:M55</f>
        <v>0</v>
      </c>
      <c r="C52" s="181">
        <v>0</v>
      </c>
      <c r="D52" s="181">
        <v>0</v>
      </c>
      <c r="E52" s="181">
        <v>0</v>
      </c>
      <c r="F52" s="181">
        <v>0</v>
      </c>
      <c r="G52" s="181">
        <v>0</v>
      </c>
      <c r="H52" s="181">
        <v>0</v>
      </c>
      <c r="I52" s="181">
        <v>0</v>
      </c>
      <c r="J52" s="181">
        <v>0</v>
      </c>
      <c r="K52" s="181">
        <v>0</v>
      </c>
      <c r="L52" s="181">
        <v>0</v>
      </c>
      <c r="M52" s="182">
        <v>0</v>
      </c>
      <c r="N52" s="183">
        <f>SUM(B52:M52)</f>
        <v>0</v>
      </c>
    </row>
    <row r="53" spans="1:14" s="4" customFormat="1" ht="19.5" customHeight="1">
      <c r="A53" s="184" t="str">
        <v>Juros</v>
      </c>
      <c r="B53" s="888">
        <f t="array" ref="B53:M53">IF(B51:M51=$H$15,$H$8*$H$5,0)
+IF(MOD((B51:M51-$B$15)*$B$10,12),0,IF(B51:M51&lt;$B$16,$B$5*$B$6/$B$10,IF(B51:M51&lt;=$B$17,IPMT($B$6/$B$10,(B51:M51-$B$15)*$B$10/12+1,$B$9,-$B$5,$B$7),0)))
+IF(MOD((B51:M51-$C$15)*$C$10,12),0,IF(B51:M51&lt;$C$16,$C$5*$C$6/$C$10,IF(B51:M51&lt;=$C$17,IPMT($C$6/$C$10,(B51:M51-$C$15)*$C$10/12+1,$C$9,-$C$5,$C$7),0)))
+IF(MOD((B51:M51-$D$15)*$D$10,12),0,IF(B51:M51&lt;$D$16,$D$5*$D$6/$D$10,IF(B51:M51&lt;=$D$17,IPMT($D$6/$D$10,(B51:M51-$D$15)*$D$10/12+1,$D$9,-$D$5,$D$7),0)))
+IF(MOD((B51:M51-$E$15)*$E$10,12),0,IF(B51:M51&lt;$E$16,$E$5*$E$6/$E$10,IF(B51:M51&lt;=$E$17,IPMT($E$6/$E$10,(B51:M51-$E$15)*$E$10/12+1,$E$9,-$E$5,$E$7),0)))
+IF(MOD((B51:M51-$F$15)*$F$10,12),0,IF(B51:M51&lt;$F$16,$F$5*$F$6/$F$10,IF(B51:M51&lt;=$F$17,IPMT($F$6/$F$10,(B51:M51-$F$15)*$F$10/12+1,$F$9,-$F$5,$F$7),0)))
+IF(MOD((B51:M51-$G$15)*$G$10,12),0,IF(B51:M51&lt;$G$16,$G$5*$G$6/$G$10,IF(B51:M51&lt;=$G$17,IPMT($G$6/$G$10,(B51:M51-$G$15)*$G$10/12+1,$G$9,-$G$5,$G$7),0)))
+IF(MOD((B51:M51-$H$15)*$H$10,12),0,IF(B51:M51&lt;$H$16,$H$5*$H$6/$H$10,IF(B51:M51&lt;=$H$17,IPMT($H$6/$H$10,(B51:M51-$H$15)*$H$10/12+1,$H$9,-$H$5,$H$7),0)))</f>
        <v>0</v>
      </c>
      <c r="C53" s="185">
        <v>0</v>
      </c>
      <c r="D53" s="185">
        <v>0</v>
      </c>
      <c r="E53" s="185">
        <v>0</v>
      </c>
      <c r="F53" s="185">
        <v>0</v>
      </c>
      <c r="G53" s="185">
        <v>0</v>
      </c>
      <c r="H53" s="185">
        <v>0</v>
      </c>
      <c r="I53" s="185">
        <v>0</v>
      </c>
      <c r="J53" s="185">
        <v>0</v>
      </c>
      <c r="K53" s="185">
        <v>0</v>
      </c>
      <c r="L53" s="185">
        <v>0</v>
      </c>
      <c r="M53" s="186">
        <v>0</v>
      </c>
      <c r="N53" s="187">
        <f>SUM(B53:M53)</f>
        <v>0</v>
      </c>
    </row>
    <row r="54" spans="1:14" s="4" customFormat="1" ht="19.5" customHeight="1">
      <c r="A54" s="2028" t="str">
        <v>Amort. Novo Leasing</v>
      </c>
      <c r="B54" s="2029">
        <f t="shared" ref="B54:M54" si="8">+IF(AND(B51&gt;=$H$16,B51&lt;=$H$17,MOD((B51-$H$15)*$H$10,12)=0),PPMT($H$6/$H$10,(B51-$H$15)*$H$10/12+1,$H$9,-$H$5,$H$7),0)</f>
        <v>0</v>
      </c>
      <c r="C54" s="2030">
        <f t="shared" si="8"/>
        <v>0</v>
      </c>
      <c r="D54" s="2030">
        <f t="shared" si="8"/>
        <v>0</v>
      </c>
      <c r="E54" s="2030">
        <f t="shared" si="8"/>
        <v>0</v>
      </c>
      <c r="F54" s="2030">
        <f t="shared" si="8"/>
        <v>0</v>
      </c>
      <c r="G54" s="2030">
        <f t="shared" si="8"/>
        <v>0</v>
      </c>
      <c r="H54" s="2030">
        <f t="shared" si="8"/>
        <v>0</v>
      </c>
      <c r="I54" s="2030">
        <f t="shared" si="8"/>
        <v>0</v>
      </c>
      <c r="J54" s="2030">
        <f t="shared" si="8"/>
        <v>0</v>
      </c>
      <c r="K54" s="2030">
        <f t="shared" si="8"/>
        <v>0</v>
      </c>
      <c r="L54" s="2030">
        <f t="shared" si="8"/>
        <v>0</v>
      </c>
      <c r="M54" s="2031">
        <f t="shared" si="8"/>
        <v>0</v>
      </c>
      <c r="N54" s="187">
        <f>SUM(B54:M54)</f>
        <v>0</v>
      </c>
    </row>
    <row r="55" spans="1:14" s="4" customFormat="1" ht="19.5" customHeight="1" thickBot="1">
      <c r="A55" s="189" t="str">
        <v>Amortiçações</v>
      </c>
      <c r="B55" s="889">
        <f t="shared" ref="B55:M55" si="9">IF(AND(B51&gt;=$B$16,B51&lt;=$B$17,MOD((B51-$B$15)*$B$10,12)=0),PPMT($B$6/$B$10,(B51-$B$15)*$B$10/12+1,$B$9,-$B$5,$B$7),0)
+IF(AND(B51&gt;=$C$16,B51&lt;=$C$17,MOD((B51-$C$15)*$C$10,12)=0),PPMT($C$6/$C$10,(B51-$C$15)*$C$10/12+1,$C$9,-$C$5,$C$7),0)
+IF(AND(B51&gt;=$D$16,B51&lt;=$D$17,MOD((B51-$D$15)*$D$10,12)=0),PPMT($D$6/$D$10,(B51-$D$15)*$D$10/12+1,$D$9,-$D$5,$D$7),0)
+IF(AND(B51&gt;=$E$16,B51&lt;=$E$17,MOD((B51-$E$15)*$E$10,12)=0),PPMT($E$6/$E$10,(B51-$E$15)*$E$10/12+1,$E$9,-$E$5,$E$7),0)
+IF(AND(B51&gt;=$F$16,B51&lt;=$F$17,MOD((B51-$F$15)*$F$10,12)=0),PPMT($F$6/$F$10,(B51-$F$15)*$F$10/12+1,$F$9,-$F$5,$F$7),0)
+IF(AND(B51&gt;=$G$16,B51&lt;=$G$17,MOD((B51-$G$15)*$G$10,12)=0),PPMT($G$6/$G$10,(B51-$G$15)*$G$10/12+1,$G$9,-$G$5,$G$7),0)
+IF(AND(B51&gt;=$H$16,B51&lt;=$H$17,MOD((B51-$H$15)*$H$10,12)=0),PPMT($H$6/$H$10,(B51-$H$15)*$H$10/12+1,$H$9,-$H$5,$H$7),0)</f>
        <v>0</v>
      </c>
      <c r="C55" s="890">
        <f t="shared" si="9"/>
        <v>0</v>
      </c>
      <c r="D55" s="890">
        <f t="shared" si="9"/>
        <v>0</v>
      </c>
      <c r="E55" s="890">
        <f t="shared" si="9"/>
        <v>0</v>
      </c>
      <c r="F55" s="890">
        <f t="shared" si="9"/>
        <v>0</v>
      </c>
      <c r="G55" s="890">
        <f t="shared" si="9"/>
        <v>0</v>
      </c>
      <c r="H55" s="890">
        <f t="shared" si="9"/>
        <v>0</v>
      </c>
      <c r="I55" s="890">
        <f t="shared" si="9"/>
        <v>0</v>
      </c>
      <c r="J55" s="890">
        <f t="shared" si="9"/>
        <v>0</v>
      </c>
      <c r="K55" s="890">
        <f t="shared" si="9"/>
        <v>0</v>
      </c>
      <c r="L55" s="890">
        <f t="shared" si="9"/>
        <v>0</v>
      </c>
      <c r="M55" s="891">
        <f t="shared" si="9"/>
        <v>0</v>
      </c>
      <c r="N55" s="188">
        <f>SUM(B55:M55)</f>
        <v>0</v>
      </c>
    </row>
    <row r="56" spans="1:14" ht="15.75" thickBot="1">
      <c r="A56" s="189" t="str">
        <v>IVA soportado</v>
      </c>
      <c r="B56" s="889">
        <f t="array" ref="B56:M56">B52:M52*Parametros!$F$33</f>
        <v>0</v>
      </c>
      <c r="C56" s="890">
        <v>0</v>
      </c>
      <c r="D56" s="890">
        <v>0</v>
      </c>
      <c r="E56" s="890">
        <v>0</v>
      </c>
      <c r="F56" s="890">
        <v>0</v>
      </c>
      <c r="G56" s="890">
        <v>0</v>
      </c>
      <c r="H56" s="890">
        <v>0</v>
      </c>
      <c r="I56" s="890">
        <v>0</v>
      </c>
      <c r="J56" s="890">
        <v>0</v>
      </c>
      <c r="K56" s="890">
        <v>0</v>
      </c>
      <c r="L56" s="890">
        <v>0</v>
      </c>
      <c r="M56" s="891">
        <v>0</v>
      </c>
      <c r="N56" s="188">
        <f>SUM(B56:M56)</f>
        <v>0</v>
      </c>
    </row>
    <row r="58" spans="1:14" ht="18.75" thickBot="1">
      <c r="A58" s="2761" t="str">
        <f>Parametros!$G$77</f>
        <v>Ano 5:  2031</v>
      </c>
      <c r="B58" s="170"/>
    </row>
    <row r="59" spans="1:14" s="4" customFormat="1" ht="19.5" customHeight="1" thickBot="1">
      <c r="A59" s="174" t="str">
        <f t="array" ref="A59:A63">A$20:A$24</f>
        <v>meses</v>
      </c>
      <c r="B59" s="175">
        <v>61</v>
      </c>
      <c r="C59" s="176">
        <v>62</v>
      </c>
      <c r="D59" s="176">
        <v>63</v>
      </c>
      <c r="E59" s="176">
        <v>64</v>
      </c>
      <c r="F59" s="176">
        <v>65</v>
      </c>
      <c r="G59" s="176">
        <v>66</v>
      </c>
      <c r="H59" s="176">
        <v>67</v>
      </c>
      <c r="I59" s="176">
        <v>68</v>
      </c>
      <c r="J59" s="176">
        <v>69</v>
      </c>
      <c r="K59" s="176">
        <v>70</v>
      </c>
      <c r="L59" s="176">
        <v>71</v>
      </c>
      <c r="M59" s="177">
        <v>72</v>
      </c>
      <c r="N59" s="178" t="s">
        <v>612</v>
      </c>
    </row>
    <row r="60" spans="1:14" s="4" customFormat="1" ht="19.5" customHeight="1">
      <c r="A60" s="179" t="str">
        <v>Pagamentos</v>
      </c>
      <c r="B60" s="180">
        <f t="array" ref="B60:M60">B61:M61+B62:M62</f>
        <v>0</v>
      </c>
      <c r="C60" s="181">
        <v>0</v>
      </c>
      <c r="D60" s="181">
        <v>0</v>
      </c>
      <c r="E60" s="181">
        <v>0</v>
      </c>
      <c r="F60" s="181">
        <v>0</v>
      </c>
      <c r="G60" s="181">
        <v>0</v>
      </c>
      <c r="H60" s="181">
        <v>0</v>
      </c>
      <c r="I60" s="181">
        <v>0</v>
      </c>
      <c r="J60" s="181">
        <v>0</v>
      </c>
      <c r="K60" s="181">
        <v>0</v>
      </c>
      <c r="L60" s="181">
        <v>0</v>
      </c>
      <c r="M60" s="182">
        <v>0</v>
      </c>
      <c r="N60" s="183">
        <f>SUM(B60:M60)</f>
        <v>0</v>
      </c>
    </row>
    <row r="61" spans="1:14" s="4" customFormat="1" ht="19.5" customHeight="1">
      <c r="A61" s="184" t="str">
        <v>Juros</v>
      </c>
      <c r="B61" s="888">
        <f t="array" ref="B61:M61">IF(MOD((B59:M59-$B$15)*$B$10,12),0,IF(B59:M59&lt;$B$16,$B$5*$B$6/$B$10,IF(B59:M59&lt;=$B$17,IPMT($B$6/$B$10,(B59:M59-$B$15)*$B$10/12+1,$B$9,-$B$5,$B$7),0)))
+IF(MOD((B59:M59-$C$15)*$C$10,12),0,IF(B59:M59&lt;$C$16,$C$5*$C$6/$C$10,IF(B59:M59&lt;=$C$17,IPMT($C$6/$C$10,(B59:M59-$C$15)*$C$10/12+1,$C$9,-$C$5,$C$7),0)))
+IF(MOD((B59:M59-$D$15)*$D$10,12),0,IF(B59:M59&lt;$D$16,$D$5*$D$6/$D$10,IF(B59:M59&lt;=$D$17,IPMT($D$6/$D$10,(B59:M59-$D$15)*$D$10/12+1,$D$9,-$D$5,$D$7),0)))
+IF(MOD((B59:M59-$E$15)*$E$10,12),0,IF(B59:M59&lt;$E$16,$E$5*$E$6/$E$10,IF(B59:M59&lt;=$E$17,IPMT($E$6/$E$10,(B59:M59-$E$15)*$E$10/12+1,$E$9,-$E$5,$E$7),0)))
+IF(MOD((B59:M59-$F$15)*$F$10,12),0,IF(B59:M59&lt;$F$16,$F$5*$F$6/$F$10,IF(B59:M59&lt;=$F$17,IPMT($F$6/$F$10,(B59:M59-$F$15)*$F$10/12+1,$F$9,-$F$5,$F$7),0)))
+IF(MOD((B59:M59-$G$15)*$G$10,12),0,IF(B59:M59&lt;$G$16,$G$5*$G$6/$G$10,IF(B59:M59&lt;=$G$17,IPMT($G$6/$G$10,(B59:M59-$G$15)*$G$10/12+1,$G$9,-$G$5,$G$7),0)))
+IF(MOD((B59:M59-$H$15)*$H$10,12),0,IF(B59:M59&lt;$H$16,$H$5*$H$6/$H$10,IF(B59:M59&lt;=$H$17,IPMT($H$6/$H$10,(B59:M59-$H$15)*$H$10/12+1,$H$9,-$H$5,$H$7),0)))</f>
        <v>0</v>
      </c>
      <c r="C61" s="185">
        <v>0</v>
      </c>
      <c r="D61" s="185">
        <v>0</v>
      </c>
      <c r="E61" s="185">
        <v>0</v>
      </c>
      <c r="F61" s="185">
        <v>0</v>
      </c>
      <c r="G61" s="185">
        <v>0</v>
      </c>
      <c r="H61" s="185">
        <v>0</v>
      </c>
      <c r="I61" s="185">
        <v>0</v>
      </c>
      <c r="J61" s="185">
        <v>0</v>
      </c>
      <c r="K61" s="185">
        <v>0</v>
      </c>
      <c r="L61" s="185">
        <v>0</v>
      </c>
      <c r="M61" s="186">
        <v>0</v>
      </c>
      <c r="N61" s="187">
        <f>SUM(B61:M61)</f>
        <v>0</v>
      </c>
    </row>
    <row r="62" spans="1:14" s="4" customFormat="1" ht="19.5" customHeight="1" thickBot="1">
      <c r="A62" s="189" t="str">
        <v>Amortiçações</v>
      </c>
      <c r="B62" s="889">
        <f t="shared" ref="B62:M62" si="10">IF(AND(B59&gt;=$B$16,B59&lt;=$B$17,MOD((B59-$B$15)*$B$10,12)=0),PPMT($B$6/$B$10,(B59-$B$15)*$B$10/12+1,$B$9,-$B$5,$B$7),0)
+IF(AND(B59&gt;=$C$16,B59&lt;=$C$17,MOD((B59-$C$15)*$C$10,12)=0),PPMT($C$6/$C$10,(B59-$C$15)*$C$10/12+1,$C$9,-$C$5,$C$7),0)
+IF(AND(B59&gt;=$D$16,B59&lt;=$D$17,MOD((B59-$D$15)*$D$10,12)=0),PPMT($D$6/$D$10,(B59-$D$15)*$D$10/12+1,$D$9,-$D$5,$D$7),0)
+IF(AND(B59&gt;=$E$16,B59&lt;=$E$17,MOD((B59-$E$15)*$E$10,12)=0),PPMT($E$6/$E$10,(B59-$E$15)*$E$10/12+1,$E$9,-$E$5,$E$7),0)
+IF(AND(B59&gt;=$F$16,B59&lt;=$F$17,MOD((B59-$F$15)*$F$10,12)=0),PPMT($F$6/$F$10,(B59-$F$15)*$F$10/12+1,$F$9,-$F$5,$F$7),0)
+IF(AND(B59&gt;=$G$16,B59&lt;=$G$17,MOD((B59-$G$15)*$G$10,12)=0),PPMT($G$6/$G$10,(B59-$G$15)*$G$10/12+1,$G$9,-$G$5,$G$7),0)
+IF(AND(B59&gt;=$H$16,B59&lt;=$H$17,MOD((B59-$H$15)*$H$10,12)=0),PPMT($H$6/$H$10,(B59-$H$15)*$H$10/12+1,$H$9,-$H$5,$H$7),0)</f>
        <v>0</v>
      </c>
      <c r="C62" s="890">
        <f t="shared" si="10"/>
        <v>0</v>
      </c>
      <c r="D62" s="890">
        <f t="shared" si="10"/>
        <v>0</v>
      </c>
      <c r="E62" s="890">
        <f t="shared" si="10"/>
        <v>0</v>
      </c>
      <c r="F62" s="890">
        <f t="shared" si="10"/>
        <v>0</v>
      </c>
      <c r="G62" s="890">
        <f t="shared" si="10"/>
        <v>0</v>
      </c>
      <c r="H62" s="890">
        <f t="shared" si="10"/>
        <v>0</v>
      </c>
      <c r="I62" s="890">
        <f t="shared" si="10"/>
        <v>0</v>
      </c>
      <c r="J62" s="890">
        <f t="shared" si="10"/>
        <v>0</v>
      </c>
      <c r="K62" s="890">
        <f t="shared" si="10"/>
        <v>0</v>
      </c>
      <c r="L62" s="890">
        <f t="shared" si="10"/>
        <v>0</v>
      </c>
      <c r="M62" s="891">
        <f t="shared" si="10"/>
        <v>0</v>
      </c>
      <c r="N62" s="188">
        <f>SUM(B62:M62)</f>
        <v>0</v>
      </c>
    </row>
    <row r="63" spans="1:14" ht="15.75" thickBot="1">
      <c r="A63" s="189" t="str">
        <v>IVA soportado</v>
      </c>
      <c r="B63" s="889">
        <f t="array" ref="B63:M63">B60:M60*Parametros!$F$33</f>
        <v>0</v>
      </c>
      <c r="C63" s="890">
        <v>0</v>
      </c>
      <c r="D63" s="890">
        <v>0</v>
      </c>
      <c r="E63" s="890">
        <v>0</v>
      </c>
      <c r="F63" s="890">
        <v>0</v>
      </c>
      <c r="G63" s="890">
        <v>0</v>
      </c>
      <c r="H63" s="890">
        <v>0</v>
      </c>
      <c r="I63" s="890">
        <v>0</v>
      </c>
      <c r="J63" s="890">
        <v>0</v>
      </c>
      <c r="K63" s="890">
        <v>0</v>
      </c>
      <c r="L63" s="890">
        <v>0</v>
      </c>
      <c r="M63" s="891">
        <v>0</v>
      </c>
      <c r="N63" s="188">
        <f>SUM(B63:M63)</f>
        <v>0</v>
      </c>
    </row>
  </sheetData>
  <sheetProtection sheet="1" objects="1" scenarios="1"/>
  <phoneticPr fontId="4" type="noConversion"/>
  <dataValidations disablePrompts="1" xWindow="106" yWindow="209" count="4">
    <dataValidation type="list" allowBlank="1" showInputMessage="1" showErrorMessage="1" prompt="  1 = 1 solo pago anual_x000a_  2 = pagos semestrales_x000a_  3 = pagos cuatrimestrales_x000a_  4 = pagos trimestrales_x000a_  6 = pagos bimensuales_x000a_12 = pagos mensuales" sqref="D10:H10" xr:uid="{00000000-0002-0000-0C00-000000000000}">
      <formula1>"1,2,3,4,6,12"</formula1>
    </dataValidation>
    <dataValidation type="whole" allowBlank="1" showInputMessage="1" showErrorMessage="1" sqref="D9:H9" xr:uid="{00000000-0002-0000-0C00-000001000000}">
      <formula1>0</formula1>
      <formula2>400</formula2>
    </dataValidation>
    <dataValidation allowBlank="1" showInputMessage="1" showErrorMessage="1" prompt="Tipo nominal anual" sqref="D6:H7" xr:uid="{00000000-0002-0000-0C00-000002000000}"/>
    <dataValidation type="decimal" allowBlank="1" showInputMessage="1" showErrorMessage="1" sqref="D8:H8" xr:uid="{00000000-0002-0000-0C00-000003000000}">
      <formula1>0</formula1>
      <formula2>0.05</formula2>
    </dataValidation>
  </dataValidations>
  <printOptions horizontalCentered="1"/>
  <pageMargins left="0.56000000000000005" right="0.69" top="0.66" bottom="0.55000000000000004" header="0.51181102362204722" footer="0.43"/>
  <pageSetup paperSize="9" scale="48" orientation="landscape" horizontalDpi="4294967292" verticalDpi="300" r:id="rId1"/>
  <headerFooter alignWithMargins="0">
    <oddFooter>&amp;C&amp;"Tahoma,Normal"&amp;10&amp;A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62">
    <tabColor indexed="42"/>
    <pageSetUpPr fitToPage="1"/>
  </sheetPr>
  <dimension ref="A1:N59"/>
  <sheetViews>
    <sheetView workbookViewId="0"/>
  </sheetViews>
  <sheetFormatPr baseColWidth="10" defaultColWidth="11" defaultRowHeight="15"/>
  <cols>
    <col min="1" max="1" width="20.25" style="168" customWidth="1"/>
    <col min="2" max="7" width="14.375" style="168" customWidth="1"/>
    <col min="8" max="8" width="11.75" style="168" customWidth="1"/>
    <col min="9" max="9" width="11.875" style="168" customWidth="1"/>
    <col min="10" max="13" width="14.625" style="168" bestFit="1" customWidth="1"/>
    <col min="14" max="14" width="12.875" style="168" customWidth="1"/>
    <col min="15" max="16384" width="11" style="168"/>
  </cols>
  <sheetData>
    <row r="1" spans="1:8" ht="25.5">
      <c r="A1" s="171" t="s">
        <v>718</v>
      </c>
      <c r="E1" s="172"/>
      <c r="F1" s="173"/>
    </row>
    <row r="2" spans="1:8" ht="25.5">
      <c r="A2" s="171" t="str">
        <f>'Dados Básicos'!B9</f>
        <v>WWW, S.L.</v>
      </c>
      <c r="F2" s="171"/>
    </row>
    <row r="3" spans="1:8" ht="19.5" customHeight="1">
      <c r="D3" s="169"/>
    </row>
    <row r="4" spans="1:8" ht="19.5" customHeight="1" thickBot="1">
      <c r="D4" s="169"/>
    </row>
    <row r="5" spans="1:8" s="4" customFormat="1" ht="36" customHeight="1" thickBot="1">
      <c r="A5" s="1746" t="s">
        <v>719</v>
      </c>
      <c r="B5" s="886" t="str">
        <f t="array" ref="B5:H5">Finançamento!B67:H67</f>
        <v>Previo ao inicio
(Bal. Previo)</v>
      </c>
      <c r="C5" s="886" t="str">
        <v>Renting 1 Ano 0:  2026</v>
      </c>
      <c r="D5" s="886" t="str">
        <v>Renting 2 Ano 0:  2026</v>
      </c>
      <c r="E5" s="886" t="str">
        <v>Ano 1:  2027</v>
      </c>
      <c r="F5" s="887" t="str">
        <v>Ano 2:  2028</v>
      </c>
      <c r="G5" s="887" t="str">
        <v>Ano 3:  2029</v>
      </c>
      <c r="H5" s="887" t="str">
        <v>Ano 4:  2030</v>
      </c>
    </row>
    <row r="6" spans="1:8" s="4" customFormat="1" ht="24.75" customHeight="1">
      <c r="A6" s="881" t="s">
        <v>714</v>
      </c>
      <c r="B6" s="1742">
        <f t="array" ref="B6:H10">Finançamento!B68:H72</f>
        <v>0</v>
      </c>
      <c r="C6" s="1742">
        <v>0</v>
      </c>
      <c r="D6" s="1742">
        <v>0</v>
      </c>
      <c r="E6" s="1742">
        <v>0</v>
      </c>
      <c r="F6" s="1742">
        <v>0</v>
      </c>
      <c r="G6" s="1742">
        <v>0</v>
      </c>
      <c r="H6" s="1742">
        <v>0</v>
      </c>
    </row>
    <row r="7" spans="1:8" ht="18" customHeight="1">
      <c r="A7" s="1329" t="s">
        <v>699</v>
      </c>
      <c r="B7" s="877">
        <v>0.18</v>
      </c>
      <c r="C7" s="877">
        <v>0.18</v>
      </c>
      <c r="D7" s="877">
        <v>0.15</v>
      </c>
      <c r="E7" s="877">
        <v>0.15</v>
      </c>
      <c r="F7" s="877">
        <v>0.15</v>
      </c>
      <c r="G7" s="877">
        <v>0.15</v>
      </c>
      <c r="H7" s="877">
        <v>0.15</v>
      </c>
    </row>
    <row r="8" spans="1:8" ht="18" customHeight="1">
      <c r="A8" s="1329" t="s">
        <v>700</v>
      </c>
      <c r="B8" s="877">
        <v>0</v>
      </c>
      <c r="C8" s="877">
        <v>5.0000000000000001E-3</v>
      </c>
      <c r="D8" s="877">
        <v>5.0000000000000001E-3</v>
      </c>
      <c r="E8" s="877">
        <v>5.0000000000000001E-3</v>
      </c>
      <c r="F8" s="877">
        <v>5.0000000000000001E-3</v>
      </c>
      <c r="G8" s="877">
        <v>5.0000000000000001E-3</v>
      </c>
      <c r="H8" s="877">
        <v>5.0000000000000001E-3</v>
      </c>
    </row>
    <row r="9" spans="1:8" ht="18" customHeight="1">
      <c r="A9" s="1329" t="s">
        <v>633</v>
      </c>
      <c r="B9" s="878">
        <v>60</v>
      </c>
      <c r="C9" s="878">
        <v>36</v>
      </c>
      <c r="D9" s="878">
        <v>36</v>
      </c>
      <c r="E9" s="878">
        <v>36</v>
      </c>
      <c r="F9" s="878">
        <v>36</v>
      </c>
      <c r="G9" s="878">
        <v>36</v>
      </c>
      <c r="H9" s="878">
        <v>36</v>
      </c>
    </row>
    <row r="10" spans="1:8" ht="18" customHeight="1" thickBot="1">
      <c r="A10" s="1743" t="s">
        <v>701</v>
      </c>
      <c r="B10" s="1744">
        <v>12</v>
      </c>
      <c r="C10" s="1744">
        <v>12</v>
      </c>
      <c r="D10" s="1744">
        <v>12</v>
      </c>
      <c r="E10" s="1744">
        <v>12</v>
      </c>
      <c r="F10" s="1744">
        <v>12</v>
      </c>
      <c r="G10" s="1744">
        <v>12</v>
      </c>
      <c r="H10" s="1744">
        <v>12</v>
      </c>
    </row>
    <row r="11" spans="1:8" ht="19.5" customHeight="1" thickBot="1">
      <c r="F11" s="169"/>
    </row>
    <row r="12" spans="1:8" ht="19.5" customHeight="1" thickBot="1">
      <c r="A12" s="883" t="s">
        <v>713</v>
      </c>
      <c r="B12" s="882">
        <f t="array" ref="B12:H12">IF(ISERR(PMT(B$7:H7/B$10:H10,B$9:H9,-B$6:H6)),0,PMT(B$7:H7/B$10:H10,B$9:H9,-B$6:H6))</f>
        <v>0</v>
      </c>
      <c r="C12" s="882">
        <v>0</v>
      </c>
      <c r="D12" s="882">
        <v>0</v>
      </c>
      <c r="E12" s="882">
        <v>0</v>
      </c>
      <c r="F12" s="882">
        <v>0</v>
      </c>
      <c r="G12" s="882">
        <v>0</v>
      </c>
      <c r="H12" s="882">
        <v>0</v>
      </c>
    </row>
    <row r="13" spans="1:8" ht="19.5" customHeight="1" thickBot="1">
      <c r="D13" s="169"/>
      <c r="G13" s="169"/>
    </row>
    <row r="14" spans="1:8" ht="19.5" customHeight="1" thickBot="1">
      <c r="A14" s="1330" t="s">
        <v>164</v>
      </c>
      <c r="B14" s="885">
        <f t="array" ref="B14:H14">B9:H9*12/B10:H11</f>
        <v>60</v>
      </c>
      <c r="C14" s="885">
        <v>36</v>
      </c>
      <c r="D14" s="885">
        <v>36</v>
      </c>
      <c r="E14" s="885">
        <v>36</v>
      </c>
      <c r="F14" s="885">
        <v>36</v>
      </c>
      <c r="G14" s="885">
        <v>36</v>
      </c>
      <c r="H14" s="885">
        <v>36</v>
      </c>
    </row>
    <row r="15" spans="1:8" ht="19.5" customHeight="1" thickBot="1">
      <c r="A15" s="1330" t="s">
        <v>705</v>
      </c>
      <c r="B15" s="885">
        <f t="shared" ref="B15:D16" si="0">mes0</f>
        <v>1</v>
      </c>
      <c r="C15" s="885">
        <f t="shared" si="0"/>
        <v>1</v>
      </c>
      <c r="D15" s="885">
        <f t="shared" si="0"/>
        <v>1</v>
      </c>
      <c r="E15" s="885">
        <v>13</v>
      </c>
      <c r="F15" s="885">
        <v>25</v>
      </c>
      <c r="G15" s="885">
        <v>37</v>
      </c>
      <c r="H15" s="885">
        <v>49</v>
      </c>
    </row>
    <row r="16" spans="1:8" ht="19.5" customHeight="1" thickBot="1">
      <c r="A16" s="1330" t="s">
        <v>165</v>
      </c>
      <c r="B16" s="885">
        <f t="shared" si="0"/>
        <v>1</v>
      </c>
      <c r="C16" s="885">
        <f t="shared" si="0"/>
        <v>1</v>
      </c>
      <c r="D16" s="885">
        <f t="shared" si="0"/>
        <v>1</v>
      </c>
      <c r="E16" s="885">
        <f t="array" ref="E16:H16">E15:H15</f>
        <v>13</v>
      </c>
      <c r="F16" s="885">
        <v>25</v>
      </c>
      <c r="G16" s="885">
        <v>37</v>
      </c>
      <c r="H16" s="885">
        <v>49</v>
      </c>
    </row>
    <row r="17" spans="1:14" ht="19.5" customHeight="1" thickBot="1">
      <c r="A17" s="1330" t="s">
        <v>170</v>
      </c>
      <c r="B17" s="885">
        <f t="array" ref="B17:H17">B16:H16+B14:H14-1</f>
        <v>60</v>
      </c>
      <c r="C17" s="885">
        <v>36</v>
      </c>
      <c r="D17" s="885">
        <v>36</v>
      </c>
      <c r="E17" s="885">
        <v>48</v>
      </c>
      <c r="F17" s="885">
        <v>60</v>
      </c>
      <c r="G17" s="885">
        <v>72</v>
      </c>
      <c r="H17" s="885">
        <v>84</v>
      </c>
    </row>
    <row r="18" spans="1:14" ht="19.5" customHeight="1">
      <c r="C18" s="169"/>
      <c r="F18" s="169"/>
    </row>
    <row r="19" spans="1:14" ht="19.5" customHeight="1" thickBot="1">
      <c r="A19" s="2761" t="str">
        <f>Parametros!$B$77</f>
        <v>Ano 0:  2026</v>
      </c>
      <c r="B19" s="170"/>
      <c r="C19" s="169"/>
      <c r="D19" s="169"/>
      <c r="E19" s="169"/>
      <c r="F19" s="169"/>
      <c r="G19" s="169"/>
    </row>
    <row r="20" spans="1:14" s="4" customFormat="1" ht="19.5" customHeight="1" thickBot="1">
      <c r="A20" s="174" t="s">
        <v>89</v>
      </c>
      <c r="B20" s="175">
        <v>1</v>
      </c>
      <c r="C20" s="176">
        <v>2</v>
      </c>
      <c r="D20" s="176">
        <v>3</v>
      </c>
      <c r="E20" s="176">
        <v>4</v>
      </c>
      <c r="F20" s="176">
        <v>5</v>
      </c>
      <c r="G20" s="176">
        <v>6</v>
      </c>
      <c r="H20" s="176">
        <v>7</v>
      </c>
      <c r="I20" s="176">
        <v>8</v>
      </c>
      <c r="J20" s="176">
        <v>9</v>
      </c>
      <c r="K20" s="176">
        <v>10</v>
      </c>
      <c r="L20" s="176">
        <v>11</v>
      </c>
      <c r="M20" s="177">
        <v>12</v>
      </c>
      <c r="N20" s="178" t="s">
        <v>612</v>
      </c>
    </row>
    <row r="21" spans="1:14" s="4" customFormat="1" ht="19.5" customHeight="1">
      <c r="A21" s="179" t="s">
        <v>708</v>
      </c>
      <c r="B21" s="180">
        <f t="array" ref="B21:M21">B22:M22+B23:M23</f>
        <v>0</v>
      </c>
      <c r="C21" s="181">
        <v>0</v>
      </c>
      <c r="D21" s="181">
        <v>0</v>
      </c>
      <c r="E21" s="181">
        <v>0</v>
      </c>
      <c r="F21" s="181">
        <v>0</v>
      </c>
      <c r="G21" s="181">
        <v>0</v>
      </c>
      <c r="H21" s="181">
        <v>0</v>
      </c>
      <c r="I21" s="181">
        <v>0</v>
      </c>
      <c r="J21" s="181">
        <v>0</v>
      </c>
      <c r="K21" s="181">
        <v>0</v>
      </c>
      <c r="L21" s="181">
        <v>0</v>
      </c>
      <c r="M21" s="182">
        <v>0</v>
      </c>
      <c r="N21" s="183">
        <f>SUM(B21:M21)</f>
        <v>0</v>
      </c>
    </row>
    <row r="22" spans="1:14" s="4" customFormat="1" ht="19.5" customHeight="1">
      <c r="A22" s="184" t="s">
        <v>709</v>
      </c>
      <c r="B22" s="888">
        <f t="array" ref="B22:M22">IF(B20:M20=$B$15,$B$6*$B$8,0)+IF(B20:M20=$C$15,$C$6*$C$8,0)+IF(B20:M20=$D$15,$D$6*$D$8,0)
+IF(MOD((B20:M20-$B$15)*$B$10,12),0,IF(B20:M20&lt;$B$15,0,IF(B20:M20&lt;$B$16,$B$6*$B$7/$B$10,IF(B20:M20&lt;=$B$17,IPMT($B$7/$B$10,(B20:M20-$B$15)*$B$10/12+1,$B$9,-$B$6),0))))
+IF(MOD((B20:M20-$C$15)*$C$10,12),0,IF(B20:M20&lt;$C$15,0,IF(B20:M20&lt;$C$16,$C$6*$C$7/$C$10,IF(B20:M20&lt;=$C$17,IPMT($C$7/$C$10,(B20:M20-$C$15)*$C$10/12+1,$C$9,-$C$6),0))))
+IF(MOD((B20:M20-$D$15)*$D$10,12),0,IF(B20:M20&lt;$D$15,0,IF(B20:M20&lt;$D$16,$D$6*$D$7/$D$10,IF(B20:M20&lt;=$D$17,IPMT($D$7/$D$10,(B20:M20-$D$15)*$D$10/12+1,$D$9,-$D$6),0))))</f>
        <v>0</v>
      </c>
      <c r="C22" s="185">
        <v>0</v>
      </c>
      <c r="D22" s="185">
        <v>0</v>
      </c>
      <c r="E22" s="185">
        <v>0</v>
      </c>
      <c r="F22" s="185">
        <v>0</v>
      </c>
      <c r="G22" s="185">
        <v>0</v>
      </c>
      <c r="H22" s="185">
        <v>0</v>
      </c>
      <c r="I22" s="185">
        <v>0</v>
      </c>
      <c r="J22" s="185">
        <v>0</v>
      </c>
      <c r="K22" s="185">
        <v>0</v>
      </c>
      <c r="L22" s="185">
        <v>0</v>
      </c>
      <c r="M22" s="186">
        <v>0</v>
      </c>
      <c r="N22" s="187">
        <f>SUM(B22:M22)</f>
        <v>0</v>
      </c>
    </row>
    <row r="23" spans="1:14" s="4" customFormat="1" ht="19.5" customHeight="1" thickBot="1">
      <c r="A23" s="189" t="s">
        <v>710</v>
      </c>
      <c r="B23" s="889">
        <f t="shared" ref="B23:M23" si="1">IF(AND(B20&gt;=$B$16,B20&lt;=$B$17,MOD((B20-$B$15)*$B$10,12)=0),PPMT($B$7/$B$10,(B20-$B$15)*$B$10/12+1,$B$9,-$B$6),0)
+IF(AND(B20&gt;=$C$16,B20&lt;=$C$17,MOD((B20-$C$15)*$C$10,12)=0),PPMT($C$7/$C$10,(B20-$C$15)*$C$10/12+1,$C$9,-$C$6),0)
+IF(AND(B20&gt;=$D$16,B20&lt;=$D$17,MOD((B20-$D$15)*$D$10,12)=0),PPMT($D$7/$D$10,(B20-$D$15)*$D$10/12+1,$D$9,-$D$6),0)</f>
        <v>0</v>
      </c>
      <c r="C23" s="890">
        <f t="shared" si="1"/>
        <v>0</v>
      </c>
      <c r="D23" s="890">
        <f t="shared" si="1"/>
        <v>0</v>
      </c>
      <c r="E23" s="890">
        <f t="shared" si="1"/>
        <v>0</v>
      </c>
      <c r="F23" s="890">
        <f t="shared" si="1"/>
        <v>0</v>
      </c>
      <c r="G23" s="890">
        <f t="shared" si="1"/>
        <v>0</v>
      </c>
      <c r="H23" s="890">
        <f t="shared" si="1"/>
        <v>0</v>
      </c>
      <c r="I23" s="890">
        <f t="shared" si="1"/>
        <v>0</v>
      </c>
      <c r="J23" s="890">
        <f t="shared" si="1"/>
        <v>0</v>
      </c>
      <c r="K23" s="890">
        <f t="shared" si="1"/>
        <v>0</v>
      </c>
      <c r="L23" s="890">
        <f t="shared" si="1"/>
        <v>0</v>
      </c>
      <c r="M23" s="891">
        <f t="shared" si="1"/>
        <v>0</v>
      </c>
      <c r="N23" s="188">
        <f>SUM(B23:M23)</f>
        <v>0</v>
      </c>
    </row>
    <row r="24" spans="1:14" ht="19.5" customHeight="1" thickBot="1">
      <c r="A24" s="189" t="str">
        <f>'Dados Básicos'!$A$28&amp;" soportado"</f>
        <v>IVA soportado</v>
      </c>
      <c r="B24" s="889">
        <f t="array" ref="B24:M24">B21:M21*Parametros!$F$33</f>
        <v>0</v>
      </c>
      <c r="C24" s="890">
        <v>0</v>
      </c>
      <c r="D24" s="890">
        <v>0</v>
      </c>
      <c r="E24" s="890">
        <v>0</v>
      </c>
      <c r="F24" s="890">
        <v>0</v>
      </c>
      <c r="G24" s="890">
        <v>0</v>
      </c>
      <c r="H24" s="890">
        <v>0</v>
      </c>
      <c r="I24" s="890">
        <v>0</v>
      </c>
      <c r="J24" s="890">
        <v>0</v>
      </c>
      <c r="K24" s="890">
        <v>0</v>
      </c>
      <c r="L24" s="890">
        <v>0</v>
      </c>
      <c r="M24" s="891">
        <v>0</v>
      </c>
      <c r="N24" s="188">
        <f>SUM(B24:M24)</f>
        <v>0</v>
      </c>
    </row>
    <row r="25" spans="1:14" ht="19.5" customHeight="1">
      <c r="C25" s="169"/>
    </row>
    <row r="26" spans="1:14" ht="19.5" customHeight="1" thickBot="1">
      <c r="A26" s="2761" t="str">
        <f>Parametros!$B$78</f>
        <v>Ano 1:  2027</v>
      </c>
      <c r="B26" s="170"/>
      <c r="C26" s="169"/>
    </row>
    <row r="27" spans="1:14" s="4" customFormat="1" ht="19.5" customHeight="1" thickBot="1">
      <c r="A27" s="174" t="str">
        <f t="array" ref="A27:A31">A$20:A$24</f>
        <v>meses</v>
      </c>
      <c r="B27" s="175">
        <v>13</v>
      </c>
      <c r="C27" s="176">
        <v>14</v>
      </c>
      <c r="D27" s="176">
        <v>15</v>
      </c>
      <c r="E27" s="176">
        <v>16</v>
      </c>
      <c r="F27" s="176">
        <v>17</v>
      </c>
      <c r="G27" s="176">
        <v>18</v>
      </c>
      <c r="H27" s="176">
        <v>19</v>
      </c>
      <c r="I27" s="176">
        <v>20</v>
      </c>
      <c r="J27" s="176">
        <v>21</v>
      </c>
      <c r="K27" s="176">
        <v>22</v>
      </c>
      <c r="L27" s="176">
        <v>23</v>
      </c>
      <c r="M27" s="177">
        <v>24</v>
      </c>
      <c r="N27" s="178" t="s">
        <v>612</v>
      </c>
    </row>
    <row r="28" spans="1:14" s="4" customFormat="1" ht="19.5" customHeight="1">
      <c r="A28" s="179" t="str">
        <v>Pagamentos</v>
      </c>
      <c r="B28" s="180">
        <f t="array" ref="B28:M28">B29:M29+B30:M30</f>
        <v>0</v>
      </c>
      <c r="C28" s="181">
        <v>0</v>
      </c>
      <c r="D28" s="181">
        <v>0</v>
      </c>
      <c r="E28" s="181">
        <v>0</v>
      </c>
      <c r="F28" s="181">
        <v>0</v>
      </c>
      <c r="G28" s="181">
        <v>0</v>
      </c>
      <c r="H28" s="181">
        <v>0</v>
      </c>
      <c r="I28" s="181">
        <v>0</v>
      </c>
      <c r="J28" s="181">
        <v>0</v>
      </c>
      <c r="K28" s="181">
        <v>0</v>
      </c>
      <c r="L28" s="181">
        <v>0</v>
      </c>
      <c r="M28" s="182">
        <v>0</v>
      </c>
      <c r="N28" s="183">
        <f>SUM(B28:M28)</f>
        <v>0</v>
      </c>
    </row>
    <row r="29" spans="1:14" s="4" customFormat="1" ht="19.5" customHeight="1">
      <c r="A29" s="184" t="str">
        <v>Juros</v>
      </c>
      <c r="B29" s="888">
        <f t="array" ref="B29:M29">IF(B27:M27=$E$15,$E$8*$E$6,0)
+IF(MOD((B27:M27-$B$15)*$B$10,12),0,IF(B27:M27&lt;$B$15,0,IF(B27:M27&lt;$B$16,$B$6*$B$7/$B$10,IF(B27:M27&lt;=$B$17,IPMT($B$7/$B$10,(B27:M27-$B$15)*$B$10/12+1,$B$9,-$B$6),0))))
+IF(MOD((B27:M27-$C$15)*$C$10,12),0,IF(B27:M27&lt;$C$15,0,IF(B27:M27&lt;$C$16,$C$6*$C$7/$C$10,IF(B27:M27&lt;=$C$17,IPMT($C$7/$C$10,(B27:M27-$C$15)*$C$10/12+1,$C$9,-$C$6),0))))
+IF(MOD((B27:M27-$D$15)*$D$10,12),0,IF(B27:M27&lt;$D$15,0,IF(B27:M27&lt;$D$16,$D$6*$D$7/$D$10,IF(B27:M27&lt;=$D$17,IPMT($D$7/$D$10,(B27:M27-$D$15)*$D$10/12+1,$D$9,-$D$6),0))))
+IF(MOD((B27:M27-$E$15)*$E$10,12),0,IF(B27:M27&lt;$E$16,$E$6*$E$7/$E$10,IF(B27:M27&lt;=$E$17,IPMT($E$7/$E$10,(B27:M27-$E$15)*$E$10/12+1,$E$9,-$E$6),0)))</f>
        <v>0</v>
      </c>
      <c r="C29" s="185">
        <v>0</v>
      </c>
      <c r="D29" s="185">
        <v>0</v>
      </c>
      <c r="E29" s="185">
        <v>0</v>
      </c>
      <c r="F29" s="185">
        <v>0</v>
      </c>
      <c r="G29" s="185">
        <v>0</v>
      </c>
      <c r="H29" s="185">
        <v>0</v>
      </c>
      <c r="I29" s="185">
        <v>0</v>
      </c>
      <c r="J29" s="185">
        <v>0</v>
      </c>
      <c r="K29" s="185">
        <v>0</v>
      </c>
      <c r="L29" s="185">
        <v>0</v>
      </c>
      <c r="M29" s="186">
        <v>0</v>
      </c>
      <c r="N29" s="187">
        <f>SUM(B29:M29)</f>
        <v>0</v>
      </c>
    </row>
    <row r="30" spans="1:14" s="4" customFormat="1" ht="19.5" customHeight="1" thickBot="1">
      <c r="A30" s="189" t="str">
        <v>Amortiçações</v>
      </c>
      <c r="B30" s="889">
        <f t="shared" ref="B30:M30" si="2">IF(AND(B27&gt;=$B$16,B27&lt;=$B$17,MOD((B27-$B$15)*$B$10,12)=0),PPMT($B$7/$B$10,(B27-$B$15)*$B$10/12+1,$B$9,-$B$6),0)
+IF(AND(B27&gt;=$C$16,B27&lt;=$C$17,MOD((B27-$C$15)*$C$10,12)=0),PPMT($C$7/$C$10,(B27-$C$15)*$C$10/12+1,$C$9,-$C$6),0)
+IF(AND(B27&gt;=$D$16,B27&lt;=$D$17,MOD((B27-$D$15)*$D$10,12)=0),PPMT($D$7/$D$10,(B27-$D$15)*$D$10/12+1,$D$9,-$D$6),0)
+IF(AND(B27&gt;=$E$16,B27&lt;=$E$17,MOD((B27-$E$15)*$E$10,12)=0),PPMT($E$7/$E$10,(B27-$E$15)*$E$10/12+1,$E$9,-$E$6),0)</f>
        <v>0</v>
      </c>
      <c r="C30" s="890">
        <f t="shared" si="2"/>
        <v>0</v>
      </c>
      <c r="D30" s="890">
        <f t="shared" si="2"/>
        <v>0</v>
      </c>
      <c r="E30" s="890">
        <f t="shared" si="2"/>
        <v>0</v>
      </c>
      <c r="F30" s="890">
        <f t="shared" si="2"/>
        <v>0</v>
      </c>
      <c r="G30" s="890">
        <f t="shared" si="2"/>
        <v>0</v>
      </c>
      <c r="H30" s="890">
        <f t="shared" si="2"/>
        <v>0</v>
      </c>
      <c r="I30" s="890">
        <f t="shared" si="2"/>
        <v>0</v>
      </c>
      <c r="J30" s="890">
        <f t="shared" si="2"/>
        <v>0</v>
      </c>
      <c r="K30" s="890">
        <f t="shared" si="2"/>
        <v>0</v>
      </c>
      <c r="L30" s="890">
        <f t="shared" si="2"/>
        <v>0</v>
      </c>
      <c r="M30" s="891">
        <f t="shared" si="2"/>
        <v>0</v>
      </c>
      <c r="N30" s="188">
        <f>SUM(B30:M30)</f>
        <v>0</v>
      </c>
    </row>
    <row r="31" spans="1:14" ht="15.75" thickBot="1">
      <c r="A31" s="189" t="str">
        <v>IVA soportado</v>
      </c>
      <c r="B31" s="889">
        <f t="array" ref="B31:M31">B28:M28*Parametros!$F$33</f>
        <v>0</v>
      </c>
      <c r="C31" s="890">
        <v>0</v>
      </c>
      <c r="D31" s="890">
        <v>0</v>
      </c>
      <c r="E31" s="890">
        <v>0</v>
      </c>
      <c r="F31" s="890">
        <v>0</v>
      </c>
      <c r="G31" s="890">
        <v>0</v>
      </c>
      <c r="H31" s="890">
        <v>0</v>
      </c>
      <c r="I31" s="890">
        <v>0</v>
      </c>
      <c r="J31" s="890">
        <v>0</v>
      </c>
      <c r="K31" s="890">
        <v>0</v>
      </c>
      <c r="L31" s="890">
        <v>0</v>
      </c>
      <c r="M31" s="891">
        <v>0</v>
      </c>
      <c r="N31" s="188">
        <f>SUM(B31:M31)</f>
        <v>0</v>
      </c>
    </row>
    <row r="33" spans="1:14" ht="18.75" thickBot="1">
      <c r="A33" s="2761" t="str">
        <f>Parametros!$B$79</f>
        <v>Ano 2:  2028</v>
      </c>
      <c r="B33" s="170"/>
    </row>
    <row r="34" spans="1:14" s="4" customFormat="1" ht="19.5" customHeight="1" thickBot="1">
      <c r="A34" s="174" t="str">
        <f t="array" ref="A34:A38">A$20:A$24</f>
        <v>meses</v>
      </c>
      <c r="B34" s="175">
        <v>25</v>
      </c>
      <c r="C34" s="176">
        <v>26</v>
      </c>
      <c r="D34" s="176">
        <v>27</v>
      </c>
      <c r="E34" s="176">
        <v>28</v>
      </c>
      <c r="F34" s="176">
        <v>29</v>
      </c>
      <c r="G34" s="176">
        <v>30</v>
      </c>
      <c r="H34" s="176">
        <v>31</v>
      </c>
      <c r="I34" s="176">
        <v>32</v>
      </c>
      <c r="J34" s="176">
        <v>33</v>
      </c>
      <c r="K34" s="176">
        <v>34</v>
      </c>
      <c r="L34" s="176">
        <v>35</v>
      </c>
      <c r="M34" s="177">
        <v>36</v>
      </c>
      <c r="N34" s="178" t="s">
        <v>612</v>
      </c>
    </row>
    <row r="35" spans="1:14" s="4" customFormat="1" ht="19.5" customHeight="1">
      <c r="A35" s="179" t="str">
        <v>Pagamentos</v>
      </c>
      <c r="B35" s="180">
        <f t="array" ref="B35:M35">B36:M36+B37:M37</f>
        <v>0</v>
      </c>
      <c r="C35" s="181">
        <v>0</v>
      </c>
      <c r="D35" s="181">
        <v>0</v>
      </c>
      <c r="E35" s="181">
        <v>0</v>
      </c>
      <c r="F35" s="181">
        <v>0</v>
      </c>
      <c r="G35" s="181">
        <v>0</v>
      </c>
      <c r="H35" s="181">
        <v>0</v>
      </c>
      <c r="I35" s="181">
        <v>0</v>
      </c>
      <c r="J35" s="181">
        <v>0</v>
      </c>
      <c r="K35" s="181">
        <v>0</v>
      </c>
      <c r="L35" s="181">
        <v>0</v>
      </c>
      <c r="M35" s="182">
        <v>0</v>
      </c>
      <c r="N35" s="183">
        <f>SUM(B35:M35)</f>
        <v>0</v>
      </c>
    </row>
    <row r="36" spans="1:14" s="4" customFormat="1" ht="19.5" customHeight="1">
      <c r="A36" s="184" t="str">
        <v>Juros</v>
      </c>
      <c r="B36" s="888">
        <f t="array" ref="B36:M36">IF(B34:M34=$F$15,$F$8*$F$6,0)
+IF(MOD((B34:M34-$B$15)*$B$10,12),0,IF(B34:M34&lt;$B$16,$B$6*$B$7/$B$10,IF(B34:M34&lt;=$B$17,IPMT($B$7/$B$10,(B34:M34-$B$15)*$B$10/12+1,$B$9,-$B$6),0)))
+IF(MOD((B34:M34-$C$15)*$C$10,12),0,IF(B34:M34&lt;$C$16,$C$6*$C$7/$C$10,IF(B34:M34&lt;=$C$17,IPMT($C$7/$C$10,(B34:M34-$C$15)*$C$10/12+1,$C$9,-$C$6),0)))
+IF(MOD((B34:M34-$D$15)*$D$10,12),0,IF(B34:M34&lt;$D$16,$D$6*$D$7/$D$10,IF(B34:M34&lt;=$D$17,IPMT($D$7/$D$10,(B34:M34-$D$15)*$D$10/12+1,$D$9,-$D$6),0)))
+IF(MOD((B34:M34-$E$15)*$E$10,12),0,IF(B34:M34&lt;$E$16,$E$6*$E$7/$E$10,IF(B34:M34&lt;=$E$17,IPMT($E$7/$E$10,(B34:M34-$E$15)*$E$10/12+1,$E$9,-$E$6),0)))
+IF(MOD((B34:M34-$F$15)*$F$10,12),0,IF(B34:M34&lt;$F$16,$F$6*$F$7/$F$10,IF(B34:M34&lt;$F$17,IPMT($F$7/$F$10,(B34:M34-$F$15)*$F$10/12+1,$F$9,-$F$6),0)))</f>
        <v>0</v>
      </c>
      <c r="C36" s="185">
        <v>0</v>
      </c>
      <c r="D36" s="185">
        <v>0</v>
      </c>
      <c r="E36" s="185">
        <v>0</v>
      </c>
      <c r="F36" s="185">
        <v>0</v>
      </c>
      <c r="G36" s="185">
        <v>0</v>
      </c>
      <c r="H36" s="185">
        <v>0</v>
      </c>
      <c r="I36" s="185">
        <v>0</v>
      </c>
      <c r="J36" s="185">
        <v>0</v>
      </c>
      <c r="K36" s="185">
        <v>0</v>
      </c>
      <c r="L36" s="185">
        <v>0</v>
      </c>
      <c r="M36" s="186">
        <v>0</v>
      </c>
      <c r="N36" s="187">
        <f>SUM(B36:M36)</f>
        <v>0</v>
      </c>
    </row>
    <row r="37" spans="1:14" s="4" customFormat="1" ht="19.5" customHeight="1" thickBot="1">
      <c r="A37" s="189" t="str">
        <v>Amortiçações</v>
      </c>
      <c r="B37" s="889">
        <f t="shared" ref="B37:M37" si="3">IF(AND(B34&gt;=$B$16,B34&lt;=$B$17,MOD((B34-$B$15)*$B$10,12)=0),PPMT($B$7/$B$10,(B34-$B$15)*$B$10/12+1,$B$9,-$B$6),0)
+IF(AND(B34&gt;=$C$16,B34&lt;=$C$17,MOD((B34-$C$15)*$C$10,12)=0),PPMT($C$7/$C$10,(B34-$C$15)*$C$10/12+1,$C$9,-$C$6),0)
+IF(AND(B34&gt;=$D$16,B34&lt;=$D$17,MOD((B34-$D$15)*$D$10,12)=0),PPMT($D$7/$D$10,(B34-$D$15)*$D$10/12+1,$D$9,-$D$6),0)
+IF(AND(B34&gt;=$E$16,B34&lt;=$E$17,MOD((B34-$E$15)*$E$10,12)=0),PPMT($E$7/$E$10,(B34-$E$15)*$E$10/12+1,$E$9,-$E$6),0)
+IF(AND(B34&gt;=$F$16,B34&lt;=$F$17,MOD((B34-$F$15)*$F$10,12)=0),PPMT($F$7/$F$10,(B34-$F$15)*$F$10/12+1,$F$9,-$F$6),0)</f>
        <v>0</v>
      </c>
      <c r="C37" s="890">
        <f t="shared" si="3"/>
        <v>0</v>
      </c>
      <c r="D37" s="890">
        <f t="shared" si="3"/>
        <v>0</v>
      </c>
      <c r="E37" s="890">
        <f t="shared" si="3"/>
        <v>0</v>
      </c>
      <c r="F37" s="890">
        <f t="shared" si="3"/>
        <v>0</v>
      </c>
      <c r="G37" s="890">
        <f t="shared" si="3"/>
        <v>0</v>
      </c>
      <c r="H37" s="890">
        <f t="shared" si="3"/>
        <v>0</v>
      </c>
      <c r="I37" s="890">
        <f t="shared" si="3"/>
        <v>0</v>
      </c>
      <c r="J37" s="890">
        <f t="shared" si="3"/>
        <v>0</v>
      </c>
      <c r="K37" s="890">
        <f t="shared" si="3"/>
        <v>0</v>
      </c>
      <c r="L37" s="890">
        <f t="shared" si="3"/>
        <v>0</v>
      </c>
      <c r="M37" s="891">
        <f t="shared" si="3"/>
        <v>0</v>
      </c>
      <c r="N37" s="188">
        <f>SUM(B37:M37)</f>
        <v>0</v>
      </c>
    </row>
    <row r="38" spans="1:14" ht="15.75" thickBot="1">
      <c r="A38" s="189" t="str">
        <v>IVA soportado</v>
      </c>
      <c r="B38" s="889">
        <f t="array" ref="B38:M38">B35:M35*Parametros!$F$33</f>
        <v>0</v>
      </c>
      <c r="C38" s="890">
        <v>0</v>
      </c>
      <c r="D38" s="890">
        <v>0</v>
      </c>
      <c r="E38" s="890">
        <v>0</v>
      </c>
      <c r="F38" s="890">
        <v>0</v>
      </c>
      <c r="G38" s="890">
        <v>0</v>
      </c>
      <c r="H38" s="890">
        <v>0</v>
      </c>
      <c r="I38" s="890">
        <v>0</v>
      </c>
      <c r="J38" s="890">
        <v>0</v>
      </c>
      <c r="K38" s="890">
        <v>0</v>
      </c>
      <c r="L38" s="890">
        <v>0</v>
      </c>
      <c r="M38" s="891">
        <v>0</v>
      </c>
      <c r="N38" s="188">
        <f>SUM(B38:M38)</f>
        <v>0</v>
      </c>
    </row>
    <row r="40" spans="1:14" ht="18.75" thickBot="1">
      <c r="A40" s="2761" t="str">
        <f>Parametros!$B$80</f>
        <v>Ano 3:  2029</v>
      </c>
      <c r="B40" s="170"/>
    </row>
    <row r="41" spans="1:14" s="4" customFormat="1" ht="19.5" customHeight="1" thickBot="1">
      <c r="A41" s="174" t="str">
        <f t="array" ref="A41:A45">A$20:A$24</f>
        <v>meses</v>
      </c>
      <c r="B41" s="175">
        <v>37</v>
      </c>
      <c r="C41" s="176">
        <v>38</v>
      </c>
      <c r="D41" s="176">
        <v>39</v>
      </c>
      <c r="E41" s="176">
        <v>40</v>
      </c>
      <c r="F41" s="176">
        <v>41</v>
      </c>
      <c r="G41" s="176">
        <v>42</v>
      </c>
      <c r="H41" s="176">
        <v>43</v>
      </c>
      <c r="I41" s="176">
        <v>44</v>
      </c>
      <c r="J41" s="176">
        <v>45</v>
      </c>
      <c r="K41" s="176">
        <v>46</v>
      </c>
      <c r="L41" s="176">
        <v>47</v>
      </c>
      <c r="M41" s="177">
        <v>48</v>
      </c>
      <c r="N41" s="178" t="s">
        <v>612</v>
      </c>
    </row>
    <row r="42" spans="1:14" s="4" customFormat="1" ht="19.5" customHeight="1">
      <c r="A42" s="179" t="str">
        <v>Pagamentos</v>
      </c>
      <c r="B42" s="180">
        <f t="array" ref="B42:M42">B43:M43+B44:M44</f>
        <v>0</v>
      </c>
      <c r="C42" s="181">
        <v>0</v>
      </c>
      <c r="D42" s="181">
        <v>0</v>
      </c>
      <c r="E42" s="181">
        <v>0</v>
      </c>
      <c r="F42" s="181">
        <v>0</v>
      </c>
      <c r="G42" s="181">
        <v>0</v>
      </c>
      <c r="H42" s="181">
        <v>0</v>
      </c>
      <c r="I42" s="181">
        <v>0</v>
      </c>
      <c r="J42" s="181">
        <v>0</v>
      </c>
      <c r="K42" s="181">
        <v>0</v>
      </c>
      <c r="L42" s="181">
        <v>0</v>
      </c>
      <c r="M42" s="182">
        <v>0</v>
      </c>
      <c r="N42" s="183">
        <f>SUM(B42:M42)</f>
        <v>0</v>
      </c>
    </row>
    <row r="43" spans="1:14" s="4" customFormat="1" ht="19.5" customHeight="1">
      <c r="A43" s="184" t="str">
        <v>Juros</v>
      </c>
      <c r="B43" s="888">
        <f t="array" ref="B43:M43">IF(B41:M41=37,$G$8*$G$6,0)
+IF(MOD((B41:M41-$B$15)*$B$10,12),0,IF(B41:M41&lt;$B$16,$B$6*$B$7/$B$10,IF(B41:M41&lt;=$B$17,IPMT($B$7/$B$10,(B41:M41-$B$15)*$B$10/12+1,$B$9,-$B$6),0)))
+IF(MOD((B41:M41-$C$15)*$C$10,12),0,IF(B41:M41&lt;$C$16,$C$6*$C$7/$C$10,IF(B41:M41&lt;=$C$17,IPMT($C$7/$C$10,(B41:M41-$C$15)*$C$10/12+1,$C$9,-$C$6),0)))
+IF(MOD((B41:M41-$D$15)*$D$10,12),0,IF(B41:M41&lt;$D$16,$D$6*$D$7/$D$10,IF(B41:M41&lt;=$D$17,IPMT($D$7/$D$10,(B41:M41-$D$15)*$D$10/12+1,$D$9,-$D$6),0)))
+IF(MOD((B41:M41-$E$15)*$E$10,12),0,IF(B41:M41&lt;$E$16,$E$6*$E$7/$E$10,IF(B41:M41&lt;=$E$17,IPMT($E$7/$E$10,(B41:M41-$E$15)*$E$10/12+1,$E$9,-$E$6),0)))
+IF(MOD((B41:M41-$F$15)*$F$10,12),0,IF(B41:M41&lt;$F$16,$F$6*$F$7/$F$10,IF(B41:M41&lt;=$F$17,IPMT($F$7/$F$10,(B41:M41-$F$15)*$F$10/12+1,$F$9,-$F$6),0)))
+IF(MOD((B41:M41-$G$15)*$G$10,12),0,IF(B41:M41&lt;$G$16,$G$6*$G$7/$G$10,IF(B41:M41&lt;=$G$17,IPMT($G$7/$G$10,(B41:M41-$G$15)*$G$10/12+1,$G$9,-$G$6),0)))</f>
        <v>0</v>
      </c>
      <c r="C43" s="185">
        <v>0</v>
      </c>
      <c r="D43" s="185">
        <v>0</v>
      </c>
      <c r="E43" s="185">
        <v>0</v>
      </c>
      <c r="F43" s="185">
        <v>0</v>
      </c>
      <c r="G43" s="185">
        <v>0</v>
      </c>
      <c r="H43" s="185">
        <v>0</v>
      </c>
      <c r="I43" s="185">
        <v>0</v>
      </c>
      <c r="J43" s="185">
        <v>0</v>
      </c>
      <c r="K43" s="185">
        <v>0</v>
      </c>
      <c r="L43" s="185">
        <v>0</v>
      </c>
      <c r="M43" s="186">
        <v>0</v>
      </c>
      <c r="N43" s="187">
        <f>SUM(B43:M43)</f>
        <v>0</v>
      </c>
    </row>
    <row r="44" spans="1:14" s="4" customFormat="1" ht="19.5" customHeight="1" thickBot="1">
      <c r="A44" s="189" t="str">
        <v>Amortiçações</v>
      </c>
      <c r="B44" s="889">
        <f t="shared" ref="B44:M44" si="4">IF(AND(B41&gt;=$B$16,B41&lt;=$B$17,MOD((B41-$B$15)*$B$10,12)=0),PPMT($B$7/$B$10,(B41-$B$15)*$B$10/12+1,$B$9,-$B$6),0)
+IF(AND(B41&gt;=$C$16,B41&lt;=$C$17,MOD((B41-$C$15)*$C$10,12)=0),PPMT($C$7/$C$10,(B41-$C$15)*$C$10/12+1,$C$9,-$C$6),0)
+IF(AND(B41&gt;=$D$16,B41&lt;=$D$17,MOD((B41-$D$15)*$D$10,12)=0),PPMT($D$7/$D$10,(B41-$D$15)*$D$10/12+1,$D$9,-$D$6),0)
+IF(AND(B41&gt;=$E$16,B41&lt;=$E$17,MOD((B41-$E$15)*$E$10,12)=0),PPMT($E$7/$E$10,(B41-$E$15)*$E$10/12+1,$E$9,-$E$6),0)
+IF(AND(B41&gt;=$F$16,B41&lt;=$F$17,MOD((B41-$F$15)*$F$10,12)=0),PPMT($F$7/$F$10,(B41-$F$15)*$F$10/12+1,$F$9,-$F$6),0)
+IF(AND(B41&gt;=$G$16,B41&lt;=$G$17,MOD((B41-$G$15)*$G$10,12)=0),PPMT($G$7/$G$10,(B41-$G$15)*$G$10/12+1,$G$9,-$G$6),0)</f>
        <v>0</v>
      </c>
      <c r="C44" s="890">
        <f t="shared" si="4"/>
        <v>0</v>
      </c>
      <c r="D44" s="890">
        <f t="shared" si="4"/>
        <v>0</v>
      </c>
      <c r="E44" s="890">
        <f t="shared" si="4"/>
        <v>0</v>
      </c>
      <c r="F44" s="890">
        <f t="shared" si="4"/>
        <v>0</v>
      </c>
      <c r="G44" s="890">
        <f t="shared" si="4"/>
        <v>0</v>
      </c>
      <c r="H44" s="890">
        <f t="shared" si="4"/>
        <v>0</v>
      </c>
      <c r="I44" s="890">
        <f t="shared" si="4"/>
        <v>0</v>
      </c>
      <c r="J44" s="890">
        <f t="shared" si="4"/>
        <v>0</v>
      </c>
      <c r="K44" s="890">
        <f t="shared" si="4"/>
        <v>0</v>
      </c>
      <c r="L44" s="890">
        <f t="shared" si="4"/>
        <v>0</v>
      </c>
      <c r="M44" s="891">
        <f t="shared" si="4"/>
        <v>0</v>
      </c>
      <c r="N44" s="188">
        <f>SUM(B44:M44)</f>
        <v>0</v>
      </c>
    </row>
    <row r="45" spans="1:14" ht="15.75" thickBot="1">
      <c r="A45" s="189" t="str">
        <v>IVA soportado</v>
      </c>
      <c r="B45" s="889">
        <f t="array" ref="B45:M45">B42:M42*Parametros!$F$33</f>
        <v>0</v>
      </c>
      <c r="C45" s="890">
        <v>0</v>
      </c>
      <c r="D45" s="890">
        <v>0</v>
      </c>
      <c r="E45" s="890">
        <v>0</v>
      </c>
      <c r="F45" s="890">
        <v>0</v>
      </c>
      <c r="G45" s="890">
        <v>0</v>
      </c>
      <c r="H45" s="890">
        <v>0</v>
      </c>
      <c r="I45" s="890">
        <v>0</v>
      </c>
      <c r="J45" s="890">
        <v>0</v>
      </c>
      <c r="K45" s="890">
        <v>0</v>
      </c>
      <c r="L45" s="890">
        <v>0</v>
      </c>
      <c r="M45" s="891">
        <v>0</v>
      </c>
      <c r="N45" s="188">
        <f>SUM(B45:M45)</f>
        <v>0</v>
      </c>
    </row>
    <row r="47" spans="1:14" ht="18.75" thickBot="1">
      <c r="A47" s="2761" t="str">
        <f>Parametros!$B$81</f>
        <v>Ano 4:  2030</v>
      </c>
      <c r="B47" s="170"/>
    </row>
    <row r="48" spans="1:14" s="4" customFormat="1" ht="19.5" customHeight="1" thickBot="1">
      <c r="A48" s="174" t="str">
        <f t="array" ref="A48:A52">A$20:A$24</f>
        <v>meses</v>
      </c>
      <c r="B48" s="175">
        <v>49</v>
      </c>
      <c r="C48" s="176">
        <v>50</v>
      </c>
      <c r="D48" s="176">
        <v>51</v>
      </c>
      <c r="E48" s="176">
        <v>52</v>
      </c>
      <c r="F48" s="176">
        <v>53</v>
      </c>
      <c r="G48" s="176">
        <v>54</v>
      </c>
      <c r="H48" s="176">
        <v>55</v>
      </c>
      <c r="I48" s="176">
        <v>56</v>
      </c>
      <c r="J48" s="176">
        <v>57</v>
      </c>
      <c r="K48" s="176">
        <v>58</v>
      </c>
      <c r="L48" s="176">
        <v>59</v>
      </c>
      <c r="M48" s="177">
        <v>60</v>
      </c>
      <c r="N48" s="178" t="s">
        <v>612</v>
      </c>
    </row>
    <row r="49" spans="1:14" s="4" customFormat="1" ht="19.5" customHeight="1">
      <c r="A49" s="179" t="str">
        <v>Pagamentos</v>
      </c>
      <c r="B49" s="180">
        <f t="array" ref="B49:M49">B50:M50+B51:M51</f>
        <v>0</v>
      </c>
      <c r="C49" s="181">
        <v>0</v>
      </c>
      <c r="D49" s="181">
        <v>0</v>
      </c>
      <c r="E49" s="181">
        <v>0</v>
      </c>
      <c r="F49" s="181">
        <v>0</v>
      </c>
      <c r="G49" s="181">
        <v>0</v>
      </c>
      <c r="H49" s="181">
        <v>0</v>
      </c>
      <c r="I49" s="181">
        <v>0</v>
      </c>
      <c r="J49" s="181">
        <v>0</v>
      </c>
      <c r="K49" s="181">
        <v>0</v>
      </c>
      <c r="L49" s="181">
        <v>0</v>
      </c>
      <c r="M49" s="182">
        <v>0</v>
      </c>
      <c r="N49" s="183">
        <f>SUM(B49:M49)</f>
        <v>0</v>
      </c>
    </row>
    <row r="50" spans="1:14" s="4" customFormat="1" ht="19.5" customHeight="1">
      <c r="A50" s="184" t="str">
        <v>Juros</v>
      </c>
      <c r="B50" s="888">
        <f t="array" ref="B50:M50">IF(B48:M48=$H$15,$H$8*$H$6,0)
+IF(MOD((B48:M48-$B$15)*$B$10,12),0,IF(B48:M48&lt;$B$16,$B$6*$B$7/$B$10,IF(B48:M48&lt;=$B$17,IPMT($B$7/$B$10,(B48:M48-$B$15)*$B$10/12+1,$B$9,-$B$6),0)))
+IF(MOD((B48:M48-$C$15)*$C$10,12),0,IF(B48:M48&lt;$C$16,$C$6*$C$7/$C$10,IF(B48:M48&lt;=$C$17,IPMT($C$7/$C$10,(B48:M48-$C$15)*$C$10/12+1,$C$9,-$C$6),0)))
+IF(MOD((B48:M48-$D$15)*$D$10,12),0,IF(B48:M48&lt;$D$16,$D$6*$D$7/$D$10,IF(B48:M48&lt;=$D$17,IPMT($D$7/$D$10,(B48:M48-$D$15)*$D$10/12+1,$D$9,-$D$6),0)))
+IF(MOD((B48:M48-$E$15)*$E$10,12),0,IF(B48:M48&lt;$E$16,$E$6*$E$7/$E$10,IF(B48:M48&lt;=$E$17,IPMT($E$7/$E$10,(B48:M48-$E$15)*$E$10/12+1,$E$9,-$E$6),0)))
+IF(MOD((B48:M48-$F$15)*$F$10,12),0,IF(B48:M48&lt;$F$16,$F$6*$F$7/$F$10,IF(B48:M48&lt;=$F$17,IPMT($F$7/$F$10,(B48:M48-$F$15)*$F$10/12+1,$F$9,-$F$6),0)))
+IF(MOD((B48:M48-$G$15)*$G$10,12),0,IF(B48:M48&lt;$G$16,$G$6*$G$7/$G$10,IF(B48:M48&lt;=$G$17,IPMT($G$7/$G$10,(B48:M48-$G$15)*$G$10/12+1,$G$9,-$G$6),0)))
+IF(MOD((B48:M48-$H$15)*$H$10,12),0,IF(B48:M48&lt;$H$16,$H$6*$H$7/$H$10,IF(B48:M48&lt;=$H$17,IPMT($H$7/$H$10,(B48:M48-$H$15)*$H$10/12+1,$H$9,-$H$6),0)))</f>
        <v>0</v>
      </c>
      <c r="C50" s="185">
        <v>0</v>
      </c>
      <c r="D50" s="185">
        <v>0</v>
      </c>
      <c r="E50" s="185">
        <v>0</v>
      </c>
      <c r="F50" s="185">
        <v>0</v>
      </c>
      <c r="G50" s="185">
        <v>0</v>
      </c>
      <c r="H50" s="185">
        <v>0</v>
      </c>
      <c r="I50" s="185">
        <v>0</v>
      </c>
      <c r="J50" s="185">
        <v>0</v>
      </c>
      <c r="K50" s="185">
        <v>0</v>
      </c>
      <c r="L50" s="185">
        <v>0</v>
      </c>
      <c r="M50" s="186">
        <v>0</v>
      </c>
      <c r="N50" s="187">
        <f>SUM(B50:M50)</f>
        <v>0</v>
      </c>
    </row>
    <row r="51" spans="1:14" s="4" customFormat="1" ht="19.5" customHeight="1" thickBot="1">
      <c r="A51" s="189" t="str">
        <v>Amortiçações</v>
      </c>
      <c r="B51" s="889">
        <f t="shared" ref="B51:M51" si="5">IF(AND(B48&gt;=$B$16,B48&lt;=$B$17,MOD((B48-$B$15)*$B$10,12)=0),PPMT($B$7/$B$10,(B48-$B$15)*$B$10/12+1,$B$9,-$B$6),0)
+IF(AND(B48&gt;=$C$16,B48&lt;=$C$17,MOD((B48-$C$15)*$C$10,12)=0),PPMT($C$7/$C$10,(B48-$C$15)*$C$10/12+1,$C$9,-$C$6),0)
+IF(AND(B48&gt;=$D$16,B48&lt;=$D$17,MOD((B48-$D$15)*$D$10,12)=0),PPMT($D$7/$D$10,(B48-$D$15)*$D$10/12+1,$D$9,-$D$6),0)
+IF(AND(B48&gt;=$E$16,B48&lt;=$E$17,MOD((B48-$E$15)*$E$10,12)=0),PPMT($E$7/$E$10,(B48-$E$15)*$E$10/12+1,$E$9,-$E$6),0)
+IF(AND(B48&gt;=$F$16,B48&lt;=$F$17,MOD((B48-$F$15)*$F$10,12)=0),PPMT($F$7/$F$10,(B48-$F$15)*$F$10/12+1,$F$9,-$F$6),0)
+IF(AND(B48&gt;=$G$16,B48&lt;=$G$17,MOD((B48-$G$15)*$G$10,12)=0),PPMT($G$7/$G$10,(B48-$G$15)*$G$10/12+1,$G$9,-$G$6),0)
+IF(AND(B48&gt;=$H$16,B48&lt;=$H$17,MOD((B48-$H$15)*$H$10,12)=0),PPMT($H$7/$H$10,(B48-$H$15)*$H$10/12+1,$H$9,-$H$6),0)</f>
        <v>0</v>
      </c>
      <c r="C51" s="890">
        <f t="shared" si="5"/>
        <v>0</v>
      </c>
      <c r="D51" s="890">
        <f t="shared" si="5"/>
        <v>0</v>
      </c>
      <c r="E51" s="890">
        <f t="shared" si="5"/>
        <v>0</v>
      </c>
      <c r="F51" s="890">
        <f t="shared" si="5"/>
        <v>0</v>
      </c>
      <c r="G51" s="890">
        <f t="shared" si="5"/>
        <v>0</v>
      </c>
      <c r="H51" s="890">
        <f t="shared" si="5"/>
        <v>0</v>
      </c>
      <c r="I51" s="890">
        <f t="shared" si="5"/>
        <v>0</v>
      </c>
      <c r="J51" s="890">
        <f t="shared" si="5"/>
        <v>0</v>
      </c>
      <c r="K51" s="890">
        <f t="shared" si="5"/>
        <v>0</v>
      </c>
      <c r="L51" s="890">
        <f t="shared" si="5"/>
        <v>0</v>
      </c>
      <c r="M51" s="891">
        <f t="shared" si="5"/>
        <v>0</v>
      </c>
      <c r="N51" s="188">
        <f>SUM(B51:M51)</f>
        <v>0</v>
      </c>
    </row>
    <row r="52" spans="1:14" ht="15.75" thickBot="1">
      <c r="A52" s="189" t="str">
        <v>IVA soportado</v>
      </c>
      <c r="B52" s="889">
        <f t="array" ref="B52:M52">B49:M49*Parametros!$F$33</f>
        <v>0</v>
      </c>
      <c r="C52" s="890">
        <v>0</v>
      </c>
      <c r="D52" s="890">
        <v>0</v>
      </c>
      <c r="E52" s="890">
        <v>0</v>
      </c>
      <c r="F52" s="890">
        <v>0</v>
      </c>
      <c r="G52" s="890">
        <v>0</v>
      </c>
      <c r="H52" s="890">
        <v>0</v>
      </c>
      <c r="I52" s="890">
        <v>0</v>
      </c>
      <c r="J52" s="890">
        <v>0</v>
      </c>
      <c r="K52" s="890">
        <v>0</v>
      </c>
      <c r="L52" s="890">
        <v>0</v>
      </c>
      <c r="M52" s="891">
        <v>0</v>
      </c>
      <c r="N52" s="188">
        <f>SUM(B52:M52)</f>
        <v>0</v>
      </c>
    </row>
    <row r="54" spans="1:14" ht="18.75" thickBot="1">
      <c r="A54" s="2761" t="str">
        <f>Parametros!$G$77</f>
        <v>Ano 5:  2031</v>
      </c>
      <c r="B54" s="170"/>
    </row>
    <row r="55" spans="1:14" s="4" customFormat="1" ht="19.5" customHeight="1" thickBot="1">
      <c r="A55" s="174" t="str">
        <f t="array" ref="A55:A59">A$20:A$24</f>
        <v>meses</v>
      </c>
      <c r="B55" s="175">
        <v>61</v>
      </c>
      <c r="C55" s="176">
        <v>62</v>
      </c>
      <c r="D55" s="176">
        <v>63</v>
      </c>
      <c r="E55" s="176">
        <v>64</v>
      </c>
      <c r="F55" s="176">
        <v>65</v>
      </c>
      <c r="G55" s="176">
        <v>66</v>
      </c>
      <c r="H55" s="176">
        <v>67</v>
      </c>
      <c r="I55" s="176">
        <v>68</v>
      </c>
      <c r="J55" s="176">
        <v>69</v>
      </c>
      <c r="K55" s="176">
        <v>70</v>
      </c>
      <c r="L55" s="176">
        <v>71</v>
      </c>
      <c r="M55" s="177">
        <v>72</v>
      </c>
      <c r="N55" s="178" t="s">
        <v>612</v>
      </c>
    </row>
    <row r="56" spans="1:14" s="4" customFormat="1" ht="19.5" customHeight="1">
      <c r="A56" s="179" t="str">
        <v>Pagamentos</v>
      </c>
      <c r="B56" s="180">
        <f t="array" ref="B56:M56">B57:M57+B58:M58</f>
        <v>0</v>
      </c>
      <c r="C56" s="181">
        <v>0</v>
      </c>
      <c r="D56" s="181">
        <v>0</v>
      </c>
      <c r="E56" s="181">
        <v>0</v>
      </c>
      <c r="F56" s="181">
        <v>0</v>
      </c>
      <c r="G56" s="181">
        <v>0</v>
      </c>
      <c r="H56" s="181">
        <v>0</v>
      </c>
      <c r="I56" s="181">
        <v>0</v>
      </c>
      <c r="J56" s="181">
        <v>0</v>
      </c>
      <c r="K56" s="181">
        <v>0</v>
      </c>
      <c r="L56" s="181">
        <v>0</v>
      </c>
      <c r="M56" s="182">
        <v>0</v>
      </c>
      <c r="N56" s="183">
        <f>SUM(B56:M56)</f>
        <v>0</v>
      </c>
    </row>
    <row r="57" spans="1:14" s="4" customFormat="1" ht="19.5" customHeight="1">
      <c r="A57" s="184" t="str">
        <v>Juros</v>
      </c>
      <c r="B57" s="888">
        <f t="array" ref="B57:M57">+IF(MOD((B55:M55-$B$15)*$B$10,12),0,IF(B55:M55&lt;$B$16,$B$6*$B$7/$B$10,IF(B55:M55&lt;=$B$17,IPMT($B$7/$B$10,(B55:M55-$B$15)*$B$10/12+1,$B$9,-$B$6),0)))
+IF(MOD((B55:M55-$C$15)*$C$10,12),0,IF(B55:M55&lt;$C$16,$C$6*$C$7/$C$10,IF(B55:M55&lt;=$C$17,IPMT($C$7/$C$10,(B55:M55-$C$15)*$C$10/12+1,$C$9,-$C$6),0)))
+IF(MOD((B55:M55-$D$15)*$D$10,12),0,IF(B55:M55&lt;$D$16,$D$6*$D$7/$D$10,IF(B55:M55&lt;=$D$17,IPMT($D$7/$D$10,(B55:M55-$D$15)*$D$10/12+1,$D$9,-$D$6),0)))
+IF(MOD((B55:M55-$E$15)*$E$10,12),0,IF(B55:M55&lt;$E$16,$E$6*$E$7/$E$10,IF(B55:M55&lt;=$E$17,IPMT($E$7/$E$10,(B55:M55-$E$15)*$E$10/12+1,$E$9,-$E$6),0)))
+IF(MOD((B55:M55-$F$15)*$F$10,12),0,IF(B55:M55&lt;$F$16,$F$6*$F$7/$F$10,IF(B55:M55&lt;=$F$17,IPMT($F$7/$F$10,(B55:M55-$F$15)*$F$10/12+1,$F$9,-$F$6),0)))
+IF(MOD((B55:M55-$G$15)*$G$10,12),0,IF(B55:M55&lt;$G$16,$G$6*$G$7/$G$10,IF(B55:M55&lt;=$G$17,IPMT($G$7/$G$10,(B55:M55-$G$15)*$G$10/12+1,$G$9,-$G$6),0)))
+IF(MOD((B55:M55-$H$15)*$H$10,12),0,IF(B55:M55&lt;$H$16,$H$6*$H$7/$H$10,IF(B55:M55&lt;=$H$17,IPMT($H$7/$H$10,(B55:M55-$H$15)*$H$10/12+1,$H$9,-$H$6),0)))</f>
        <v>0</v>
      </c>
      <c r="C57" s="185">
        <v>0</v>
      </c>
      <c r="D57" s="185">
        <v>0</v>
      </c>
      <c r="E57" s="185">
        <v>0</v>
      </c>
      <c r="F57" s="185">
        <v>0</v>
      </c>
      <c r="G57" s="185">
        <v>0</v>
      </c>
      <c r="H57" s="185">
        <v>0</v>
      </c>
      <c r="I57" s="185">
        <v>0</v>
      </c>
      <c r="J57" s="185">
        <v>0</v>
      </c>
      <c r="K57" s="185">
        <v>0</v>
      </c>
      <c r="L57" s="185">
        <v>0</v>
      </c>
      <c r="M57" s="186">
        <v>0</v>
      </c>
      <c r="N57" s="187">
        <f>SUM(B57:M57)</f>
        <v>0</v>
      </c>
    </row>
    <row r="58" spans="1:14" s="4" customFormat="1" ht="19.5" customHeight="1" thickBot="1">
      <c r="A58" s="189" t="str">
        <v>Amortiçações</v>
      </c>
      <c r="B58" s="889">
        <f t="shared" ref="B58:M58" si="6">IF(AND(B55&gt;=$B$16,B55&lt;=$B$17,MOD((B55-$B$15)*$B$10,12)=0),PPMT($B$7/$B$10,(B55-$B$15)*$B$10/12+1,$B$9,-$B$6),0)
+IF(AND(B55&gt;=$C$16,B55&lt;=$C$17,MOD((B55-$C$15)*$C$10,12)=0),PPMT($C$7/$C$10,(B55-$C$15)*$C$10/12+1,$C$9,-$C$6),0)
+IF(AND(B55&gt;=$D$16,B55&lt;=$D$17,MOD((B55-$D$15)*$D$10,12)=0),PPMT($D$7/$D$10,(B55-$D$15)*$D$10/12+1,$D$9,-$D$6),0)
+IF(AND(B55&gt;=$E$16,B55&lt;=$E$17,MOD((B55-$E$15)*$E$10,12)=0),PPMT($E$7/$E$10,(B55-$E$15)*$E$10/12+1,$E$9,-$E$6),0)
+IF(AND(B55&gt;=$F$16,B55&lt;=$F$17,MOD((B55-$F$15)*$F$10,12)=0),PPMT($F$7/$F$10,(B55-$F$15)*$F$10/12+1,$F$9,-$F$6),0)
+IF(AND(B55&gt;=$G$16,B55&lt;=$G$17,MOD((B55-$G$15)*$G$10,12)=0),PPMT($G$7/$G$10,(B55-$G$15)*$G$10/12+1,$G$9,-$G$6),0)
+IF(AND(B55&gt;=$H$16,B55&lt;=$H$17,MOD((B55-$H$15)*$H$10,12)=0),PPMT($H$7/$H$10,(B55-$H$15)*$H$10/12+1,$H$9,-$H$6),0)</f>
        <v>0</v>
      </c>
      <c r="C58" s="890">
        <f t="shared" si="6"/>
        <v>0</v>
      </c>
      <c r="D58" s="890">
        <f t="shared" si="6"/>
        <v>0</v>
      </c>
      <c r="E58" s="890">
        <f t="shared" si="6"/>
        <v>0</v>
      </c>
      <c r="F58" s="890">
        <f t="shared" si="6"/>
        <v>0</v>
      </c>
      <c r="G58" s="890">
        <f t="shared" si="6"/>
        <v>0</v>
      </c>
      <c r="H58" s="890">
        <f t="shared" si="6"/>
        <v>0</v>
      </c>
      <c r="I58" s="890">
        <f t="shared" si="6"/>
        <v>0</v>
      </c>
      <c r="J58" s="890">
        <f t="shared" si="6"/>
        <v>0</v>
      </c>
      <c r="K58" s="890">
        <f t="shared" si="6"/>
        <v>0</v>
      </c>
      <c r="L58" s="890">
        <f t="shared" si="6"/>
        <v>0</v>
      </c>
      <c r="M58" s="891">
        <f t="shared" si="6"/>
        <v>0</v>
      </c>
      <c r="N58" s="188">
        <f>SUM(B58:M58)</f>
        <v>0</v>
      </c>
    </row>
    <row r="59" spans="1:14" ht="15.75" thickBot="1">
      <c r="A59" s="189" t="str">
        <v>IVA soportado</v>
      </c>
      <c r="B59" s="889">
        <f t="array" ref="B59:M59">B56:M56*Parametros!$F$33</f>
        <v>0</v>
      </c>
      <c r="C59" s="890">
        <v>0</v>
      </c>
      <c r="D59" s="890">
        <v>0</v>
      </c>
      <c r="E59" s="890">
        <v>0</v>
      </c>
      <c r="F59" s="890">
        <v>0</v>
      </c>
      <c r="G59" s="890">
        <v>0</v>
      </c>
      <c r="H59" s="890">
        <v>0</v>
      </c>
      <c r="I59" s="890">
        <v>0</v>
      </c>
      <c r="J59" s="890">
        <v>0</v>
      </c>
      <c r="K59" s="890">
        <v>0</v>
      </c>
      <c r="L59" s="890">
        <v>0</v>
      </c>
      <c r="M59" s="891">
        <v>0</v>
      </c>
      <c r="N59" s="188">
        <f>SUM(B59:M59)</f>
        <v>0</v>
      </c>
    </row>
  </sheetData>
  <sheetProtection sheet="1" objects="1" scenarios="1"/>
  <phoneticPr fontId="4" type="noConversion"/>
  <printOptions horizontalCentered="1"/>
  <pageMargins left="0.56000000000000005" right="0.69" top="0.56999999999999995" bottom="0.57999999999999996" header="0.51181102362204722" footer="0.43"/>
  <pageSetup paperSize="9" scale="52" orientation="landscape" horizontalDpi="4294967292" verticalDpi="300" r:id="rId1"/>
  <headerFooter alignWithMargins="0">
    <oddFooter>&amp;C&amp;"Tahoma,Normal"&amp;10&amp;A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9">
    <tabColor indexed="43"/>
    <pageSetUpPr fitToPage="1"/>
  </sheetPr>
  <dimension ref="A1:O99"/>
  <sheetViews>
    <sheetView workbookViewId="0"/>
  </sheetViews>
  <sheetFormatPr baseColWidth="10" defaultColWidth="11" defaultRowHeight="15"/>
  <cols>
    <col min="1" max="1" width="31.25" style="36" customWidth="1"/>
    <col min="2" max="2" width="10.375" style="36" customWidth="1"/>
    <col min="3" max="3" width="10.5" style="36" customWidth="1"/>
    <col min="4" max="4" width="11" style="36"/>
    <col min="5" max="5" width="10.125" style="36" customWidth="1"/>
    <col min="6" max="6" width="10.75" style="36" customWidth="1"/>
    <col min="7" max="10" width="9.5" style="36" customWidth="1"/>
    <col min="11" max="11" width="11.25" style="36" customWidth="1"/>
    <col min="12" max="17" width="9.5" style="36" customWidth="1"/>
    <col min="18" max="16384" width="11" style="36"/>
  </cols>
  <sheetData>
    <row r="1" spans="1:15" ht="25.5">
      <c r="A1" s="68" t="s">
        <v>723</v>
      </c>
      <c r="B1" s="60"/>
      <c r="C1" s="60"/>
      <c r="D1" s="60"/>
      <c r="E1" s="60"/>
    </row>
    <row r="2" spans="1:15" ht="25.5">
      <c r="A2" s="68" t="str">
        <f>'Dados Básicos'!B9</f>
        <v>WWW, S.L.</v>
      </c>
      <c r="B2" s="60"/>
      <c r="C2" s="60"/>
      <c r="D2" s="60"/>
      <c r="E2" s="60"/>
    </row>
    <row r="3" spans="1:15" ht="12" customHeight="1" thickBot="1">
      <c r="A3" s="60"/>
      <c r="B3" s="60"/>
      <c r="C3" s="60"/>
      <c r="D3" s="60"/>
      <c r="E3" s="60"/>
    </row>
    <row r="4" spans="1:15" ht="15.75" thickBot="1">
      <c r="A4" s="190"/>
      <c r="B4" s="191" t="s">
        <v>722</v>
      </c>
      <c r="C4" s="192" t="str">
        <f>CONCATENATE("=  mes ",mes0," del ",'Dados Básicos'!B18)</f>
        <v>=  mes 1 del Ano 0</v>
      </c>
      <c r="D4" s="193"/>
      <c r="E4" s="194" t="str">
        <f>'Dados Básicos'!F21</f>
        <v>= mes de janeiro de 2026</v>
      </c>
      <c r="F4" s="1372"/>
      <c r="G4" s="390"/>
      <c r="I4" s="2047" t="str">
        <f>'Dados Evaluação'!B53</f>
        <v/>
      </c>
    </row>
    <row r="5" spans="1:15">
      <c r="C5" s="2081">
        <v>1</v>
      </c>
      <c r="D5" s="2081">
        <v>2</v>
      </c>
      <c r="E5" s="2081">
        <v>3</v>
      </c>
      <c r="F5" s="2081">
        <v>4</v>
      </c>
      <c r="G5" s="2081">
        <v>5</v>
      </c>
      <c r="H5" s="2081">
        <v>6</v>
      </c>
      <c r="I5" s="2081">
        <v>7</v>
      </c>
      <c r="J5" s="2081">
        <v>8</v>
      </c>
      <c r="K5" s="2081">
        <v>9</v>
      </c>
      <c r="L5" s="2081">
        <v>10</v>
      </c>
      <c r="M5" s="2081">
        <v>11</v>
      </c>
      <c r="N5" s="2081">
        <v>12</v>
      </c>
    </row>
    <row r="6" spans="1:15" s="553" customFormat="1" ht="19.5">
      <c r="A6" s="406" t="s">
        <v>721</v>
      </c>
      <c r="B6" s="406"/>
      <c r="C6" s="406"/>
      <c r="D6" s="406"/>
      <c r="E6" s="244" t="str">
        <f>Parametros!B$77</f>
        <v>Ano 0:  2026</v>
      </c>
      <c r="F6" s="552"/>
    </row>
    <row r="7" spans="1:15" ht="4.5" customHeight="1" thickBot="1"/>
    <row r="8" spans="1:15" s="228" customFormat="1" ht="21.75" customHeight="1" thickBot="1">
      <c r="A8" s="222" t="s">
        <v>720</v>
      </c>
      <c r="B8" s="223" t="s">
        <v>19</v>
      </c>
      <c r="C8" s="224" t="str">
        <f t="array" ref="C8:N8">meses</f>
        <v>janeiro</v>
      </c>
      <c r="D8" s="225" t="str">
        <v>fevereiro</v>
      </c>
      <c r="E8" s="225" t="str">
        <v>março</v>
      </c>
      <c r="F8" s="225" t="str">
        <v>abril</v>
      </c>
      <c r="G8" s="225" t="str">
        <v>maio</v>
      </c>
      <c r="H8" s="225" t="str">
        <v>junho</v>
      </c>
      <c r="I8" s="225" t="str">
        <v>julho</v>
      </c>
      <c r="J8" s="225" t="str">
        <v>agosto</v>
      </c>
      <c r="K8" s="225" t="str">
        <v>setembro</v>
      </c>
      <c r="L8" s="225" t="str">
        <v>outubro</v>
      </c>
      <c r="M8" s="225" t="str">
        <v>novembro</v>
      </c>
      <c r="N8" s="226" t="str">
        <v>dezembro</v>
      </c>
      <c r="O8" s="227" t="s">
        <v>725</v>
      </c>
    </row>
    <row r="9" spans="1:15">
      <c r="A9" s="229" t="str">
        <f t="array" ref="A9:A16">catlaborales</f>
        <v>Emprsários em nome individual</v>
      </c>
      <c r="B9" s="195">
        <f t="array" ref="B9:B16">'RR.HH.'!B6:B13</f>
        <v>1</v>
      </c>
      <c r="C9" s="196">
        <f>$B9    *IF(OR('RR.HH.'!$H6="No",C$18),1,0)</f>
        <v>1</v>
      </c>
      <c r="D9" s="197">
        <f>$B9    *IF(OR('RR.HH.'!$H6="No",D$18),1,0)</f>
        <v>1</v>
      </c>
      <c r="E9" s="197">
        <f>$B9    *IF(OR('RR.HH.'!$H6="No",E$18),1,0)</f>
        <v>1</v>
      </c>
      <c r="F9" s="197">
        <f>$B9    *IF(OR('RR.HH.'!$H6="No",F$18),1,0)</f>
        <v>1</v>
      </c>
      <c r="G9" s="197">
        <f>$B9    *IF(OR('RR.HH.'!$H6="No",G$18),1,0)</f>
        <v>1</v>
      </c>
      <c r="H9" s="197">
        <f>$B9    *IF(OR('RR.HH.'!$H6="No",H$18),1,0)</f>
        <v>1</v>
      </c>
      <c r="I9" s="197">
        <f>$B9    *IF(OR('RR.HH.'!$H6="No",I$18),1,0)</f>
        <v>1</v>
      </c>
      <c r="J9" s="197">
        <f>$B9    *IF(OR('RR.HH.'!$H6="No",J$18),1,0)</f>
        <v>1</v>
      </c>
      <c r="K9" s="197">
        <f>$B9    *IF(OR('RR.HH.'!$H6="No",K$18),1,0)</f>
        <v>1</v>
      </c>
      <c r="L9" s="197">
        <f>$B9    *IF(OR('RR.HH.'!$H6="No",L$18),1,0)</f>
        <v>1</v>
      </c>
      <c r="M9" s="197">
        <f>$B9    *IF(OR('RR.HH.'!$H6="No",M$18),1,0)</f>
        <v>1</v>
      </c>
      <c r="N9" s="198">
        <f>$B9    *IF(OR('RR.HH.'!$H6="No",N$18),1,0)</f>
        <v>1</v>
      </c>
      <c r="O9" s="199">
        <f t="shared" ref="O9:O17" si="0">AVERAGE(C9:N9)</f>
        <v>1</v>
      </c>
    </row>
    <row r="10" spans="1:15">
      <c r="A10" s="230" t="str">
        <v>Outros trab. Independentes</v>
      </c>
      <c r="B10" s="200">
        <v>0</v>
      </c>
      <c r="C10" s="201">
        <f>$B10    *IF(OR('RR.HH.'!$H7="No",C$18),1,0)</f>
        <v>0</v>
      </c>
      <c r="D10" s="202">
        <f>$B10    *IF(OR('RR.HH.'!$H7="No",D$18),1,0)</f>
        <v>0</v>
      </c>
      <c r="E10" s="202">
        <f>$B10    *IF(OR('RR.HH.'!$H7="No",E$18),1,0)</f>
        <v>0</v>
      </c>
      <c r="F10" s="202">
        <f>$B10    *IF(OR('RR.HH.'!$H7="No",F$18),1,0)</f>
        <v>0</v>
      </c>
      <c r="G10" s="202">
        <f>$B10    *IF(OR('RR.HH.'!$H7="No",G$18),1,0)</f>
        <v>0</v>
      </c>
      <c r="H10" s="202">
        <f>$B10    *IF(OR('RR.HH.'!$H7="No",H$18),1,0)</f>
        <v>0</v>
      </c>
      <c r="I10" s="202">
        <f>$B10    *IF(OR('RR.HH.'!$H7="No",I$18),1,0)</f>
        <v>0</v>
      </c>
      <c r="J10" s="202">
        <f>$B10    *IF(OR('RR.HH.'!$H7="No",J$18),1,0)</f>
        <v>0</v>
      </c>
      <c r="K10" s="202">
        <f>$B10    *IF(OR('RR.HH.'!$H7="No",K$18),1,0)</f>
        <v>0</v>
      </c>
      <c r="L10" s="202">
        <f>$B10    *IF(OR('RR.HH.'!$H7="No",L$18),1,0)</f>
        <v>0</v>
      </c>
      <c r="M10" s="202">
        <f>$B10    *IF(OR('RR.HH.'!$H7="No",M$18),1,0)</f>
        <v>0</v>
      </c>
      <c r="N10" s="203">
        <f>$B10    *IF(OR('RR.HH.'!$H7="No",N$18),1,0)</f>
        <v>0</v>
      </c>
      <c r="O10" s="204">
        <f t="shared" si="0"/>
        <v>0</v>
      </c>
    </row>
    <row r="11" spans="1:15">
      <c r="A11" s="230" t="str">
        <v>Empregados</v>
      </c>
      <c r="B11" s="200">
        <v>0</v>
      </c>
      <c r="C11" s="201">
        <f>$B11    *IF(OR('RR.HH.'!$H8="No",C$18),1,0)</f>
        <v>0</v>
      </c>
      <c r="D11" s="202">
        <f>$B11    *IF(OR('RR.HH.'!$H8="No",D$18),1,0)</f>
        <v>0</v>
      </c>
      <c r="E11" s="202">
        <f>$B11    *IF(OR('RR.HH.'!$H8="No",E$18),1,0)</f>
        <v>0</v>
      </c>
      <c r="F11" s="202">
        <f>$B11    *IF(OR('RR.HH.'!$H8="No",F$18),1,0)</f>
        <v>0</v>
      </c>
      <c r="G11" s="202">
        <f>$B11    *IF(OR('RR.HH.'!$H8="No",G$18),1,0)</f>
        <v>0</v>
      </c>
      <c r="H11" s="202">
        <f>$B11    *IF(OR('RR.HH.'!$H8="No",H$18),1,0)</f>
        <v>0</v>
      </c>
      <c r="I11" s="202">
        <f>$B11    *IF(OR('RR.HH.'!$H8="No",I$18),1,0)</f>
        <v>0</v>
      </c>
      <c r="J11" s="202">
        <f>$B11    *IF(OR('RR.HH.'!$H8="No",J$18),1,0)</f>
        <v>0</v>
      </c>
      <c r="K11" s="202">
        <f>$B11    *IF(OR('RR.HH.'!$H8="No",K$18),1,0)</f>
        <v>0</v>
      </c>
      <c r="L11" s="202">
        <f>$B11    *IF(OR('RR.HH.'!$H8="No",L$18),1,0)</f>
        <v>0</v>
      </c>
      <c r="M11" s="202">
        <f>$B11    *IF(OR('RR.HH.'!$H8="No",M$18),1,0)</f>
        <v>0</v>
      </c>
      <c r="N11" s="203">
        <f>$B11    *IF(OR('RR.HH.'!$H8="No",N$18),1,0)</f>
        <v>0</v>
      </c>
      <c r="O11" s="204">
        <f t="shared" si="0"/>
        <v>0</v>
      </c>
    </row>
    <row r="12" spans="1:15">
      <c r="A12" s="230" t="str">
        <v/>
      </c>
      <c r="B12" s="200">
        <v>0</v>
      </c>
      <c r="C12" s="201">
        <f>$B12    *IF(OR('RR.HH.'!$H9="No",C$18),1,0)</f>
        <v>0</v>
      </c>
      <c r="D12" s="202">
        <f>$B12    *IF(OR('RR.HH.'!$H9="No",D$18),1,0)</f>
        <v>0</v>
      </c>
      <c r="E12" s="202">
        <f>$B12    *IF(OR('RR.HH.'!$H9="No",E$18),1,0)</f>
        <v>0</v>
      </c>
      <c r="F12" s="202">
        <f>$B12    *IF(OR('RR.HH.'!$H9="No",F$18),1,0)</f>
        <v>0</v>
      </c>
      <c r="G12" s="202">
        <f>$B12    *IF(OR('RR.HH.'!$H9="No",G$18),1,0)</f>
        <v>0</v>
      </c>
      <c r="H12" s="202">
        <f>$B12    *IF(OR('RR.HH.'!$H9="No",H$18),1,0)</f>
        <v>0</v>
      </c>
      <c r="I12" s="202">
        <f>$B12    *IF(OR('RR.HH.'!$H9="No",I$18),1,0)</f>
        <v>0</v>
      </c>
      <c r="J12" s="202">
        <f>$B12    *IF(OR('RR.HH.'!$H9="No",J$18),1,0)</f>
        <v>0</v>
      </c>
      <c r="K12" s="202">
        <f>$B12    *IF(OR('RR.HH.'!$H9="No",K$18),1,0)</f>
        <v>0</v>
      </c>
      <c r="L12" s="202">
        <f>$B12    *IF(OR('RR.HH.'!$H9="No",L$18),1,0)</f>
        <v>0</v>
      </c>
      <c r="M12" s="202">
        <f>$B12    *IF(OR('RR.HH.'!$H9="No",M$18),1,0)</f>
        <v>0</v>
      </c>
      <c r="N12" s="203">
        <f>$B12    *IF(OR('RR.HH.'!$H9="No",N$18),1,0)</f>
        <v>0</v>
      </c>
      <c r="O12" s="204">
        <f t="shared" si="0"/>
        <v>0</v>
      </c>
    </row>
    <row r="13" spans="1:15">
      <c r="A13" s="230" t="str">
        <v/>
      </c>
      <c r="B13" s="200">
        <v>0</v>
      </c>
      <c r="C13" s="201">
        <f>$B13    *IF(OR('RR.HH.'!$H10="No",C$18),1,0)</f>
        <v>0</v>
      </c>
      <c r="D13" s="202">
        <f>$B13    *IF(OR('RR.HH.'!$H10="No",D$18),1,0)</f>
        <v>0</v>
      </c>
      <c r="E13" s="202">
        <f>$B13    *IF(OR('RR.HH.'!$H10="No",E$18),1,0)</f>
        <v>0</v>
      </c>
      <c r="F13" s="202">
        <f>$B13    *IF(OR('RR.HH.'!$H10="No",F$18),1,0)</f>
        <v>0</v>
      </c>
      <c r="G13" s="202">
        <f>$B13    *IF(OR('RR.HH.'!$H10="No",G$18),1,0)</f>
        <v>0</v>
      </c>
      <c r="H13" s="202">
        <f>$B13    *IF(OR('RR.HH.'!$H10="No",H$18),1,0)</f>
        <v>0</v>
      </c>
      <c r="I13" s="202">
        <f>$B13    *IF(OR('RR.HH.'!$H10="No",I$18),1,0)</f>
        <v>0</v>
      </c>
      <c r="J13" s="202">
        <f>$B13    *IF(OR('RR.HH.'!$H10="No",J$18),1,0)</f>
        <v>0</v>
      </c>
      <c r="K13" s="202">
        <f>$B13    *IF(OR('RR.HH.'!$H10="No",K$18),1,0)</f>
        <v>0</v>
      </c>
      <c r="L13" s="202">
        <f>$B13    *IF(OR('RR.HH.'!$H10="No",L$18),1,0)</f>
        <v>0</v>
      </c>
      <c r="M13" s="202">
        <f>$B13    *IF(OR('RR.HH.'!$H10="No",M$18),1,0)</f>
        <v>0</v>
      </c>
      <c r="N13" s="203">
        <f>$B13    *IF(OR('RR.HH.'!$H10="No",N$18),1,0)</f>
        <v>0</v>
      </c>
      <c r="O13" s="204">
        <f t="shared" si="0"/>
        <v>0</v>
      </c>
    </row>
    <row r="14" spans="1:15">
      <c r="A14" s="230" t="str">
        <v/>
      </c>
      <c r="B14" s="200">
        <v>0</v>
      </c>
      <c r="C14" s="201">
        <f>$B14    *IF(OR('RR.HH.'!$H11="No",C$18),1,0)</f>
        <v>0</v>
      </c>
      <c r="D14" s="202">
        <f>$B14    *IF(OR('RR.HH.'!$H11="No",D$18),1,0)</f>
        <v>0</v>
      </c>
      <c r="E14" s="202">
        <f>$B14    *IF(OR('RR.HH.'!$H11="No",E$18),1,0)</f>
        <v>0</v>
      </c>
      <c r="F14" s="202">
        <f>$B14    *IF(OR('RR.HH.'!$H11="No",F$18),1,0)</f>
        <v>0</v>
      </c>
      <c r="G14" s="202">
        <f>$B14    *IF(OR('RR.HH.'!$H11="No",G$18),1,0)</f>
        <v>0</v>
      </c>
      <c r="H14" s="202">
        <f>$B14    *IF(OR('RR.HH.'!$H11="No",H$18),1,0)</f>
        <v>0</v>
      </c>
      <c r="I14" s="202">
        <f>$B14    *IF(OR('RR.HH.'!$H11="No",I$18),1,0)</f>
        <v>0</v>
      </c>
      <c r="J14" s="202">
        <f>$B14    *IF(OR('RR.HH.'!$H11="No",J$18),1,0)</f>
        <v>0</v>
      </c>
      <c r="K14" s="202">
        <f>$B14    *IF(OR('RR.HH.'!$H11="No",K$18),1,0)</f>
        <v>0</v>
      </c>
      <c r="L14" s="202">
        <f>$B14    *IF(OR('RR.HH.'!$H11="No",L$18),1,0)</f>
        <v>0</v>
      </c>
      <c r="M14" s="202">
        <f>$B14    *IF(OR('RR.HH.'!$H11="No",M$18),1,0)</f>
        <v>0</v>
      </c>
      <c r="N14" s="203">
        <f>$B14    *IF(OR('RR.HH.'!$H11="No",N$18),1,0)</f>
        <v>0</v>
      </c>
      <c r="O14" s="204">
        <f t="shared" si="0"/>
        <v>0</v>
      </c>
    </row>
    <row r="15" spans="1:15">
      <c r="A15" s="230" t="str">
        <v/>
      </c>
      <c r="B15" s="200">
        <v>0</v>
      </c>
      <c r="C15" s="201">
        <f>$B15    *IF(OR('RR.HH.'!$H12="No",C$18),1,0)</f>
        <v>0</v>
      </c>
      <c r="D15" s="202">
        <f>$B15    *IF(OR('RR.HH.'!$H12="No",D$18),1,0)</f>
        <v>0</v>
      </c>
      <c r="E15" s="202">
        <f>$B15    *IF(OR('RR.HH.'!$H12="No",E$18),1,0)</f>
        <v>0</v>
      </c>
      <c r="F15" s="202">
        <f>$B15    *IF(OR('RR.HH.'!$H12="No",F$18),1,0)</f>
        <v>0</v>
      </c>
      <c r="G15" s="202">
        <f>$B15    *IF(OR('RR.HH.'!$H12="No",G$18),1,0)</f>
        <v>0</v>
      </c>
      <c r="H15" s="202">
        <f>$B15    *IF(OR('RR.HH.'!$H12="No",H$18),1,0)</f>
        <v>0</v>
      </c>
      <c r="I15" s="202">
        <f>$B15    *IF(OR('RR.HH.'!$H12="No",I$18),1,0)</f>
        <v>0</v>
      </c>
      <c r="J15" s="202">
        <f>$B15    *IF(OR('RR.HH.'!$H12="No",J$18),1,0)</f>
        <v>0</v>
      </c>
      <c r="K15" s="202">
        <f>$B15    *IF(OR('RR.HH.'!$H12="No",K$18),1,0)</f>
        <v>0</v>
      </c>
      <c r="L15" s="202">
        <f>$B15    *IF(OR('RR.HH.'!$H12="No",L$18),1,0)</f>
        <v>0</v>
      </c>
      <c r="M15" s="202">
        <f>$B15    *IF(OR('RR.HH.'!$H12="No",M$18),1,0)</f>
        <v>0</v>
      </c>
      <c r="N15" s="203">
        <f>$B15    *IF(OR('RR.HH.'!$H12="No",N$18),1,0)</f>
        <v>0</v>
      </c>
      <c r="O15" s="204">
        <f t="shared" si="0"/>
        <v>0</v>
      </c>
    </row>
    <row r="16" spans="1:15" ht="15.75" thickBot="1">
      <c r="A16" s="230" t="str">
        <v/>
      </c>
      <c r="B16" s="200">
        <v>0</v>
      </c>
      <c r="C16" s="201">
        <f>$B16    *IF(OR('RR.HH.'!$H13="No",C$18),1,0)</f>
        <v>0</v>
      </c>
      <c r="D16" s="202">
        <f>$B16    *IF(OR('RR.HH.'!$H13="No",D$18),1,0)</f>
        <v>0</v>
      </c>
      <c r="E16" s="202">
        <f>$B16    *IF(OR('RR.HH.'!$H13="No",E$18),1,0)</f>
        <v>0</v>
      </c>
      <c r="F16" s="202">
        <f>$B16    *IF(OR('RR.HH.'!$H13="No",F$18),1,0)</f>
        <v>0</v>
      </c>
      <c r="G16" s="202">
        <f>$B16    *IF(OR('RR.HH.'!$H13="No",G$18),1,0)</f>
        <v>0</v>
      </c>
      <c r="H16" s="202">
        <f>$B16    *IF(OR('RR.HH.'!$H13="No",H$18),1,0)</f>
        <v>0</v>
      </c>
      <c r="I16" s="202">
        <f>$B16    *IF(OR('RR.HH.'!$H13="No",I$18),1,0)</f>
        <v>0</v>
      </c>
      <c r="J16" s="202">
        <f>$B16    *IF(OR('RR.HH.'!$H13="No",J$18),1,0)</f>
        <v>0</v>
      </c>
      <c r="K16" s="202">
        <f>$B16    *IF(OR('RR.HH.'!$H13="No",K$18),1,0)</f>
        <v>0</v>
      </c>
      <c r="L16" s="202">
        <f>$B16    *IF(OR('RR.HH.'!$H13="No",L$18),1,0)</f>
        <v>0</v>
      </c>
      <c r="M16" s="202">
        <f>$B16    *IF(OR('RR.HH.'!$H13="No",M$18),1,0)</f>
        <v>0</v>
      </c>
      <c r="N16" s="203">
        <f>$B16    *IF(OR('RR.HH.'!$H13="No",N$18),1,0)</f>
        <v>0</v>
      </c>
      <c r="O16" s="204">
        <f t="shared" si="0"/>
        <v>0</v>
      </c>
    </row>
    <row r="17" spans="1:15" ht="15.75" thickBot="1">
      <c r="A17" s="2463" t="s">
        <v>724</v>
      </c>
      <c r="B17" s="58">
        <f t="shared" ref="B17:N17" si="1">SUM(B9:B16)</f>
        <v>1</v>
      </c>
      <c r="C17" s="205">
        <f t="shared" si="1"/>
        <v>1</v>
      </c>
      <c r="D17" s="206">
        <f t="shared" si="1"/>
        <v>1</v>
      </c>
      <c r="E17" s="206">
        <f t="shared" si="1"/>
        <v>1</v>
      </c>
      <c r="F17" s="206">
        <f t="shared" si="1"/>
        <v>1</v>
      </c>
      <c r="G17" s="206">
        <f t="shared" si="1"/>
        <v>1</v>
      </c>
      <c r="H17" s="206">
        <f t="shared" si="1"/>
        <v>1</v>
      </c>
      <c r="I17" s="206">
        <f t="shared" si="1"/>
        <v>1</v>
      </c>
      <c r="J17" s="206">
        <f t="shared" si="1"/>
        <v>1</v>
      </c>
      <c r="K17" s="206">
        <f t="shared" si="1"/>
        <v>1</v>
      </c>
      <c r="L17" s="206">
        <f t="shared" si="1"/>
        <v>1</v>
      </c>
      <c r="M17" s="206">
        <f t="shared" si="1"/>
        <v>1</v>
      </c>
      <c r="N17" s="207">
        <f t="shared" si="1"/>
        <v>1</v>
      </c>
      <c r="O17" s="208">
        <f t="shared" si="0"/>
        <v>1</v>
      </c>
    </row>
    <row r="18" spans="1:15" ht="15.75" thickBot="1">
      <c r="C18" s="2303" t="b">
        <f t="shared" ref="C18:N18" si="2">+AND(C$5&gt;=inicioTemporada,C$5&lt;=finTemporada)</f>
        <v>1</v>
      </c>
      <c r="D18" s="2303" t="b">
        <f t="shared" si="2"/>
        <v>1</v>
      </c>
      <c r="E18" s="2303" t="b">
        <f t="shared" si="2"/>
        <v>1</v>
      </c>
      <c r="F18" s="2303" t="b">
        <f t="shared" si="2"/>
        <v>1</v>
      </c>
      <c r="G18" s="2303" t="b">
        <f t="shared" si="2"/>
        <v>1</v>
      </c>
      <c r="H18" s="2303" t="b">
        <f t="shared" si="2"/>
        <v>1</v>
      </c>
      <c r="I18" s="2303" t="b">
        <f t="shared" si="2"/>
        <v>1</v>
      </c>
      <c r="J18" s="2303" t="b">
        <f t="shared" si="2"/>
        <v>1</v>
      </c>
      <c r="K18" s="2303" t="b">
        <f t="shared" si="2"/>
        <v>1</v>
      </c>
      <c r="L18" s="2303" t="b">
        <f t="shared" si="2"/>
        <v>1</v>
      </c>
      <c r="M18" s="2303" t="b">
        <f t="shared" si="2"/>
        <v>1</v>
      </c>
      <c r="N18" s="2303" t="b">
        <f t="shared" si="2"/>
        <v>1</v>
      </c>
    </row>
    <row r="19" spans="1:15" s="228" customFormat="1" ht="15.75" thickBot="1">
      <c r="A19" s="233" t="s">
        <v>729</v>
      </c>
      <c r="B19" s="234"/>
      <c r="C19" s="235" t="str">
        <f t="array" ref="C19:N19">meses</f>
        <v>janeiro</v>
      </c>
      <c r="D19" s="236" t="str">
        <v>fevereiro</v>
      </c>
      <c r="E19" s="236" t="str">
        <v>março</v>
      </c>
      <c r="F19" s="236" t="str">
        <v>abril</v>
      </c>
      <c r="G19" s="236" t="str">
        <v>maio</v>
      </c>
      <c r="H19" s="236" t="str">
        <v>junho</v>
      </c>
      <c r="I19" s="236" t="str">
        <v>julho</v>
      </c>
      <c r="J19" s="236" t="str">
        <v>agosto</v>
      </c>
      <c r="K19" s="236" t="str">
        <v>setembro</v>
      </c>
      <c r="L19" s="236" t="str">
        <v>outubro</v>
      </c>
      <c r="M19" s="236" t="str">
        <v>novembro</v>
      </c>
      <c r="N19" s="237" t="str">
        <v>dezembro</v>
      </c>
      <c r="O19" s="238" t="s">
        <v>3</v>
      </c>
    </row>
    <row r="20" spans="1:15">
      <c r="A20" s="231" t="s">
        <v>726</v>
      </c>
      <c r="B20" s="209"/>
      <c r="C20" s="210">
        <v>0</v>
      </c>
      <c r="D20" s="211">
        <f t="shared" ref="D20:N20" si="3">ABS(D9+D10-C9-C10)</f>
        <v>0</v>
      </c>
      <c r="E20" s="211">
        <f t="shared" si="3"/>
        <v>0</v>
      </c>
      <c r="F20" s="211">
        <f t="shared" si="3"/>
        <v>0</v>
      </c>
      <c r="G20" s="211">
        <f t="shared" si="3"/>
        <v>0</v>
      </c>
      <c r="H20" s="211">
        <f t="shared" si="3"/>
        <v>0</v>
      </c>
      <c r="I20" s="211">
        <f t="shared" si="3"/>
        <v>0</v>
      </c>
      <c r="J20" s="211">
        <f t="shared" si="3"/>
        <v>0</v>
      </c>
      <c r="K20" s="211">
        <f t="shared" si="3"/>
        <v>0</v>
      </c>
      <c r="L20" s="211">
        <f t="shared" si="3"/>
        <v>0</v>
      </c>
      <c r="M20" s="211">
        <f t="shared" si="3"/>
        <v>0</v>
      </c>
      <c r="N20" s="212">
        <f t="shared" si="3"/>
        <v>0</v>
      </c>
      <c r="O20" s="213">
        <f>SUM(C20:N20)</f>
        <v>0</v>
      </c>
    </row>
    <row r="21" spans="1:15" ht="15.75" thickBot="1">
      <c r="A21" s="232" t="s">
        <v>727</v>
      </c>
      <c r="B21" s="215"/>
      <c r="C21" s="216">
        <v>0</v>
      </c>
      <c r="D21" s="217">
        <f t="shared" ref="D21:N21" si="4">ABS(SUM(D11:D16)-SUM(C11:C16))</f>
        <v>0</v>
      </c>
      <c r="E21" s="217">
        <f t="shared" si="4"/>
        <v>0</v>
      </c>
      <c r="F21" s="217">
        <f t="shared" si="4"/>
        <v>0</v>
      </c>
      <c r="G21" s="217">
        <f t="shared" si="4"/>
        <v>0</v>
      </c>
      <c r="H21" s="217">
        <f t="shared" si="4"/>
        <v>0</v>
      </c>
      <c r="I21" s="217">
        <f t="shared" si="4"/>
        <v>0</v>
      </c>
      <c r="J21" s="217">
        <f t="shared" si="4"/>
        <v>0</v>
      </c>
      <c r="K21" s="217">
        <f t="shared" si="4"/>
        <v>0</v>
      </c>
      <c r="L21" s="217">
        <f t="shared" si="4"/>
        <v>0</v>
      </c>
      <c r="M21" s="217">
        <f t="shared" si="4"/>
        <v>0</v>
      </c>
      <c r="N21" s="218">
        <f t="shared" si="4"/>
        <v>0</v>
      </c>
      <c r="O21" s="219">
        <f>SUM(C21:N21)</f>
        <v>0</v>
      </c>
    </row>
    <row r="22" spans="1:15" ht="6" customHeight="1" thickBot="1"/>
    <row r="23" spans="1:15" ht="15.75" thickBot="1">
      <c r="A23" s="548" t="s">
        <v>728</v>
      </c>
      <c r="B23" s="390"/>
      <c r="C23" s="549">
        <f t="array" ref="C23:N23">C9:N9+C10:N10</f>
        <v>1</v>
      </c>
      <c r="D23" s="550">
        <v>1</v>
      </c>
      <c r="E23" s="550">
        <v>1</v>
      </c>
      <c r="F23" s="550">
        <v>1</v>
      </c>
      <c r="G23" s="550">
        <v>1</v>
      </c>
      <c r="H23" s="550">
        <v>1</v>
      </c>
      <c r="I23" s="550">
        <v>1</v>
      </c>
      <c r="J23" s="550">
        <v>1</v>
      </c>
      <c r="K23" s="550">
        <v>1</v>
      </c>
      <c r="L23" s="550">
        <v>1</v>
      </c>
      <c r="M23" s="550">
        <v>1</v>
      </c>
      <c r="N23" s="551">
        <v>1</v>
      </c>
      <c r="O23" s="547">
        <f>MAX(B23:N23)</f>
        <v>1</v>
      </c>
    </row>
    <row r="24" spans="1:15">
      <c r="B24" s="546"/>
    </row>
    <row r="25" spans="1:15" s="553" customFormat="1" ht="19.5">
      <c r="A25" s="406" t="str">
        <f>A$6</f>
        <v>Recursos Humanos da empresa</v>
      </c>
      <c r="B25" s="406"/>
      <c r="C25" s="406"/>
      <c r="D25" s="406"/>
      <c r="E25" s="244" t="str">
        <f>Parametros!C$77</f>
        <v>Ano 1:  2027</v>
      </c>
      <c r="F25" s="552"/>
    </row>
    <row r="26" spans="1:15" ht="8.25" customHeight="1" thickBot="1">
      <c r="A26" s="220"/>
      <c r="B26" s="220"/>
      <c r="C26" s="220"/>
      <c r="D26" s="220"/>
      <c r="E26" s="221"/>
    </row>
    <row r="27" spans="1:15" s="228" customFormat="1" ht="21.75" customHeight="1" thickBot="1">
      <c r="A27" s="222" t="str">
        <f>A$8</f>
        <v>Quadro por meses</v>
      </c>
      <c r="B27" s="223" t="s">
        <v>19</v>
      </c>
      <c r="C27" s="224" t="str">
        <f t="array" ref="C27:N27">meses</f>
        <v>janeiro</v>
      </c>
      <c r="D27" s="225" t="str">
        <v>fevereiro</v>
      </c>
      <c r="E27" s="225" t="str">
        <v>março</v>
      </c>
      <c r="F27" s="225" t="str">
        <v>abril</v>
      </c>
      <c r="G27" s="225" t="str">
        <v>maio</v>
      </c>
      <c r="H27" s="225" t="str">
        <v>junho</v>
      </c>
      <c r="I27" s="225" t="str">
        <v>julho</v>
      </c>
      <c r="J27" s="225" t="str">
        <v>agosto</v>
      </c>
      <c r="K27" s="225" t="str">
        <v>setembro</v>
      </c>
      <c r="L27" s="225" t="str">
        <v>outubro</v>
      </c>
      <c r="M27" s="225" t="str">
        <v>novembro</v>
      </c>
      <c r="N27" s="226" t="str">
        <v>dezembro</v>
      </c>
      <c r="O27" s="227" t="s">
        <v>725</v>
      </c>
    </row>
    <row r="28" spans="1:15">
      <c r="A28" s="229" t="str">
        <f t="array" ref="A28:A35">catlaborales</f>
        <v>Emprsários em nome individual</v>
      </c>
      <c r="B28" s="195">
        <f t="array" ref="B28:B35">'RR.HH.'!C6:C13</f>
        <v>1</v>
      </c>
      <c r="C28" s="196">
        <f>$B28    *IF(OR('RR.HH.'!$H6="No",C$18),1,0)</f>
        <v>1</v>
      </c>
      <c r="D28" s="197">
        <f>$B28    *IF(OR('RR.HH.'!$H6="No",D$18),1,0)</f>
        <v>1</v>
      </c>
      <c r="E28" s="197">
        <f>$B28    *IF(OR('RR.HH.'!$H6="No",E$18),1,0)</f>
        <v>1</v>
      </c>
      <c r="F28" s="197">
        <f>$B28    *IF(OR('RR.HH.'!$H6="No",F$18),1,0)</f>
        <v>1</v>
      </c>
      <c r="G28" s="197">
        <f>$B28    *IF(OR('RR.HH.'!$H6="No",G$18),1,0)</f>
        <v>1</v>
      </c>
      <c r="H28" s="197">
        <f>$B28    *IF(OR('RR.HH.'!$H6="No",H$18),1,0)</f>
        <v>1</v>
      </c>
      <c r="I28" s="197">
        <f>$B28    *IF(OR('RR.HH.'!$H6="No",I$18),1,0)</f>
        <v>1</v>
      </c>
      <c r="J28" s="197">
        <f>$B28    *IF(OR('RR.HH.'!$H6="No",J$18),1,0)</f>
        <v>1</v>
      </c>
      <c r="K28" s="197">
        <f>$B28    *IF(OR('RR.HH.'!$H6="No",K$18),1,0)</f>
        <v>1</v>
      </c>
      <c r="L28" s="197">
        <f>$B28    *IF(OR('RR.HH.'!$H6="No",L$18),1,0)</f>
        <v>1</v>
      </c>
      <c r="M28" s="197">
        <f>$B28    *IF(OR('RR.HH.'!$H6="No",M$18),1,0)</f>
        <v>1</v>
      </c>
      <c r="N28" s="198">
        <f>$B28    *IF(OR('RR.HH.'!$H6="No",N$18),1,0)</f>
        <v>1</v>
      </c>
      <c r="O28" s="199">
        <f t="shared" ref="O28:O36" si="5">AVERAGE(C28:N28)</f>
        <v>1</v>
      </c>
    </row>
    <row r="29" spans="1:15">
      <c r="A29" s="230" t="str">
        <v>Outros trab. Independentes</v>
      </c>
      <c r="B29" s="200">
        <v>0</v>
      </c>
      <c r="C29" s="201">
        <f>$B29    *IF(OR('RR.HH.'!$H7="No",C$18),1,0)</f>
        <v>0</v>
      </c>
      <c r="D29" s="202">
        <f>$B29    *IF(OR('RR.HH.'!$H7="No",D$18),1,0)</f>
        <v>0</v>
      </c>
      <c r="E29" s="202">
        <f>$B29    *IF(OR('RR.HH.'!$H7="No",E$18),1,0)</f>
        <v>0</v>
      </c>
      <c r="F29" s="202">
        <f>$B29    *IF(OR('RR.HH.'!$H7="No",F$18),1,0)</f>
        <v>0</v>
      </c>
      <c r="G29" s="202">
        <f>$B29    *IF(OR('RR.HH.'!$H7="No",G$18),1,0)</f>
        <v>0</v>
      </c>
      <c r="H29" s="202">
        <f>$B29    *IF(OR('RR.HH.'!$H7="No",H$18),1,0)</f>
        <v>0</v>
      </c>
      <c r="I29" s="202">
        <f>$B29    *IF(OR('RR.HH.'!$H7="No",I$18),1,0)</f>
        <v>0</v>
      </c>
      <c r="J29" s="202">
        <f>$B29    *IF(OR('RR.HH.'!$H7="No",J$18),1,0)</f>
        <v>0</v>
      </c>
      <c r="K29" s="202">
        <f>$B29    *IF(OR('RR.HH.'!$H7="No",K$18),1,0)</f>
        <v>0</v>
      </c>
      <c r="L29" s="202">
        <f>$B29    *IF(OR('RR.HH.'!$H7="No",L$18),1,0)</f>
        <v>0</v>
      </c>
      <c r="M29" s="202">
        <f>$B29    *IF(OR('RR.HH.'!$H7="No",M$18),1,0)</f>
        <v>0</v>
      </c>
      <c r="N29" s="203">
        <f>$B29    *IF(OR('RR.HH.'!$H7="No",N$18),1,0)</f>
        <v>0</v>
      </c>
      <c r="O29" s="204">
        <f t="shared" si="5"/>
        <v>0</v>
      </c>
    </row>
    <row r="30" spans="1:15">
      <c r="A30" s="230" t="str">
        <v>Empregados</v>
      </c>
      <c r="B30" s="200">
        <v>0</v>
      </c>
      <c r="C30" s="201">
        <f>$B30    *IF(OR('RR.HH.'!$H8="No",C$18),1,0)</f>
        <v>0</v>
      </c>
      <c r="D30" s="202">
        <f>$B30    *IF(OR('RR.HH.'!$H8="No",D$18),1,0)</f>
        <v>0</v>
      </c>
      <c r="E30" s="202">
        <f>$B30    *IF(OR('RR.HH.'!$H8="No",E$18),1,0)</f>
        <v>0</v>
      </c>
      <c r="F30" s="202">
        <f>$B30    *IF(OR('RR.HH.'!$H8="No",F$18),1,0)</f>
        <v>0</v>
      </c>
      <c r="G30" s="202">
        <f>$B30    *IF(OR('RR.HH.'!$H8="No",G$18),1,0)</f>
        <v>0</v>
      </c>
      <c r="H30" s="202">
        <f>$B30    *IF(OR('RR.HH.'!$H8="No",H$18),1,0)</f>
        <v>0</v>
      </c>
      <c r="I30" s="202">
        <f>$B30    *IF(OR('RR.HH.'!$H8="No",I$18),1,0)</f>
        <v>0</v>
      </c>
      <c r="J30" s="202">
        <f>$B30    *IF(OR('RR.HH.'!$H8="No",J$18),1,0)</f>
        <v>0</v>
      </c>
      <c r="K30" s="202">
        <f>$B30    *IF(OR('RR.HH.'!$H8="No",K$18),1,0)</f>
        <v>0</v>
      </c>
      <c r="L30" s="202">
        <f>$B30    *IF(OR('RR.HH.'!$H8="No",L$18),1,0)</f>
        <v>0</v>
      </c>
      <c r="M30" s="202">
        <f>$B30    *IF(OR('RR.HH.'!$H8="No",M$18),1,0)</f>
        <v>0</v>
      </c>
      <c r="N30" s="203">
        <f>$B30    *IF(OR('RR.HH.'!$H8="No",N$18),1,0)</f>
        <v>0</v>
      </c>
      <c r="O30" s="204">
        <f t="shared" si="5"/>
        <v>0</v>
      </c>
    </row>
    <row r="31" spans="1:15">
      <c r="A31" s="230" t="str">
        <v/>
      </c>
      <c r="B31" s="200">
        <v>0</v>
      </c>
      <c r="C31" s="201">
        <f>$B31    *IF(OR('RR.HH.'!$H9="No",C$18),1,0)</f>
        <v>0</v>
      </c>
      <c r="D31" s="202">
        <f>$B31    *IF(OR('RR.HH.'!$H9="No",D$18),1,0)</f>
        <v>0</v>
      </c>
      <c r="E31" s="202">
        <f>$B31    *IF(OR('RR.HH.'!$H9="No",E$18),1,0)</f>
        <v>0</v>
      </c>
      <c r="F31" s="202">
        <f>$B31    *IF(OR('RR.HH.'!$H9="No",F$18),1,0)</f>
        <v>0</v>
      </c>
      <c r="G31" s="202">
        <f>$B31    *IF(OR('RR.HH.'!$H9="No",G$18),1,0)</f>
        <v>0</v>
      </c>
      <c r="H31" s="202">
        <f>$B31    *IF(OR('RR.HH.'!$H9="No",H$18),1,0)</f>
        <v>0</v>
      </c>
      <c r="I31" s="202">
        <f>$B31    *IF(OR('RR.HH.'!$H9="No",I$18),1,0)</f>
        <v>0</v>
      </c>
      <c r="J31" s="202">
        <f>$B31    *IF(OR('RR.HH.'!$H9="No",J$18),1,0)</f>
        <v>0</v>
      </c>
      <c r="K31" s="202">
        <f>$B31    *IF(OR('RR.HH.'!$H9="No",K$18),1,0)</f>
        <v>0</v>
      </c>
      <c r="L31" s="202">
        <f>$B31    *IF(OR('RR.HH.'!$H9="No",L$18),1,0)</f>
        <v>0</v>
      </c>
      <c r="M31" s="202">
        <f>$B31    *IF(OR('RR.HH.'!$H9="No",M$18),1,0)</f>
        <v>0</v>
      </c>
      <c r="N31" s="203">
        <f>$B31    *IF(OR('RR.HH.'!$H9="No",N$18),1,0)</f>
        <v>0</v>
      </c>
      <c r="O31" s="204">
        <f t="shared" si="5"/>
        <v>0</v>
      </c>
    </row>
    <row r="32" spans="1:15">
      <c r="A32" s="230" t="str">
        <v/>
      </c>
      <c r="B32" s="200">
        <v>0</v>
      </c>
      <c r="C32" s="201">
        <f>$B32    *IF(OR('RR.HH.'!$H10="No",C$18),1,0)</f>
        <v>0</v>
      </c>
      <c r="D32" s="202">
        <f>$B32    *IF(OR('RR.HH.'!$H10="No",D$18),1,0)</f>
        <v>0</v>
      </c>
      <c r="E32" s="202">
        <f>$B32    *IF(OR('RR.HH.'!$H10="No",E$18),1,0)</f>
        <v>0</v>
      </c>
      <c r="F32" s="202">
        <f>$B32    *IF(OR('RR.HH.'!$H10="No",F$18),1,0)</f>
        <v>0</v>
      </c>
      <c r="G32" s="202">
        <f>$B32    *IF(OR('RR.HH.'!$H10="No",G$18),1,0)</f>
        <v>0</v>
      </c>
      <c r="H32" s="202">
        <f>$B32    *IF(OR('RR.HH.'!$H10="No",H$18),1,0)</f>
        <v>0</v>
      </c>
      <c r="I32" s="202">
        <f>$B32    *IF(OR('RR.HH.'!$H10="No",I$18),1,0)</f>
        <v>0</v>
      </c>
      <c r="J32" s="202">
        <f>$B32    *IF(OR('RR.HH.'!$H10="No",J$18),1,0)</f>
        <v>0</v>
      </c>
      <c r="K32" s="202">
        <f>$B32    *IF(OR('RR.HH.'!$H10="No",K$18),1,0)</f>
        <v>0</v>
      </c>
      <c r="L32" s="202">
        <f>$B32    *IF(OR('RR.HH.'!$H10="No",L$18),1,0)</f>
        <v>0</v>
      </c>
      <c r="M32" s="202">
        <f>$B32    *IF(OR('RR.HH.'!$H10="No",M$18),1,0)</f>
        <v>0</v>
      </c>
      <c r="N32" s="203">
        <f>$B32    *IF(OR('RR.HH.'!$H10="No",N$18),1,0)</f>
        <v>0</v>
      </c>
      <c r="O32" s="204">
        <f t="shared" si="5"/>
        <v>0</v>
      </c>
    </row>
    <row r="33" spans="1:15">
      <c r="A33" s="230" t="str">
        <v/>
      </c>
      <c r="B33" s="200">
        <v>0</v>
      </c>
      <c r="C33" s="201">
        <f>$B33    *IF(OR('RR.HH.'!$H11="No",C$18),1,0)</f>
        <v>0</v>
      </c>
      <c r="D33" s="202">
        <f>$B33    *IF(OR('RR.HH.'!$H11="No",D$18),1,0)</f>
        <v>0</v>
      </c>
      <c r="E33" s="202">
        <f>$B33    *IF(OR('RR.HH.'!$H11="No",E$18),1,0)</f>
        <v>0</v>
      </c>
      <c r="F33" s="202">
        <f>$B33    *IF(OR('RR.HH.'!$H11="No",F$18),1,0)</f>
        <v>0</v>
      </c>
      <c r="G33" s="202">
        <f>$B33    *IF(OR('RR.HH.'!$H11="No",G$18),1,0)</f>
        <v>0</v>
      </c>
      <c r="H33" s="202">
        <f>$B33    *IF(OR('RR.HH.'!$H11="No",H$18),1,0)</f>
        <v>0</v>
      </c>
      <c r="I33" s="202">
        <f>$B33    *IF(OR('RR.HH.'!$H11="No",I$18),1,0)</f>
        <v>0</v>
      </c>
      <c r="J33" s="202">
        <f>$B33    *IF(OR('RR.HH.'!$H11="No",J$18),1,0)</f>
        <v>0</v>
      </c>
      <c r="K33" s="202">
        <f>$B33    *IF(OR('RR.HH.'!$H11="No",K$18),1,0)</f>
        <v>0</v>
      </c>
      <c r="L33" s="202">
        <f>$B33    *IF(OR('RR.HH.'!$H11="No",L$18),1,0)</f>
        <v>0</v>
      </c>
      <c r="M33" s="202">
        <f>$B33    *IF(OR('RR.HH.'!$H11="No",M$18),1,0)</f>
        <v>0</v>
      </c>
      <c r="N33" s="203">
        <f>$B33    *IF(OR('RR.HH.'!$H11="No",N$18),1,0)</f>
        <v>0</v>
      </c>
      <c r="O33" s="204">
        <f t="shared" si="5"/>
        <v>0</v>
      </c>
    </row>
    <row r="34" spans="1:15">
      <c r="A34" s="230" t="str">
        <v/>
      </c>
      <c r="B34" s="200">
        <v>0</v>
      </c>
      <c r="C34" s="201">
        <f>$B34    *IF(OR('RR.HH.'!$H12="No",C$18),1,0)</f>
        <v>0</v>
      </c>
      <c r="D34" s="202">
        <f>$B34    *IF(OR('RR.HH.'!$H12="No",D$18),1,0)</f>
        <v>0</v>
      </c>
      <c r="E34" s="202">
        <f>$B34    *IF(OR('RR.HH.'!$H12="No",E$18),1,0)</f>
        <v>0</v>
      </c>
      <c r="F34" s="202">
        <f>$B34    *IF(OR('RR.HH.'!$H12="No",F$18),1,0)</f>
        <v>0</v>
      </c>
      <c r="G34" s="202">
        <f>$B34    *IF(OR('RR.HH.'!$H12="No",G$18),1,0)</f>
        <v>0</v>
      </c>
      <c r="H34" s="202">
        <f>$B34    *IF(OR('RR.HH.'!$H12="No",H$18),1,0)</f>
        <v>0</v>
      </c>
      <c r="I34" s="202">
        <f>$B34    *IF(OR('RR.HH.'!$H12="No",I$18),1,0)</f>
        <v>0</v>
      </c>
      <c r="J34" s="202">
        <f>$B34    *IF(OR('RR.HH.'!$H12="No",J$18),1,0)</f>
        <v>0</v>
      </c>
      <c r="K34" s="202">
        <f>$B34    *IF(OR('RR.HH.'!$H12="No",K$18),1,0)</f>
        <v>0</v>
      </c>
      <c r="L34" s="202">
        <f>$B34    *IF(OR('RR.HH.'!$H12="No",L$18),1,0)</f>
        <v>0</v>
      </c>
      <c r="M34" s="202">
        <f>$B34    *IF(OR('RR.HH.'!$H12="No",M$18),1,0)</f>
        <v>0</v>
      </c>
      <c r="N34" s="203">
        <f>$B34    *IF(OR('RR.HH.'!$H12="No",N$18),1,0)</f>
        <v>0</v>
      </c>
      <c r="O34" s="204">
        <f t="shared" si="5"/>
        <v>0</v>
      </c>
    </row>
    <row r="35" spans="1:15" ht="15.75" thickBot="1">
      <c r="A35" s="230" t="str">
        <v/>
      </c>
      <c r="B35" s="200">
        <v>0</v>
      </c>
      <c r="C35" s="201">
        <f>$B35    *IF(OR('RR.HH.'!$H13="No",C$18),1,0)</f>
        <v>0</v>
      </c>
      <c r="D35" s="202">
        <f>$B35    *IF(OR('RR.HH.'!$H13="No",D$18),1,0)</f>
        <v>0</v>
      </c>
      <c r="E35" s="202">
        <f>$B35    *IF(OR('RR.HH.'!$H13="No",E$18),1,0)</f>
        <v>0</v>
      </c>
      <c r="F35" s="202">
        <f>$B35    *IF(OR('RR.HH.'!$H13="No",F$18),1,0)</f>
        <v>0</v>
      </c>
      <c r="G35" s="202">
        <f>$B35    *IF(OR('RR.HH.'!$H13="No",G$18),1,0)</f>
        <v>0</v>
      </c>
      <c r="H35" s="202">
        <f>$B35    *IF(OR('RR.HH.'!$H13="No",H$18),1,0)</f>
        <v>0</v>
      </c>
      <c r="I35" s="202">
        <f>$B35    *IF(OR('RR.HH.'!$H13="No",I$18),1,0)</f>
        <v>0</v>
      </c>
      <c r="J35" s="202">
        <f>$B35    *IF(OR('RR.HH.'!$H13="No",J$18),1,0)</f>
        <v>0</v>
      </c>
      <c r="K35" s="202">
        <f>$B35    *IF(OR('RR.HH.'!$H13="No",K$18),1,0)</f>
        <v>0</v>
      </c>
      <c r="L35" s="202">
        <f>$B35    *IF(OR('RR.HH.'!$H13="No",L$18),1,0)</f>
        <v>0</v>
      </c>
      <c r="M35" s="202">
        <f>$B35    *IF(OR('RR.HH.'!$H13="No",M$18),1,0)</f>
        <v>0</v>
      </c>
      <c r="N35" s="203">
        <f>$B35    *IF(OR('RR.HH.'!$H13="No",N$18),1,0)</f>
        <v>0</v>
      </c>
      <c r="O35" s="204">
        <f t="shared" si="5"/>
        <v>0</v>
      </c>
    </row>
    <row r="36" spans="1:15" ht="15.75" thickBot="1">
      <c r="A36" s="2463" t="str">
        <f>A$17</f>
        <v>Total Quadro</v>
      </c>
      <c r="B36" s="58">
        <f t="shared" ref="B36:N36" si="6">SUM(B28:B35)</f>
        <v>1</v>
      </c>
      <c r="C36" s="205">
        <f t="shared" si="6"/>
        <v>1</v>
      </c>
      <c r="D36" s="206">
        <f t="shared" si="6"/>
        <v>1</v>
      </c>
      <c r="E36" s="206">
        <f t="shared" si="6"/>
        <v>1</v>
      </c>
      <c r="F36" s="206">
        <f t="shared" si="6"/>
        <v>1</v>
      </c>
      <c r="G36" s="206">
        <f t="shared" si="6"/>
        <v>1</v>
      </c>
      <c r="H36" s="206">
        <f t="shared" si="6"/>
        <v>1</v>
      </c>
      <c r="I36" s="206">
        <f t="shared" si="6"/>
        <v>1</v>
      </c>
      <c r="J36" s="206">
        <f t="shared" si="6"/>
        <v>1</v>
      </c>
      <c r="K36" s="206">
        <f t="shared" si="6"/>
        <v>1</v>
      </c>
      <c r="L36" s="206">
        <f t="shared" si="6"/>
        <v>1</v>
      </c>
      <c r="M36" s="206">
        <f t="shared" si="6"/>
        <v>1</v>
      </c>
      <c r="N36" s="207">
        <f t="shared" si="6"/>
        <v>1</v>
      </c>
      <c r="O36" s="208">
        <f t="shared" si="5"/>
        <v>1</v>
      </c>
    </row>
    <row r="37" spans="1:15" ht="15.75" thickBot="1"/>
    <row r="38" spans="1:15" s="228" customFormat="1" ht="15.75" thickBot="1">
      <c r="A38" s="233" t="str">
        <f t="array" ref="A38:A42">A$19:A$23</f>
        <v>Altas e Baixas de pessoal</v>
      </c>
      <c r="B38" s="234"/>
      <c r="C38" s="235" t="str">
        <f t="array" ref="C38:N38">meses</f>
        <v>janeiro</v>
      </c>
      <c r="D38" s="236" t="str">
        <v>fevereiro</v>
      </c>
      <c r="E38" s="236" t="str">
        <v>março</v>
      </c>
      <c r="F38" s="236" t="str">
        <v>abril</v>
      </c>
      <c r="G38" s="236" t="str">
        <v>maio</v>
      </c>
      <c r="H38" s="236" t="str">
        <v>junho</v>
      </c>
      <c r="I38" s="236" t="str">
        <v>julho</v>
      </c>
      <c r="J38" s="236" t="str">
        <v>agosto</v>
      </c>
      <c r="K38" s="236" t="str">
        <v>setembro</v>
      </c>
      <c r="L38" s="236" t="str">
        <v>outubro</v>
      </c>
      <c r="M38" s="236" t="str">
        <v>novembro</v>
      </c>
      <c r="N38" s="237" t="str">
        <v>dezembro</v>
      </c>
      <c r="O38" s="238" t="s">
        <v>3</v>
      </c>
    </row>
    <row r="39" spans="1:15">
      <c r="A39" s="231" t="str">
        <v>nº socios R.E.T.A. (altas e baixas)</v>
      </c>
      <c r="B39" s="209"/>
      <c r="C39" s="210">
        <f>ABS(C28+C29-N9-N10)</f>
        <v>0</v>
      </c>
      <c r="D39" s="211">
        <f t="shared" ref="D39:N39" si="7">ABS(D28+D29-C28-C29)</f>
        <v>0</v>
      </c>
      <c r="E39" s="211">
        <f t="shared" si="7"/>
        <v>0</v>
      </c>
      <c r="F39" s="211">
        <f t="shared" si="7"/>
        <v>0</v>
      </c>
      <c r="G39" s="211">
        <f t="shared" si="7"/>
        <v>0</v>
      </c>
      <c r="H39" s="211">
        <f t="shared" si="7"/>
        <v>0</v>
      </c>
      <c r="I39" s="211">
        <f t="shared" si="7"/>
        <v>0</v>
      </c>
      <c r="J39" s="211">
        <f t="shared" si="7"/>
        <v>0</v>
      </c>
      <c r="K39" s="211">
        <f t="shared" si="7"/>
        <v>0</v>
      </c>
      <c r="L39" s="211">
        <f t="shared" si="7"/>
        <v>0</v>
      </c>
      <c r="M39" s="211">
        <f t="shared" si="7"/>
        <v>0</v>
      </c>
      <c r="N39" s="212">
        <f t="shared" si="7"/>
        <v>0</v>
      </c>
      <c r="O39" s="213">
        <f>SUM(C39:N39)</f>
        <v>0</v>
      </c>
    </row>
    <row r="40" spans="1:15" ht="15.75" thickBot="1">
      <c r="A40" s="232" t="str">
        <v>altas/baixas de trabalhadores</v>
      </c>
      <c r="B40" s="215"/>
      <c r="C40" s="216">
        <f>ABS(SUM(C30:C35)-SUM(N11:N16))</f>
        <v>0</v>
      </c>
      <c r="D40" s="217">
        <f t="shared" ref="D40:N40" si="8">ABS(SUM(D30:D35)-SUM(C30:C35))</f>
        <v>0</v>
      </c>
      <c r="E40" s="217">
        <f t="shared" si="8"/>
        <v>0</v>
      </c>
      <c r="F40" s="217">
        <f t="shared" si="8"/>
        <v>0</v>
      </c>
      <c r="G40" s="217">
        <f t="shared" si="8"/>
        <v>0</v>
      </c>
      <c r="H40" s="217">
        <f t="shared" si="8"/>
        <v>0</v>
      </c>
      <c r="I40" s="217">
        <f t="shared" si="8"/>
        <v>0</v>
      </c>
      <c r="J40" s="217">
        <f t="shared" si="8"/>
        <v>0</v>
      </c>
      <c r="K40" s="217">
        <f t="shared" si="8"/>
        <v>0</v>
      </c>
      <c r="L40" s="217">
        <f t="shared" si="8"/>
        <v>0</v>
      </c>
      <c r="M40" s="217">
        <f t="shared" si="8"/>
        <v>0</v>
      </c>
      <c r="N40" s="218">
        <f t="shared" si="8"/>
        <v>0</v>
      </c>
      <c r="O40" s="219">
        <f>SUM(C40:N40)</f>
        <v>0</v>
      </c>
    </row>
    <row r="41" spans="1:15" ht="6" customHeight="1" thickBot="1">
      <c r="A41" s="2303">
        <v>0</v>
      </c>
    </row>
    <row r="42" spans="1:15" ht="15.75" thickBot="1">
      <c r="A42" s="548" t="str">
        <v>nº sócios para o IRPF</v>
      </c>
      <c r="B42" s="390"/>
      <c r="C42" s="549">
        <f t="array" ref="C42:N42">C28:N28+C29:N29</f>
        <v>1</v>
      </c>
      <c r="D42" s="550">
        <v>1</v>
      </c>
      <c r="E42" s="550">
        <v>1</v>
      </c>
      <c r="F42" s="550">
        <v>1</v>
      </c>
      <c r="G42" s="550">
        <v>1</v>
      </c>
      <c r="H42" s="550">
        <v>1</v>
      </c>
      <c r="I42" s="550">
        <v>1</v>
      </c>
      <c r="J42" s="550">
        <v>1</v>
      </c>
      <c r="K42" s="550">
        <v>1</v>
      </c>
      <c r="L42" s="550">
        <v>1</v>
      </c>
      <c r="M42" s="550">
        <v>1</v>
      </c>
      <c r="N42" s="551">
        <v>1</v>
      </c>
      <c r="O42" s="547">
        <f>MAX(B42:N42)</f>
        <v>1</v>
      </c>
    </row>
    <row r="44" spans="1:15" s="553" customFormat="1" ht="19.5">
      <c r="A44" s="406" t="str">
        <f>A$6</f>
        <v>Recursos Humanos da empresa</v>
      </c>
      <c r="B44" s="406"/>
      <c r="C44" s="406"/>
      <c r="D44" s="406"/>
      <c r="E44" s="244" t="str">
        <f>Parametros!D$77</f>
        <v>Ano 2:  2028</v>
      </c>
      <c r="F44" s="552"/>
    </row>
    <row r="45" spans="1:15" ht="8.25" customHeight="1" thickBot="1">
      <c r="A45" s="220"/>
    </row>
    <row r="46" spans="1:15" s="228" customFormat="1" ht="21.75" customHeight="1" thickBot="1">
      <c r="A46" s="222" t="str">
        <f>A$8</f>
        <v>Quadro por meses</v>
      </c>
      <c r="B46" s="223" t="s">
        <v>19</v>
      </c>
      <c r="C46" s="224" t="str">
        <f t="array" ref="C46:N46">meses</f>
        <v>janeiro</v>
      </c>
      <c r="D46" s="225" t="str">
        <v>fevereiro</v>
      </c>
      <c r="E46" s="225" t="str">
        <v>março</v>
      </c>
      <c r="F46" s="225" t="str">
        <v>abril</v>
      </c>
      <c r="G46" s="225" t="str">
        <v>maio</v>
      </c>
      <c r="H46" s="225" t="str">
        <v>junho</v>
      </c>
      <c r="I46" s="225" t="str">
        <v>julho</v>
      </c>
      <c r="J46" s="225" t="str">
        <v>agosto</v>
      </c>
      <c r="K46" s="225" t="str">
        <v>setembro</v>
      </c>
      <c r="L46" s="225" t="str">
        <v>outubro</v>
      </c>
      <c r="M46" s="225" t="str">
        <v>novembro</v>
      </c>
      <c r="N46" s="226" t="str">
        <v>dezembro</v>
      </c>
      <c r="O46" s="227" t="s">
        <v>725</v>
      </c>
    </row>
    <row r="47" spans="1:15">
      <c r="A47" s="229" t="str">
        <f t="array" ref="A47:A54">catlaborales</f>
        <v>Emprsários em nome individual</v>
      </c>
      <c r="B47" s="195">
        <f t="array" ref="B47:B54">'RR.HH.'!D6:D13</f>
        <v>1</v>
      </c>
      <c r="C47" s="196">
        <f>$B47    *IF(OR('RR.HH.'!$H6="No",C$18),1,0)</f>
        <v>1</v>
      </c>
      <c r="D47" s="197">
        <f>$B47    *IF(OR('RR.HH.'!$H6="No",D$18),1,0)</f>
        <v>1</v>
      </c>
      <c r="E47" s="197">
        <f>$B47    *IF(OR('RR.HH.'!$H6="No",E$18),1,0)</f>
        <v>1</v>
      </c>
      <c r="F47" s="197">
        <f>$B47    *IF(OR('RR.HH.'!$H6="No",F$18),1,0)</f>
        <v>1</v>
      </c>
      <c r="G47" s="197">
        <f>$B47    *IF(OR('RR.HH.'!$H6="No",G$18),1,0)</f>
        <v>1</v>
      </c>
      <c r="H47" s="197">
        <f>$B47    *IF(OR('RR.HH.'!$H6="No",H$18),1,0)</f>
        <v>1</v>
      </c>
      <c r="I47" s="197">
        <f>$B47    *IF(OR('RR.HH.'!$H6="No",I$18),1,0)</f>
        <v>1</v>
      </c>
      <c r="J47" s="197">
        <f>$B47    *IF(OR('RR.HH.'!$H6="No",J$18),1,0)</f>
        <v>1</v>
      </c>
      <c r="K47" s="197">
        <f>$B47    *IF(OR('RR.HH.'!$H6="No",K$18),1,0)</f>
        <v>1</v>
      </c>
      <c r="L47" s="197">
        <f>$B47    *IF(OR('RR.HH.'!$H6="No",L$18),1,0)</f>
        <v>1</v>
      </c>
      <c r="M47" s="197">
        <f>$B47    *IF(OR('RR.HH.'!$H6="No",M$18),1,0)</f>
        <v>1</v>
      </c>
      <c r="N47" s="198">
        <f>$B47    *IF(OR('RR.HH.'!$H6="No",N$18),1,0)</f>
        <v>1</v>
      </c>
      <c r="O47" s="199">
        <f t="shared" ref="O47:O55" si="9">AVERAGE(C47:N47)</f>
        <v>1</v>
      </c>
    </row>
    <row r="48" spans="1:15">
      <c r="A48" s="230" t="str">
        <v>Outros trab. Independentes</v>
      </c>
      <c r="B48" s="200">
        <v>0</v>
      </c>
      <c r="C48" s="201">
        <f>$B48    *IF(OR('RR.HH.'!$H7="No",C$18),1,0)</f>
        <v>0</v>
      </c>
      <c r="D48" s="202">
        <f>$B48    *IF(OR('RR.HH.'!$H7="No",D$18),1,0)</f>
        <v>0</v>
      </c>
      <c r="E48" s="202">
        <f>$B48    *IF(OR('RR.HH.'!$H7="No",E$18),1,0)</f>
        <v>0</v>
      </c>
      <c r="F48" s="202">
        <f>$B48    *IF(OR('RR.HH.'!$H7="No",F$18),1,0)</f>
        <v>0</v>
      </c>
      <c r="G48" s="202">
        <f>$B48    *IF(OR('RR.HH.'!$H7="No",G$18),1,0)</f>
        <v>0</v>
      </c>
      <c r="H48" s="202">
        <f>$B48    *IF(OR('RR.HH.'!$H7="No",H$18),1,0)</f>
        <v>0</v>
      </c>
      <c r="I48" s="202">
        <f>$B48    *IF(OR('RR.HH.'!$H7="No",I$18),1,0)</f>
        <v>0</v>
      </c>
      <c r="J48" s="202">
        <f>$B48    *IF(OR('RR.HH.'!$H7="No",J$18),1,0)</f>
        <v>0</v>
      </c>
      <c r="K48" s="202">
        <f>$B48    *IF(OR('RR.HH.'!$H7="No",K$18),1,0)</f>
        <v>0</v>
      </c>
      <c r="L48" s="202">
        <f>$B48    *IF(OR('RR.HH.'!$H7="No",L$18),1,0)</f>
        <v>0</v>
      </c>
      <c r="M48" s="202">
        <f>$B48    *IF(OR('RR.HH.'!$H7="No",M$18),1,0)</f>
        <v>0</v>
      </c>
      <c r="N48" s="203">
        <f>$B48    *IF(OR('RR.HH.'!$H7="No",N$18),1,0)</f>
        <v>0</v>
      </c>
      <c r="O48" s="204">
        <f t="shared" si="9"/>
        <v>0</v>
      </c>
    </row>
    <row r="49" spans="1:15">
      <c r="A49" s="230" t="str">
        <v>Empregados</v>
      </c>
      <c r="B49" s="200">
        <v>0</v>
      </c>
      <c r="C49" s="201">
        <f>$B49    *IF(OR('RR.HH.'!$H8="No",C$18),1,0)</f>
        <v>0</v>
      </c>
      <c r="D49" s="202">
        <f>$B49    *IF(OR('RR.HH.'!$H8="No",D$18),1,0)</f>
        <v>0</v>
      </c>
      <c r="E49" s="202">
        <f>$B49    *IF(OR('RR.HH.'!$H8="No",E$18),1,0)</f>
        <v>0</v>
      </c>
      <c r="F49" s="202">
        <f>$B49    *IF(OR('RR.HH.'!$H8="No",F$18),1,0)</f>
        <v>0</v>
      </c>
      <c r="G49" s="202">
        <f>$B49    *IF(OR('RR.HH.'!$H8="No",G$18),1,0)</f>
        <v>0</v>
      </c>
      <c r="H49" s="202">
        <f>$B49    *IF(OR('RR.HH.'!$H8="No",H$18),1,0)</f>
        <v>0</v>
      </c>
      <c r="I49" s="202">
        <f>$B49    *IF(OR('RR.HH.'!$H8="No",I$18),1,0)</f>
        <v>0</v>
      </c>
      <c r="J49" s="202">
        <f>$B49    *IF(OR('RR.HH.'!$H8="No",J$18),1,0)</f>
        <v>0</v>
      </c>
      <c r="K49" s="202">
        <f>$B49    *IF(OR('RR.HH.'!$H8="No",K$18),1,0)</f>
        <v>0</v>
      </c>
      <c r="L49" s="202">
        <f>$B49    *IF(OR('RR.HH.'!$H8="No",L$18),1,0)</f>
        <v>0</v>
      </c>
      <c r="M49" s="202">
        <f>$B49    *IF(OR('RR.HH.'!$H8="No",M$18),1,0)</f>
        <v>0</v>
      </c>
      <c r="N49" s="203">
        <f>$B49    *IF(OR('RR.HH.'!$H8="No",N$18),1,0)</f>
        <v>0</v>
      </c>
      <c r="O49" s="204">
        <f t="shared" si="9"/>
        <v>0</v>
      </c>
    </row>
    <row r="50" spans="1:15">
      <c r="A50" s="230" t="str">
        <v/>
      </c>
      <c r="B50" s="200">
        <v>0</v>
      </c>
      <c r="C50" s="201">
        <f>$B50    *IF(OR('RR.HH.'!$H9="No",C$18),1,0)</f>
        <v>0</v>
      </c>
      <c r="D50" s="202">
        <f>$B50    *IF(OR('RR.HH.'!$H9="No",D$18),1,0)</f>
        <v>0</v>
      </c>
      <c r="E50" s="202">
        <f>$B50    *IF(OR('RR.HH.'!$H9="No",E$18),1,0)</f>
        <v>0</v>
      </c>
      <c r="F50" s="202">
        <f>$B50    *IF(OR('RR.HH.'!$H9="No",F$18),1,0)</f>
        <v>0</v>
      </c>
      <c r="G50" s="202">
        <f>$B50    *IF(OR('RR.HH.'!$H9="No",G$18),1,0)</f>
        <v>0</v>
      </c>
      <c r="H50" s="202">
        <f>$B50    *IF(OR('RR.HH.'!$H9="No",H$18),1,0)</f>
        <v>0</v>
      </c>
      <c r="I50" s="202">
        <f>$B50    *IF(OR('RR.HH.'!$H9="No",I$18),1,0)</f>
        <v>0</v>
      </c>
      <c r="J50" s="202">
        <f>$B50    *IF(OR('RR.HH.'!$H9="No",J$18),1,0)</f>
        <v>0</v>
      </c>
      <c r="K50" s="202">
        <f>$B50    *IF(OR('RR.HH.'!$H9="No",K$18),1,0)</f>
        <v>0</v>
      </c>
      <c r="L50" s="202">
        <f>$B50    *IF(OR('RR.HH.'!$H9="No",L$18),1,0)</f>
        <v>0</v>
      </c>
      <c r="M50" s="202">
        <f>$B50    *IF(OR('RR.HH.'!$H9="No",M$18),1,0)</f>
        <v>0</v>
      </c>
      <c r="N50" s="203">
        <f>$B50    *IF(OR('RR.HH.'!$H9="No",N$18),1,0)</f>
        <v>0</v>
      </c>
      <c r="O50" s="204">
        <f t="shared" si="9"/>
        <v>0</v>
      </c>
    </row>
    <row r="51" spans="1:15">
      <c r="A51" s="230" t="str">
        <v/>
      </c>
      <c r="B51" s="200">
        <v>0</v>
      </c>
      <c r="C51" s="201">
        <f>$B51    *IF(OR('RR.HH.'!$H10="No",C$18),1,0)</f>
        <v>0</v>
      </c>
      <c r="D51" s="202">
        <f>$B51    *IF(OR('RR.HH.'!$H10="No",D$18),1,0)</f>
        <v>0</v>
      </c>
      <c r="E51" s="202">
        <f>$B51    *IF(OR('RR.HH.'!$H10="No",E$18),1,0)</f>
        <v>0</v>
      </c>
      <c r="F51" s="202">
        <f>$B51    *IF(OR('RR.HH.'!$H10="No",F$18),1,0)</f>
        <v>0</v>
      </c>
      <c r="G51" s="202">
        <f>$B51    *IF(OR('RR.HH.'!$H10="No",G$18),1,0)</f>
        <v>0</v>
      </c>
      <c r="H51" s="202">
        <f>$B51    *IF(OR('RR.HH.'!$H10="No",H$18),1,0)</f>
        <v>0</v>
      </c>
      <c r="I51" s="202">
        <f>$B51    *IF(OR('RR.HH.'!$H10="No",I$18),1,0)</f>
        <v>0</v>
      </c>
      <c r="J51" s="202">
        <f>$B51    *IF(OR('RR.HH.'!$H10="No",J$18),1,0)</f>
        <v>0</v>
      </c>
      <c r="K51" s="202">
        <f>$B51    *IF(OR('RR.HH.'!$H10="No",K$18),1,0)</f>
        <v>0</v>
      </c>
      <c r="L51" s="202">
        <f>$B51    *IF(OR('RR.HH.'!$H10="No",L$18),1,0)</f>
        <v>0</v>
      </c>
      <c r="M51" s="202">
        <f>$B51    *IF(OR('RR.HH.'!$H10="No",M$18),1,0)</f>
        <v>0</v>
      </c>
      <c r="N51" s="203">
        <f>$B51    *IF(OR('RR.HH.'!$H10="No",N$18),1,0)</f>
        <v>0</v>
      </c>
      <c r="O51" s="204">
        <f t="shared" si="9"/>
        <v>0</v>
      </c>
    </row>
    <row r="52" spans="1:15">
      <c r="A52" s="230" t="str">
        <v/>
      </c>
      <c r="B52" s="200">
        <v>0</v>
      </c>
      <c r="C52" s="201">
        <f>$B52    *IF(OR('RR.HH.'!$H11="No",C$18),1,0)</f>
        <v>0</v>
      </c>
      <c r="D52" s="202">
        <f>$B52    *IF(OR('RR.HH.'!$H11="No",D$18),1,0)</f>
        <v>0</v>
      </c>
      <c r="E52" s="202">
        <f>$B52    *IF(OR('RR.HH.'!$H11="No",E$18),1,0)</f>
        <v>0</v>
      </c>
      <c r="F52" s="202">
        <f>$B52    *IF(OR('RR.HH.'!$H11="No",F$18),1,0)</f>
        <v>0</v>
      </c>
      <c r="G52" s="202">
        <f>$B52    *IF(OR('RR.HH.'!$H11="No",G$18),1,0)</f>
        <v>0</v>
      </c>
      <c r="H52" s="202">
        <f>$B52    *IF(OR('RR.HH.'!$H11="No",H$18),1,0)</f>
        <v>0</v>
      </c>
      <c r="I52" s="202">
        <f>$B52    *IF(OR('RR.HH.'!$H11="No",I$18),1,0)</f>
        <v>0</v>
      </c>
      <c r="J52" s="202">
        <f>$B52    *IF(OR('RR.HH.'!$H11="No",J$18),1,0)</f>
        <v>0</v>
      </c>
      <c r="K52" s="202">
        <f>$B52    *IF(OR('RR.HH.'!$H11="No",K$18),1,0)</f>
        <v>0</v>
      </c>
      <c r="L52" s="202">
        <f>$B52    *IF(OR('RR.HH.'!$H11="No",L$18),1,0)</f>
        <v>0</v>
      </c>
      <c r="M52" s="202">
        <f>$B52    *IF(OR('RR.HH.'!$H11="No",M$18),1,0)</f>
        <v>0</v>
      </c>
      <c r="N52" s="203">
        <f>$B52    *IF(OR('RR.HH.'!$H11="No",N$18),1,0)</f>
        <v>0</v>
      </c>
      <c r="O52" s="204">
        <f t="shared" si="9"/>
        <v>0</v>
      </c>
    </row>
    <row r="53" spans="1:15">
      <c r="A53" s="230" t="str">
        <v/>
      </c>
      <c r="B53" s="200">
        <v>0</v>
      </c>
      <c r="C53" s="201">
        <f>$B53    *IF(OR('RR.HH.'!$H12="No",C$18),1,0)</f>
        <v>0</v>
      </c>
      <c r="D53" s="202">
        <f>$B53    *IF(OR('RR.HH.'!$H12="No",D$18),1,0)</f>
        <v>0</v>
      </c>
      <c r="E53" s="202">
        <f>$B53    *IF(OR('RR.HH.'!$H12="No",E$18),1,0)</f>
        <v>0</v>
      </c>
      <c r="F53" s="202">
        <f>$B53    *IF(OR('RR.HH.'!$H12="No",F$18),1,0)</f>
        <v>0</v>
      </c>
      <c r="G53" s="202">
        <f>$B53    *IF(OR('RR.HH.'!$H12="No",G$18),1,0)</f>
        <v>0</v>
      </c>
      <c r="H53" s="202">
        <f>$B53    *IF(OR('RR.HH.'!$H12="No",H$18),1,0)</f>
        <v>0</v>
      </c>
      <c r="I53" s="202">
        <f>$B53    *IF(OR('RR.HH.'!$H12="No",I$18),1,0)</f>
        <v>0</v>
      </c>
      <c r="J53" s="202">
        <f>$B53    *IF(OR('RR.HH.'!$H12="No",J$18),1,0)</f>
        <v>0</v>
      </c>
      <c r="K53" s="202">
        <f>$B53    *IF(OR('RR.HH.'!$H12="No",K$18),1,0)</f>
        <v>0</v>
      </c>
      <c r="L53" s="202">
        <f>$B53    *IF(OR('RR.HH.'!$H12="No",L$18),1,0)</f>
        <v>0</v>
      </c>
      <c r="M53" s="202">
        <f>$B53    *IF(OR('RR.HH.'!$H12="No",M$18),1,0)</f>
        <v>0</v>
      </c>
      <c r="N53" s="203">
        <f>$B53    *IF(OR('RR.HH.'!$H12="No",N$18),1,0)</f>
        <v>0</v>
      </c>
      <c r="O53" s="204">
        <f t="shared" si="9"/>
        <v>0</v>
      </c>
    </row>
    <row r="54" spans="1:15" ht="15.75" thickBot="1">
      <c r="A54" s="230" t="str">
        <v/>
      </c>
      <c r="B54" s="200">
        <v>0</v>
      </c>
      <c r="C54" s="201">
        <f>$B54    *IF(OR('RR.HH.'!$H13="No",C$18),1,0)</f>
        <v>0</v>
      </c>
      <c r="D54" s="202">
        <f>$B54    *IF(OR('RR.HH.'!$H13="No",D$18),1,0)</f>
        <v>0</v>
      </c>
      <c r="E54" s="202">
        <f>$B54    *IF(OR('RR.HH.'!$H13="No",E$18),1,0)</f>
        <v>0</v>
      </c>
      <c r="F54" s="202">
        <f>$B54    *IF(OR('RR.HH.'!$H13="No",F$18),1,0)</f>
        <v>0</v>
      </c>
      <c r="G54" s="202">
        <f>$B54    *IF(OR('RR.HH.'!$H13="No",G$18),1,0)</f>
        <v>0</v>
      </c>
      <c r="H54" s="202">
        <f>$B54    *IF(OR('RR.HH.'!$H13="No",H$18),1,0)</f>
        <v>0</v>
      </c>
      <c r="I54" s="202">
        <f>$B54    *IF(OR('RR.HH.'!$H13="No",I$18),1,0)</f>
        <v>0</v>
      </c>
      <c r="J54" s="202">
        <f>$B54    *IF(OR('RR.HH.'!$H13="No",J$18),1,0)</f>
        <v>0</v>
      </c>
      <c r="K54" s="202">
        <f>$B54    *IF(OR('RR.HH.'!$H13="No",K$18),1,0)</f>
        <v>0</v>
      </c>
      <c r="L54" s="202">
        <f>$B54    *IF(OR('RR.HH.'!$H13="No",L$18),1,0)</f>
        <v>0</v>
      </c>
      <c r="M54" s="202">
        <f>$B54    *IF(OR('RR.HH.'!$H13="No",M$18),1,0)</f>
        <v>0</v>
      </c>
      <c r="N54" s="203">
        <f>$B54    *IF(OR('RR.HH.'!$H13="No",N$18),1,0)</f>
        <v>0</v>
      </c>
      <c r="O54" s="204">
        <f t="shared" si="9"/>
        <v>0</v>
      </c>
    </row>
    <row r="55" spans="1:15" ht="15.75" thickBot="1">
      <c r="A55" s="2463" t="str">
        <f>A$17</f>
        <v>Total Quadro</v>
      </c>
      <c r="B55" s="58">
        <f t="shared" ref="B55:N55" si="10">SUM(B47:B54)</f>
        <v>1</v>
      </c>
      <c r="C55" s="205">
        <f t="shared" si="10"/>
        <v>1</v>
      </c>
      <c r="D55" s="206">
        <f t="shared" si="10"/>
        <v>1</v>
      </c>
      <c r="E55" s="206">
        <f t="shared" si="10"/>
        <v>1</v>
      </c>
      <c r="F55" s="206">
        <f t="shared" si="10"/>
        <v>1</v>
      </c>
      <c r="G55" s="206">
        <f t="shared" si="10"/>
        <v>1</v>
      </c>
      <c r="H55" s="206">
        <f t="shared" si="10"/>
        <v>1</v>
      </c>
      <c r="I55" s="206">
        <f t="shared" si="10"/>
        <v>1</v>
      </c>
      <c r="J55" s="206">
        <f t="shared" si="10"/>
        <v>1</v>
      </c>
      <c r="K55" s="206">
        <f t="shared" si="10"/>
        <v>1</v>
      </c>
      <c r="L55" s="206">
        <f t="shared" si="10"/>
        <v>1</v>
      </c>
      <c r="M55" s="206">
        <f t="shared" si="10"/>
        <v>1</v>
      </c>
      <c r="N55" s="207">
        <f t="shared" si="10"/>
        <v>1</v>
      </c>
      <c r="O55" s="208">
        <f t="shared" si="9"/>
        <v>1</v>
      </c>
    </row>
    <row r="56" spans="1:15" ht="15.75" thickBot="1"/>
    <row r="57" spans="1:15" s="228" customFormat="1" ht="15.75" thickBot="1">
      <c r="A57" s="233" t="str">
        <f t="array" ref="A57:A61">A$19:A$23</f>
        <v>Altas e Baixas de pessoal</v>
      </c>
      <c r="B57" s="234"/>
      <c r="C57" s="235" t="str">
        <f t="array" ref="C57:N57">meses</f>
        <v>janeiro</v>
      </c>
      <c r="D57" s="236" t="str">
        <v>fevereiro</v>
      </c>
      <c r="E57" s="236" t="str">
        <v>março</v>
      </c>
      <c r="F57" s="236" t="str">
        <v>abril</v>
      </c>
      <c r="G57" s="236" t="str">
        <v>maio</v>
      </c>
      <c r="H57" s="236" t="str">
        <v>junho</v>
      </c>
      <c r="I57" s="236" t="str">
        <v>julho</v>
      </c>
      <c r="J57" s="236" t="str">
        <v>agosto</v>
      </c>
      <c r="K57" s="236" t="str">
        <v>setembro</v>
      </c>
      <c r="L57" s="236" t="str">
        <v>outubro</v>
      </c>
      <c r="M57" s="236" t="str">
        <v>novembro</v>
      </c>
      <c r="N57" s="237" t="str">
        <v>dezembro</v>
      </c>
      <c r="O57" s="238" t="s">
        <v>3</v>
      </c>
    </row>
    <row r="58" spans="1:15">
      <c r="A58" s="231" t="str">
        <v>nº socios R.E.T.A. (altas e baixas)</v>
      </c>
      <c r="B58" s="209"/>
      <c r="C58" s="210">
        <f>ABS(C47+C48-N28-N29)</f>
        <v>0</v>
      </c>
      <c r="D58" s="211">
        <f t="shared" ref="D58:N58" si="11">ABS(D47+D48-C47-C48)</f>
        <v>0</v>
      </c>
      <c r="E58" s="211">
        <f t="shared" si="11"/>
        <v>0</v>
      </c>
      <c r="F58" s="211">
        <f t="shared" si="11"/>
        <v>0</v>
      </c>
      <c r="G58" s="211">
        <f t="shared" si="11"/>
        <v>0</v>
      </c>
      <c r="H58" s="211">
        <f t="shared" si="11"/>
        <v>0</v>
      </c>
      <c r="I58" s="211">
        <f t="shared" si="11"/>
        <v>0</v>
      </c>
      <c r="J58" s="211">
        <f t="shared" si="11"/>
        <v>0</v>
      </c>
      <c r="K58" s="211">
        <f t="shared" si="11"/>
        <v>0</v>
      </c>
      <c r="L58" s="211">
        <f t="shared" si="11"/>
        <v>0</v>
      </c>
      <c r="M58" s="211">
        <f t="shared" si="11"/>
        <v>0</v>
      </c>
      <c r="N58" s="212">
        <f t="shared" si="11"/>
        <v>0</v>
      </c>
      <c r="O58" s="213">
        <f>SUM(C58:N58)</f>
        <v>0</v>
      </c>
    </row>
    <row r="59" spans="1:15" ht="15.75" thickBot="1">
      <c r="A59" s="232" t="str">
        <v>altas/baixas de trabalhadores</v>
      </c>
      <c r="B59" s="215"/>
      <c r="C59" s="216">
        <f>ABS(SUM(C49:C54)-SUM(N30:N35))</f>
        <v>0</v>
      </c>
      <c r="D59" s="217">
        <f t="shared" ref="D59:N59" si="12">ABS(SUM(D49:D54)-SUM(C49:C54))</f>
        <v>0</v>
      </c>
      <c r="E59" s="217">
        <f t="shared" si="12"/>
        <v>0</v>
      </c>
      <c r="F59" s="217">
        <f t="shared" si="12"/>
        <v>0</v>
      </c>
      <c r="G59" s="217">
        <f t="shared" si="12"/>
        <v>0</v>
      </c>
      <c r="H59" s="217">
        <f t="shared" si="12"/>
        <v>0</v>
      </c>
      <c r="I59" s="217">
        <f t="shared" si="12"/>
        <v>0</v>
      </c>
      <c r="J59" s="217">
        <f t="shared" si="12"/>
        <v>0</v>
      </c>
      <c r="K59" s="217">
        <f t="shared" si="12"/>
        <v>0</v>
      </c>
      <c r="L59" s="217">
        <f t="shared" si="12"/>
        <v>0</v>
      </c>
      <c r="M59" s="217">
        <f t="shared" si="12"/>
        <v>0</v>
      </c>
      <c r="N59" s="218">
        <f t="shared" si="12"/>
        <v>0</v>
      </c>
      <c r="O59" s="219">
        <f>SUM(C59:N59)</f>
        <v>0</v>
      </c>
    </row>
    <row r="60" spans="1:15" ht="6.75" customHeight="1" thickBot="1">
      <c r="A60" s="2303">
        <v>0</v>
      </c>
    </row>
    <row r="61" spans="1:15" ht="15.75" thickBot="1">
      <c r="A61" s="548" t="str">
        <v>nº sócios para o IRPF</v>
      </c>
      <c r="B61" s="390"/>
      <c r="C61" s="549">
        <f t="array" ref="C61:N61">C47:N47+C48:N48</f>
        <v>1</v>
      </c>
      <c r="D61" s="550">
        <v>1</v>
      </c>
      <c r="E61" s="550">
        <v>1</v>
      </c>
      <c r="F61" s="550">
        <v>1</v>
      </c>
      <c r="G61" s="550">
        <v>1</v>
      </c>
      <c r="H61" s="550">
        <v>1</v>
      </c>
      <c r="I61" s="550">
        <v>1</v>
      </c>
      <c r="J61" s="550">
        <v>1</v>
      </c>
      <c r="K61" s="550">
        <v>1</v>
      </c>
      <c r="L61" s="550">
        <v>1</v>
      </c>
      <c r="M61" s="550">
        <v>1</v>
      </c>
      <c r="N61" s="551">
        <v>1</v>
      </c>
      <c r="O61" s="547">
        <f>MAX(B61:N61)</f>
        <v>1</v>
      </c>
    </row>
    <row r="63" spans="1:15" s="553" customFormat="1" ht="19.5">
      <c r="A63" s="406" t="str">
        <f>A$6</f>
        <v>Recursos Humanos da empresa</v>
      </c>
      <c r="B63" s="406"/>
      <c r="C63" s="406"/>
      <c r="D63" s="406"/>
      <c r="E63" s="244" t="str">
        <f>Parametros!E$77</f>
        <v>Ano 3:  2029</v>
      </c>
      <c r="F63" s="552"/>
    </row>
    <row r="64" spans="1:15" ht="6.75" customHeight="1" thickBot="1">
      <c r="A64" s="220"/>
    </row>
    <row r="65" spans="1:15" s="228" customFormat="1" ht="21.75" customHeight="1" thickBot="1">
      <c r="A65" s="222" t="str">
        <f>A$8</f>
        <v>Quadro por meses</v>
      </c>
      <c r="B65" s="223" t="s">
        <v>19</v>
      </c>
      <c r="C65" s="224" t="str">
        <f t="array" ref="C65:N65">meses</f>
        <v>janeiro</v>
      </c>
      <c r="D65" s="225" t="str">
        <v>fevereiro</v>
      </c>
      <c r="E65" s="225" t="str">
        <v>março</v>
      </c>
      <c r="F65" s="225" t="str">
        <v>abril</v>
      </c>
      <c r="G65" s="225" t="str">
        <v>maio</v>
      </c>
      <c r="H65" s="225" t="str">
        <v>junho</v>
      </c>
      <c r="I65" s="225" t="str">
        <v>julho</v>
      </c>
      <c r="J65" s="225" t="str">
        <v>agosto</v>
      </c>
      <c r="K65" s="225" t="str">
        <v>setembro</v>
      </c>
      <c r="L65" s="225" t="str">
        <v>outubro</v>
      </c>
      <c r="M65" s="225" t="str">
        <v>novembro</v>
      </c>
      <c r="N65" s="226" t="str">
        <v>dezembro</v>
      </c>
      <c r="O65" s="227" t="s">
        <v>725</v>
      </c>
    </row>
    <row r="66" spans="1:15">
      <c r="A66" s="229" t="str">
        <f t="array" ref="A66:A73">catlaborales</f>
        <v>Emprsários em nome individual</v>
      </c>
      <c r="B66" s="195">
        <f t="array" ref="B66:B73">'RR.HH.'!E6:E13</f>
        <v>1</v>
      </c>
      <c r="C66" s="196">
        <f>$B66    *IF(OR('RR.HH.'!$H6="No",C$18),1,0)</f>
        <v>1</v>
      </c>
      <c r="D66" s="197">
        <f>$B66    *IF(OR('RR.HH.'!$H6="No",D$18),1,0)</f>
        <v>1</v>
      </c>
      <c r="E66" s="197">
        <f>$B66    *IF(OR('RR.HH.'!$H6="No",E$18),1,0)</f>
        <v>1</v>
      </c>
      <c r="F66" s="197">
        <f>$B66    *IF(OR('RR.HH.'!$H6="No",F$18),1,0)</f>
        <v>1</v>
      </c>
      <c r="G66" s="197">
        <f>$B66    *IF(OR('RR.HH.'!$H6="No",G$18),1,0)</f>
        <v>1</v>
      </c>
      <c r="H66" s="197">
        <f>$B66    *IF(OR('RR.HH.'!$H6="No",H$18),1,0)</f>
        <v>1</v>
      </c>
      <c r="I66" s="197">
        <f>$B66    *IF(OR('RR.HH.'!$H6="No",I$18),1,0)</f>
        <v>1</v>
      </c>
      <c r="J66" s="197">
        <f>$B66    *IF(OR('RR.HH.'!$H6="No",J$18),1,0)</f>
        <v>1</v>
      </c>
      <c r="K66" s="197">
        <f>$B66    *IF(OR('RR.HH.'!$H6="No",K$18),1,0)</f>
        <v>1</v>
      </c>
      <c r="L66" s="197">
        <f>$B66    *IF(OR('RR.HH.'!$H6="No",L$18),1,0)</f>
        <v>1</v>
      </c>
      <c r="M66" s="197">
        <f>$B66    *IF(OR('RR.HH.'!$H6="No",M$18),1,0)</f>
        <v>1</v>
      </c>
      <c r="N66" s="198">
        <f>$B66    *IF(OR('RR.HH.'!$H6="No",N$18),1,0)</f>
        <v>1</v>
      </c>
      <c r="O66" s="199">
        <f t="shared" ref="O66:O74" si="13">AVERAGE(C66:N66)</f>
        <v>1</v>
      </c>
    </row>
    <row r="67" spans="1:15">
      <c r="A67" s="230" t="str">
        <v>Outros trab. Independentes</v>
      </c>
      <c r="B67" s="200">
        <v>0</v>
      </c>
      <c r="C67" s="201">
        <f>$B67    *IF(OR('RR.HH.'!$H7="No",C$18),1,0)</f>
        <v>0</v>
      </c>
      <c r="D67" s="202">
        <f>$B67    *IF(OR('RR.HH.'!$H7="No",D$18),1,0)</f>
        <v>0</v>
      </c>
      <c r="E67" s="202">
        <f>$B67    *IF(OR('RR.HH.'!$H7="No",E$18),1,0)</f>
        <v>0</v>
      </c>
      <c r="F67" s="202">
        <f>$B67    *IF(OR('RR.HH.'!$H7="No",F$18),1,0)</f>
        <v>0</v>
      </c>
      <c r="G67" s="202">
        <f>$B67    *IF(OR('RR.HH.'!$H7="No",G$18),1,0)</f>
        <v>0</v>
      </c>
      <c r="H67" s="202">
        <f>$B67    *IF(OR('RR.HH.'!$H7="No",H$18),1,0)</f>
        <v>0</v>
      </c>
      <c r="I67" s="202">
        <f>$B67    *IF(OR('RR.HH.'!$H7="No",I$18),1,0)</f>
        <v>0</v>
      </c>
      <c r="J67" s="202">
        <f>$B67    *IF(OR('RR.HH.'!$H7="No",J$18),1,0)</f>
        <v>0</v>
      </c>
      <c r="K67" s="202">
        <f>$B67    *IF(OR('RR.HH.'!$H7="No",K$18),1,0)</f>
        <v>0</v>
      </c>
      <c r="L67" s="202">
        <f>$B67    *IF(OR('RR.HH.'!$H7="No",L$18),1,0)</f>
        <v>0</v>
      </c>
      <c r="M67" s="202">
        <f>$B67    *IF(OR('RR.HH.'!$H7="No",M$18),1,0)</f>
        <v>0</v>
      </c>
      <c r="N67" s="203">
        <f>$B67    *IF(OR('RR.HH.'!$H7="No",N$18),1,0)</f>
        <v>0</v>
      </c>
      <c r="O67" s="204">
        <f t="shared" si="13"/>
        <v>0</v>
      </c>
    </row>
    <row r="68" spans="1:15">
      <c r="A68" s="230" t="str">
        <v>Empregados</v>
      </c>
      <c r="B68" s="200">
        <v>0</v>
      </c>
      <c r="C68" s="201">
        <f>$B68    *IF(OR('RR.HH.'!$H8="No",C$18),1,0)</f>
        <v>0</v>
      </c>
      <c r="D68" s="202">
        <f>$B68    *IF(OR('RR.HH.'!$H8="No",D$18),1,0)</f>
        <v>0</v>
      </c>
      <c r="E68" s="202">
        <f>$B68    *IF(OR('RR.HH.'!$H8="No",E$18),1,0)</f>
        <v>0</v>
      </c>
      <c r="F68" s="202">
        <f>$B68    *IF(OR('RR.HH.'!$H8="No",F$18),1,0)</f>
        <v>0</v>
      </c>
      <c r="G68" s="202">
        <f>$B68    *IF(OR('RR.HH.'!$H8="No",G$18),1,0)</f>
        <v>0</v>
      </c>
      <c r="H68" s="202">
        <f>$B68    *IF(OR('RR.HH.'!$H8="No",H$18),1,0)</f>
        <v>0</v>
      </c>
      <c r="I68" s="202">
        <f>$B68    *IF(OR('RR.HH.'!$H8="No",I$18),1,0)</f>
        <v>0</v>
      </c>
      <c r="J68" s="202">
        <f>$B68    *IF(OR('RR.HH.'!$H8="No",J$18),1,0)</f>
        <v>0</v>
      </c>
      <c r="K68" s="202">
        <f>$B68    *IF(OR('RR.HH.'!$H8="No",K$18),1,0)</f>
        <v>0</v>
      </c>
      <c r="L68" s="202">
        <f>$B68    *IF(OR('RR.HH.'!$H8="No",L$18),1,0)</f>
        <v>0</v>
      </c>
      <c r="M68" s="202">
        <f>$B68    *IF(OR('RR.HH.'!$H8="No",M$18),1,0)</f>
        <v>0</v>
      </c>
      <c r="N68" s="203">
        <f>$B68    *IF(OR('RR.HH.'!$H8="No",N$18),1,0)</f>
        <v>0</v>
      </c>
      <c r="O68" s="204">
        <f t="shared" si="13"/>
        <v>0</v>
      </c>
    </row>
    <row r="69" spans="1:15">
      <c r="A69" s="230" t="str">
        <v/>
      </c>
      <c r="B69" s="200">
        <v>0</v>
      </c>
      <c r="C69" s="201">
        <f>$B69    *IF(OR('RR.HH.'!$H9="No",C$18),1,0)</f>
        <v>0</v>
      </c>
      <c r="D69" s="202">
        <f>$B69    *IF(OR('RR.HH.'!$H9="No",D$18),1,0)</f>
        <v>0</v>
      </c>
      <c r="E69" s="202">
        <f>$B69    *IF(OR('RR.HH.'!$H9="No",E$18),1,0)</f>
        <v>0</v>
      </c>
      <c r="F69" s="202">
        <f>$B69    *IF(OR('RR.HH.'!$H9="No",F$18),1,0)</f>
        <v>0</v>
      </c>
      <c r="G69" s="202">
        <f>$B69    *IF(OR('RR.HH.'!$H9="No",G$18),1,0)</f>
        <v>0</v>
      </c>
      <c r="H69" s="202">
        <f>$B69    *IF(OR('RR.HH.'!$H9="No",H$18),1,0)</f>
        <v>0</v>
      </c>
      <c r="I69" s="202">
        <f>$B69    *IF(OR('RR.HH.'!$H9="No",I$18),1,0)</f>
        <v>0</v>
      </c>
      <c r="J69" s="202">
        <f>$B69    *IF(OR('RR.HH.'!$H9="No",J$18),1,0)</f>
        <v>0</v>
      </c>
      <c r="K69" s="202">
        <f>$B69    *IF(OR('RR.HH.'!$H9="No",K$18),1,0)</f>
        <v>0</v>
      </c>
      <c r="L69" s="202">
        <f>$B69    *IF(OR('RR.HH.'!$H9="No",L$18),1,0)</f>
        <v>0</v>
      </c>
      <c r="M69" s="202">
        <f>$B69    *IF(OR('RR.HH.'!$H9="No",M$18),1,0)</f>
        <v>0</v>
      </c>
      <c r="N69" s="203">
        <f>$B69    *IF(OR('RR.HH.'!$H9="No",N$18),1,0)</f>
        <v>0</v>
      </c>
      <c r="O69" s="204">
        <f t="shared" si="13"/>
        <v>0</v>
      </c>
    </row>
    <row r="70" spans="1:15">
      <c r="A70" s="230" t="str">
        <v/>
      </c>
      <c r="B70" s="200">
        <v>0</v>
      </c>
      <c r="C70" s="201">
        <f>$B70    *IF(OR('RR.HH.'!$H10="No",C$18),1,0)</f>
        <v>0</v>
      </c>
      <c r="D70" s="202">
        <f>$B70    *IF(OR('RR.HH.'!$H10="No",D$18),1,0)</f>
        <v>0</v>
      </c>
      <c r="E70" s="202">
        <f>$B70    *IF(OR('RR.HH.'!$H10="No",E$18),1,0)</f>
        <v>0</v>
      </c>
      <c r="F70" s="202">
        <f>$B70    *IF(OR('RR.HH.'!$H10="No",F$18),1,0)</f>
        <v>0</v>
      </c>
      <c r="G70" s="202">
        <f>$B70    *IF(OR('RR.HH.'!$H10="No",G$18),1,0)</f>
        <v>0</v>
      </c>
      <c r="H70" s="202">
        <f>$B70    *IF(OR('RR.HH.'!$H10="No",H$18),1,0)</f>
        <v>0</v>
      </c>
      <c r="I70" s="202">
        <f>$B70    *IF(OR('RR.HH.'!$H10="No",I$18),1,0)</f>
        <v>0</v>
      </c>
      <c r="J70" s="202">
        <f>$B70    *IF(OR('RR.HH.'!$H10="No",J$18),1,0)</f>
        <v>0</v>
      </c>
      <c r="K70" s="202">
        <f>$B70    *IF(OR('RR.HH.'!$H10="No",K$18),1,0)</f>
        <v>0</v>
      </c>
      <c r="L70" s="202">
        <f>$B70    *IF(OR('RR.HH.'!$H10="No",L$18),1,0)</f>
        <v>0</v>
      </c>
      <c r="M70" s="202">
        <f>$B70    *IF(OR('RR.HH.'!$H10="No",M$18),1,0)</f>
        <v>0</v>
      </c>
      <c r="N70" s="203">
        <f>$B70    *IF(OR('RR.HH.'!$H10="No",N$18),1,0)</f>
        <v>0</v>
      </c>
      <c r="O70" s="204">
        <f t="shared" si="13"/>
        <v>0</v>
      </c>
    </row>
    <row r="71" spans="1:15">
      <c r="A71" s="230" t="str">
        <v/>
      </c>
      <c r="B71" s="200">
        <v>0</v>
      </c>
      <c r="C71" s="201">
        <f>$B71    *IF(OR('RR.HH.'!$H11="No",C$18),1,0)</f>
        <v>0</v>
      </c>
      <c r="D71" s="202">
        <f>$B71    *IF(OR('RR.HH.'!$H11="No",D$18),1,0)</f>
        <v>0</v>
      </c>
      <c r="E71" s="202">
        <f>$B71    *IF(OR('RR.HH.'!$H11="No",E$18),1,0)</f>
        <v>0</v>
      </c>
      <c r="F71" s="202">
        <f>$B71    *IF(OR('RR.HH.'!$H11="No",F$18),1,0)</f>
        <v>0</v>
      </c>
      <c r="G71" s="202">
        <f>$B71    *IF(OR('RR.HH.'!$H11="No",G$18),1,0)</f>
        <v>0</v>
      </c>
      <c r="H71" s="202">
        <f>$B71    *IF(OR('RR.HH.'!$H11="No",H$18),1,0)</f>
        <v>0</v>
      </c>
      <c r="I71" s="202">
        <f>$B71    *IF(OR('RR.HH.'!$H11="No",I$18),1,0)</f>
        <v>0</v>
      </c>
      <c r="J71" s="202">
        <f>$B71    *IF(OR('RR.HH.'!$H11="No",J$18),1,0)</f>
        <v>0</v>
      </c>
      <c r="K71" s="202">
        <f>$B71    *IF(OR('RR.HH.'!$H11="No",K$18),1,0)</f>
        <v>0</v>
      </c>
      <c r="L71" s="202">
        <f>$B71    *IF(OR('RR.HH.'!$H11="No",L$18),1,0)</f>
        <v>0</v>
      </c>
      <c r="M71" s="202">
        <f>$B71    *IF(OR('RR.HH.'!$H11="No",M$18),1,0)</f>
        <v>0</v>
      </c>
      <c r="N71" s="203">
        <f>$B71    *IF(OR('RR.HH.'!$H11="No",N$18),1,0)</f>
        <v>0</v>
      </c>
      <c r="O71" s="204">
        <f t="shared" si="13"/>
        <v>0</v>
      </c>
    </row>
    <row r="72" spans="1:15">
      <c r="A72" s="230" t="str">
        <v/>
      </c>
      <c r="B72" s="200">
        <v>0</v>
      </c>
      <c r="C72" s="201">
        <f>$B72    *IF(OR('RR.HH.'!$H12="No",C$18),1,0)</f>
        <v>0</v>
      </c>
      <c r="D72" s="202">
        <f>$B72    *IF(OR('RR.HH.'!$H12="No",D$18),1,0)</f>
        <v>0</v>
      </c>
      <c r="E72" s="202">
        <f>$B72    *IF(OR('RR.HH.'!$H12="No",E$18),1,0)</f>
        <v>0</v>
      </c>
      <c r="F72" s="202">
        <f>$B72    *IF(OR('RR.HH.'!$H12="No",F$18),1,0)</f>
        <v>0</v>
      </c>
      <c r="G72" s="202">
        <f>$B72    *IF(OR('RR.HH.'!$H12="No",G$18),1,0)</f>
        <v>0</v>
      </c>
      <c r="H72" s="202">
        <f>$B72    *IF(OR('RR.HH.'!$H12="No",H$18),1,0)</f>
        <v>0</v>
      </c>
      <c r="I72" s="202">
        <f>$B72    *IF(OR('RR.HH.'!$H12="No",I$18),1,0)</f>
        <v>0</v>
      </c>
      <c r="J72" s="202">
        <f>$B72    *IF(OR('RR.HH.'!$H12="No",J$18),1,0)</f>
        <v>0</v>
      </c>
      <c r="K72" s="202">
        <f>$B72    *IF(OR('RR.HH.'!$H12="No",K$18),1,0)</f>
        <v>0</v>
      </c>
      <c r="L72" s="202">
        <f>$B72    *IF(OR('RR.HH.'!$H12="No",L$18),1,0)</f>
        <v>0</v>
      </c>
      <c r="M72" s="202">
        <f>$B72    *IF(OR('RR.HH.'!$H12="No",M$18),1,0)</f>
        <v>0</v>
      </c>
      <c r="N72" s="203">
        <f>$B72    *IF(OR('RR.HH.'!$H12="No",N$18),1,0)</f>
        <v>0</v>
      </c>
      <c r="O72" s="204">
        <f t="shared" si="13"/>
        <v>0</v>
      </c>
    </row>
    <row r="73" spans="1:15" ht="15.75" thickBot="1">
      <c r="A73" s="230" t="str">
        <v/>
      </c>
      <c r="B73" s="200">
        <v>0</v>
      </c>
      <c r="C73" s="201">
        <f>$B73    *IF(OR('RR.HH.'!$H13="No",C$18),1,0)</f>
        <v>0</v>
      </c>
      <c r="D73" s="202">
        <f>$B73    *IF(OR('RR.HH.'!$H13="No",D$18),1,0)</f>
        <v>0</v>
      </c>
      <c r="E73" s="202">
        <f>$B73    *IF(OR('RR.HH.'!$H13="No",E$18),1,0)</f>
        <v>0</v>
      </c>
      <c r="F73" s="202">
        <f>$B73    *IF(OR('RR.HH.'!$H13="No",F$18),1,0)</f>
        <v>0</v>
      </c>
      <c r="G73" s="202">
        <f>$B73    *IF(OR('RR.HH.'!$H13="No",G$18),1,0)</f>
        <v>0</v>
      </c>
      <c r="H73" s="202">
        <f>$B73    *IF(OR('RR.HH.'!$H13="No",H$18),1,0)</f>
        <v>0</v>
      </c>
      <c r="I73" s="202">
        <f>$B73    *IF(OR('RR.HH.'!$H13="No",I$18),1,0)</f>
        <v>0</v>
      </c>
      <c r="J73" s="202">
        <f>$B73    *IF(OR('RR.HH.'!$H13="No",J$18),1,0)</f>
        <v>0</v>
      </c>
      <c r="K73" s="202">
        <f>$B73    *IF(OR('RR.HH.'!$H13="No",K$18),1,0)</f>
        <v>0</v>
      </c>
      <c r="L73" s="202">
        <f>$B73    *IF(OR('RR.HH.'!$H13="No",L$18),1,0)</f>
        <v>0</v>
      </c>
      <c r="M73" s="202">
        <f>$B73    *IF(OR('RR.HH.'!$H13="No",M$18),1,0)</f>
        <v>0</v>
      </c>
      <c r="N73" s="203">
        <f>$B73    *IF(OR('RR.HH.'!$H13="No",N$18),1,0)</f>
        <v>0</v>
      </c>
      <c r="O73" s="204">
        <f t="shared" si="13"/>
        <v>0</v>
      </c>
    </row>
    <row r="74" spans="1:15" ht="15.75" thickBot="1">
      <c r="A74" s="2463" t="str">
        <f>A$17</f>
        <v>Total Quadro</v>
      </c>
      <c r="B74" s="58">
        <f t="shared" ref="B74:N74" si="14">SUM(B66:B73)</f>
        <v>1</v>
      </c>
      <c r="C74" s="205">
        <f t="shared" si="14"/>
        <v>1</v>
      </c>
      <c r="D74" s="206">
        <f t="shared" si="14"/>
        <v>1</v>
      </c>
      <c r="E74" s="206">
        <f t="shared" si="14"/>
        <v>1</v>
      </c>
      <c r="F74" s="206">
        <f t="shared" si="14"/>
        <v>1</v>
      </c>
      <c r="G74" s="206">
        <f t="shared" si="14"/>
        <v>1</v>
      </c>
      <c r="H74" s="206">
        <f t="shared" si="14"/>
        <v>1</v>
      </c>
      <c r="I74" s="206">
        <f t="shared" si="14"/>
        <v>1</v>
      </c>
      <c r="J74" s="206">
        <f t="shared" si="14"/>
        <v>1</v>
      </c>
      <c r="K74" s="206">
        <f t="shared" si="14"/>
        <v>1</v>
      </c>
      <c r="L74" s="206">
        <f t="shared" si="14"/>
        <v>1</v>
      </c>
      <c r="M74" s="206">
        <f t="shared" si="14"/>
        <v>1</v>
      </c>
      <c r="N74" s="207">
        <f t="shared" si="14"/>
        <v>1</v>
      </c>
      <c r="O74" s="208">
        <f t="shared" si="13"/>
        <v>1</v>
      </c>
    </row>
    <row r="75" spans="1:15" ht="15.75" thickBot="1"/>
    <row r="76" spans="1:15" s="228" customFormat="1" ht="15.75" thickBot="1">
      <c r="A76" s="233" t="str">
        <f t="array" ref="A76:A80">A$19:A$23</f>
        <v>Altas e Baixas de pessoal</v>
      </c>
      <c r="B76" s="234"/>
      <c r="C76" s="235" t="str">
        <f t="array" ref="C76:N76">meses</f>
        <v>janeiro</v>
      </c>
      <c r="D76" s="236" t="str">
        <v>fevereiro</v>
      </c>
      <c r="E76" s="236" t="str">
        <v>março</v>
      </c>
      <c r="F76" s="236" t="str">
        <v>abril</v>
      </c>
      <c r="G76" s="236" t="str">
        <v>maio</v>
      </c>
      <c r="H76" s="236" t="str">
        <v>junho</v>
      </c>
      <c r="I76" s="236" t="str">
        <v>julho</v>
      </c>
      <c r="J76" s="236" t="str">
        <v>agosto</v>
      </c>
      <c r="K76" s="236" t="str">
        <v>setembro</v>
      </c>
      <c r="L76" s="236" t="str">
        <v>outubro</v>
      </c>
      <c r="M76" s="236" t="str">
        <v>novembro</v>
      </c>
      <c r="N76" s="237" t="str">
        <v>dezembro</v>
      </c>
      <c r="O76" s="238" t="s">
        <v>3</v>
      </c>
    </row>
    <row r="77" spans="1:15">
      <c r="A77" s="231" t="str">
        <v>nº socios R.E.T.A. (altas e baixas)</v>
      </c>
      <c r="B77" s="209"/>
      <c r="C77" s="210">
        <f>ABS(C66+C67-N47-N48)</f>
        <v>0</v>
      </c>
      <c r="D77" s="211">
        <f t="shared" ref="D77:N77" si="15">ABS(D66+D67-C66-C67)</f>
        <v>0</v>
      </c>
      <c r="E77" s="211">
        <f t="shared" si="15"/>
        <v>0</v>
      </c>
      <c r="F77" s="211">
        <f t="shared" si="15"/>
        <v>0</v>
      </c>
      <c r="G77" s="211">
        <f t="shared" si="15"/>
        <v>0</v>
      </c>
      <c r="H77" s="211">
        <f t="shared" si="15"/>
        <v>0</v>
      </c>
      <c r="I77" s="211">
        <f t="shared" si="15"/>
        <v>0</v>
      </c>
      <c r="J77" s="211">
        <f t="shared" si="15"/>
        <v>0</v>
      </c>
      <c r="K77" s="211">
        <f t="shared" si="15"/>
        <v>0</v>
      </c>
      <c r="L77" s="211">
        <f t="shared" si="15"/>
        <v>0</v>
      </c>
      <c r="M77" s="211">
        <f t="shared" si="15"/>
        <v>0</v>
      </c>
      <c r="N77" s="212">
        <f t="shared" si="15"/>
        <v>0</v>
      </c>
      <c r="O77" s="213">
        <f>SUM(C77:N77)</f>
        <v>0</v>
      </c>
    </row>
    <row r="78" spans="1:15" ht="15.75" thickBot="1">
      <c r="A78" s="232" t="str">
        <v>altas/baixas de trabalhadores</v>
      </c>
      <c r="B78" s="215"/>
      <c r="C78" s="216">
        <f>ABS(SUM(C68:C73)-SUM(N49:N54))</f>
        <v>0</v>
      </c>
      <c r="D78" s="217">
        <f t="shared" ref="D78:N78" si="16">ABS(SUM(D68:D73)-SUM(C68:C73))</f>
        <v>0</v>
      </c>
      <c r="E78" s="217">
        <f t="shared" si="16"/>
        <v>0</v>
      </c>
      <c r="F78" s="217">
        <f t="shared" si="16"/>
        <v>0</v>
      </c>
      <c r="G78" s="217">
        <f t="shared" si="16"/>
        <v>0</v>
      </c>
      <c r="H78" s="217">
        <f t="shared" si="16"/>
        <v>0</v>
      </c>
      <c r="I78" s="217">
        <f t="shared" si="16"/>
        <v>0</v>
      </c>
      <c r="J78" s="217">
        <f t="shared" si="16"/>
        <v>0</v>
      </c>
      <c r="K78" s="217">
        <f t="shared" si="16"/>
        <v>0</v>
      </c>
      <c r="L78" s="217">
        <f t="shared" si="16"/>
        <v>0</v>
      </c>
      <c r="M78" s="217">
        <f t="shared" si="16"/>
        <v>0</v>
      </c>
      <c r="N78" s="218">
        <f t="shared" si="16"/>
        <v>0</v>
      </c>
      <c r="O78" s="219">
        <f>SUM(C78:N78)</f>
        <v>0</v>
      </c>
    </row>
    <row r="79" spans="1:15" ht="6.75" customHeight="1" thickBot="1">
      <c r="A79" s="2303">
        <v>0</v>
      </c>
    </row>
    <row r="80" spans="1:15" ht="15.75" thickBot="1">
      <c r="A80" s="548" t="str">
        <v>nº sócios para o IRPF</v>
      </c>
      <c r="B80" s="390"/>
      <c r="C80" s="549">
        <f t="array" ref="C80:N80">C66:N66+C67:N67</f>
        <v>1</v>
      </c>
      <c r="D80" s="550">
        <v>1</v>
      </c>
      <c r="E80" s="550">
        <v>1</v>
      </c>
      <c r="F80" s="550">
        <v>1</v>
      </c>
      <c r="G80" s="550">
        <v>1</v>
      </c>
      <c r="H80" s="550">
        <v>1</v>
      </c>
      <c r="I80" s="550">
        <v>1</v>
      </c>
      <c r="J80" s="550">
        <v>1</v>
      </c>
      <c r="K80" s="550">
        <v>1</v>
      </c>
      <c r="L80" s="550">
        <v>1</v>
      </c>
      <c r="M80" s="550">
        <v>1</v>
      </c>
      <c r="N80" s="551">
        <v>1</v>
      </c>
      <c r="O80" s="547">
        <f>MAX(B80:N80)</f>
        <v>1</v>
      </c>
    </row>
    <row r="82" spans="1:15" s="553" customFormat="1" ht="19.5">
      <c r="A82" s="406" t="str">
        <f>A$6</f>
        <v>Recursos Humanos da empresa</v>
      </c>
      <c r="B82" s="406"/>
      <c r="C82" s="406"/>
      <c r="D82" s="406"/>
      <c r="E82" s="244" t="str">
        <f>Parametros!F$77</f>
        <v>Ano 4:  2030</v>
      </c>
      <c r="F82" s="552"/>
    </row>
    <row r="83" spans="1:15" ht="9" customHeight="1" thickBot="1">
      <c r="A83" s="220"/>
    </row>
    <row r="84" spans="1:15" s="228" customFormat="1" ht="21.75" customHeight="1" thickBot="1">
      <c r="A84" s="222" t="str">
        <f>A$8</f>
        <v>Quadro por meses</v>
      </c>
      <c r="B84" s="223" t="s">
        <v>19</v>
      </c>
      <c r="C84" s="224" t="str">
        <f t="array" ref="C84:N84">meses</f>
        <v>janeiro</v>
      </c>
      <c r="D84" s="225" t="str">
        <v>fevereiro</v>
      </c>
      <c r="E84" s="225" t="str">
        <v>março</v>
      </c>
      <c r="F84" s="225" t="str">
        <v>abril</v>
      </c>
      <c r="G84" s="225" t="str">
        <v>maio</v>
      </c>
      <c r="H84" s="225" t="str">
        <v>junho</v>
      </c>
      <c r="I84" s="225" t="str">
        <v>julho</v>
      </c>
      <c r="J84" s="225" t="str">
        <v>agosto</v>
      </c>
      <c r="K84" s="225" t="str">
        <v>setembro</v>
      </c>
      <c r="L84" s="225" t="str">
        <v>outubro</v>
      </c>
      <c r="M84" s="225" t="str">
        <v>novembro</v>
      </c>
      <c r="N84" s="226" t="str">
        <v>dezembro</v>
      </c>
      <c r="O84" s="227" t="s">
        <v>725</v>
      </c>
    </row>
    <row r="85" spans="1:15">
      <c r="A85" s="229" t="str">
        <f t="array" ref="A85:A92">catlaborales</f>
        <v>Emprsários em nome individual</v>
      </c>
      <c r="B85" s="195">
        <f t="array" ref="B85:B92">'RR.HH.'!F6:F13</f>
        <v>1</v>
      </c>
      <c r="C85" s="196">
        <f>$B85    *IF(OR('RR.HH.'!$H6="No",C$18),1,0)</f>
        <v>1</v>
      </c>
      <c r="D85" s="197">
        <f>$B85    *IF(OR('RR.HH.'!$H6="No",D$18),1,0)</f>
        <v>1</v>
      </c>
      <c r="E85" s="197">
        <f>$B85    *IF(OR('RR.HH.'!$H6="No",E$18),1,0)</f>
        <v>1</v>
      </c>
      <c r="F85" s="197">
        <f>$B85    *IF(OR('RR.HH.'!$H6="No",F$18),1,0)</f>
        <v>1</v>
      </c>
      <c r="G85" s="197">
        <f>$B85    *IF(OR('RR.HH.'!$H6="No",G$18),1,0)</f>
        <v>1</v>
      </c>
      <c r="H85" s="197">
        <f>$B85    *IF(OR('RR.HH.'!$H6="No",H$18),1,0)</f>
        <v>1</v>
      </c>
      <c r="I85" s="197">
        <f>$B85    *IF(OR('RR.HH.'!$H6="No",I$18),1,0)</f>
        <v>1</v>
      </c>
      <c r="J85" s="197">
        <f>$B85    *IF(OR('RR.HH.'!$H6="No",J$18),1,0)</f>
        <v>1</v>
      </c>
      <c r="K85" s="197">
        <f>$B85    *IF(OR('RR.HH.'!$H6="No",K$18),1,0)</f>
        <v>1</v>
      </c>
      <c r="L85" s="197">
        <f>$B85    *IF(OR('RR.HH.'!$H6="No",L$18),1,0)</f>
        <v>1</v>
      </c>
      <c r="M85" s="197">
        <f>$B85    *IF(OR('RR.HH.'!$H6="No",M$18),1,0)</f>
        <v>1</v>
      </c>
      <c r="N85" s="198">
        <f>$B85    *IF(OR('RR.HH.'!$H6="No",N$18),1,0)</f>
        <v>1</v>
      </c>
      <c r="O85" s="199">
        <f t="shared" ref="O85:O93" si="17">AVERAGE(C85:N85)</f>
        <v>1</v>
      </c>
    </row>
    <row r="86" spans="1:15">
      <c r="A86" s="230" t="str">
        <v>Outros trab. Independentes</v>
      </c>
      <c r="B86" s="200">
        <v>0</v>
      </c>
      <c r="C86" s="201">
        <f>$B86    *IF(OR('RR.HH.'!$H7="No",C$18),1,0)</f>
        <v>0</v>
      </c>
      <c r="D86" s="202">
        <f>$B86    *IF(OR('RR.HH.'!$H7="No",D$18),1,0)</f>
        <v>0</v>
      </c>
      <c r="E86" s="202">
        <f>$B86    *IF(OR('RR.HH.'!$H7="No",E$18),1,0)</f>
        <v>0</v>
      </c>
      <c r="F86" s="202">
        <f>$B86    *IF(OR('RR.HH.'!$H7="No",F$18),1,0)</f>
        <v>0</v>
      </c>
      <c r="G86" s="202">
        <f>$B86    *IF(OR('RR.HH.'!$H7="No",G$18),1,0)</f>
        <v>0</v>
      </c>
      <c r="H86" s="202">
        <f>$B86    *IF(OR('RR.HH.'!$H7="No",H$18),1,0)</f>
        <v>0</v>
      </c>
      <c r="I86" s="202">
        <f>$B86    *IF(OR('RR.HH.'!$H7="No",I$18),1,0)</f>
        <v>0</v>
      </c>
      <c r="J86" s="202">
        <f>$B86    *IF(OR('RR.HH.'!$H7="No",J$18),1,0)</f>
        <v>0</v>
      </c>
      <c r="K86" s="202">
        <f>$B86    *IF(OR('RR.HH.'!$H7="No",K$18),1,0)</f>
        <v>0</v>
      </c>
      <c r="L86" s="202">
        <f>$B86    *IF(OR('RR.HH.'!$H7="No",L$18),1,0)</f>
        <v>0</v>
      </c>
      <c r="M86" s="202">
        <f>$B86    *IF(OR('RR.HH.'!$H7="No",M$18),1,0)</f>
        <v>0</v>
      </c>
      <c r="N86" s="203">
        <f>$B86    *IF(OR('RR.HH.'!$H7="No",N$18),1,0)</f>
        <v>0</v>
      </c>
      <c r="O86" s="204">
        <f t="shared" si="17"/>
        <v>0</v>
      </c>
    </row>
    <row r="87" spans="1:15">
      <c r="A87" s="230" t="str">
        <v>Empregados</v>
      </c>
      <c r="B87" s="200">
        <v>0</v>
      </c>
      <c r="C87" s="201">
        <f>$B87    *IF(OR('RR.HH.'!$H8="No",C$18),1,0)</f>
        <v>0</v>
      </c>
      <c r="D87" s="202">
        <f>$B87    *IF(OR('RR.HH.'!$H8="No",D$18),1,0)</f>
        <v>0</v>
      </c>
      <c r="E87" s="202">
        <f>$B87    *IF(OR('RR.HH.'!$H8="No",E$18),1,0)</f>
        <v>0</v>
      </c>
      <c r="F87" s="202">
        <f>$B87    *IF(OR('RR.HH.'!$H8="No",F$18),1,0)</f>
        <v>0</v>
      </c>
      <c r="G87" s="202">
        <f>$B87    *IF(OR('RR.HH.'!$H8="No",G$18),1,0)</f>
        <v>0</v>
      </c>
      <c r="H87" s="202">
        <f>$B87    *IF(OR('RR.HH.'!$H8="No",H$18),1,0)</f>
        <v>0</v>
      </c>
      <c r="I87" s="202">
        <f>$B87    *IF(OR('RR.HH.'!$H8="No",I$18),1,0)</f>
        <v>0</v>
      </c>
      <c r="J87" s="202">
        <f>$B87    *IF(OR('RR.HH.'!$H8="No",J$18),1,0)</f>
        <v>0</v>
      </c>
      <c r="K87" s="202">
        <f>$B87    *IF(OR('RR.HH.'!$H8="No",K$18),1,0)</f>
        <v>0</v>
      </c>
      <c r="L87" s="202">
        <f>$B87    *IF(OR('RR.HH.'!$H8="No",L$18),1,0)</f>
        <v>0</v>
      </c>
      <c r="M87" s="202">
        <f>$B87    *IF(OR('RR.HH.'!$H8="No",M$18),1,0)</f>
        <v>0</v>
      </c>
      <c r="N87" s="203">
        <f>$B87    *IF(OR('RR.HH.'!$H8="No",N$18),1,0)</f>
        <v>0</v>
      </c>
      <c r="O87" s="204">
        <f t="shared" si="17"/>
        <v>0</v>
      </c>
    </row>
    <row r="88" spans="1:15">
      <c r="A88" s="230" t="str">
        <v/>
      </c>
      <c r="B88" s="200">
        <v>0</v>
      </c>
      <c r="C88" s="201">
        <f>$B88    *IF(OR('RR.HH.'!$H9="No",C$18),1,0)</f>
        <v>0</v>
      </c>
      <c r="D88" s="202">
        <f>$B88    *IF(OR('RR.HH.'!$H9="No",D$18),1,0)</f>
        <v>0</v>
      </c>
      <c r="E88" s="202">
        <f>$B88    *IF(OR('RR.HH.'!$H9="No",E$18),1,0)</f>
        <v>0</v>
      </c>
      <c r="F88" s="202">
        <f>$B88    *IF(OR('RR.HH.'!$H9="No",F$18),1,0)</f>
        <v>0</v>
      </c>
      <c r="G88" s="202">
        <f>$B88    *IF(OR('RR.HH.'!$H9="No",G$18),1,0)</f>
        <v>0</v>
      </c>
      <c r="H88" s="202">
        <f>$B88    *IF(OR('RR.HH.'!$H9="No",H$18),1,0)</f>
        <v>0</v>
      </c>
      <c r="I88" s="202">
        <f>$B88    *IF(OR('RR.HH.'!$H9="No",I$18),1,0)</f>
        <v>0</v>
      </c>
      <c r="J88" s="202">
        <f>$B88    *IF(OR('RR.HH.'!$H9="No",J$18),1,0)</f>
        <v>0</v>
      </c>
      <c r="K88" s="202">
        <f>$B88    *IF(OR('RR.HH.'!$H9="No",K$18),1,0)</f>
        <v>0</v>
      </c>
      <c r="L88" s="202">
        <f>$B88    *IF(OR('RR.HH.'!$H9="No",L$18),1,0)</f>
        <v>0</v>
      </c>
      <c r="M88" s="202">
        <f>$B88    *IF(OR('RR.HH.'!$H9="No",M$18),1,0)</f>
        <v>0</v>
      </c>
      <c r="N88" s="203">
        <f>$B88    *IF(OR('RR.HH.'!$H9="No",N$18),1,0)</f>
        <v>0</v>
      </c>
      <c r="O88" s="204">
        <f t="shared" si="17"/>
        <v>0</v>
      </c>
    </row>
    <row r="89" spans="1:15">
      <c r="A89" s="230" t="str">
        <v/>
      </c>
      <c r="B89" s="200">
        <v>0</v>
      </c>
      <c r="C89" s="201">
        <f>$B89    *IF(OR('RR.HH.'!$H10="No",C$18),1,0)</f>
        <v>0</v>
      </c>
      <c r="D89" s="202">
        <f>$B89    *IF(OR('RR.HH.'!$H10="No",D$18),1,0)</f>
        <v>0</v>
      </c>
      <c r="E89" s="202">
        <f>$B89    *IF(OR('RR.HH.'!$H10="No",E$18),1,0)</f>
        <v>0</v>
      </c>
      <c r="F89" s="202">
        <f>$B89    *IF(OR('RR.HH.'!$H10="No",F$18),1,0)</f>
        <v>0</v>
      </c>
      <c r="G89" s="202">
        <f>$B89    *IF(OR('RR.HH.'!$H10="No",G$18),1,0)</f>
        <v>0</v>
      </c>
      <c r="H89" s="202">
        <f>$B89    *IF(OR('RR.HH.'!$H10="No",H$18),1,0)</f>
        <v>0</v>
      </c>
      <c r="I89" s="202">
        <f>$B89    *IF(OR('RR.HH.'!$H10="No",I$18),1,0)</f>
        <v>0</v>
      </c>
      <c r="J89" s="202">
        <f>$B89    *IF(OR('RR.HH.'!$H10="No",J$18),1,0)</f>
        <v>0</v>
      </c>
      <c r="K89" s="202">
        <f>$B89    *IF(OR('RR.HH.'!$H10="No",K$18),1,0)</f>
        <v>0</v>
      </c>
      <c r="L89" s="202">
        <f>$B89    *IF(OR('RR.HH.'!$H10="No",L$18),1,0)</f>
        <v>0</v>
      </c>
      <c r="M89" s="202">
        <f>$B89    *IF(OR('RR.HH.'!$H10="No",M$18),1,0)</f>
        <v>0</v>
      </c>
      <c r="N89" s="203">
        <f>$B89    *IF(OR('RR.HH.'!$H10="No",N$18),1,0)</f>
        <v>0</v>
      </c>
      <c r="O89" s="204">
        <f t="shared" si="17"/>
        <v>0</v>
      </c>
    </row>
    <row r="90" spans="1:15">
      <c r="A90" s="230" t="str">
        <v/>
      </c>
      <c r="B90" s="200">
        <v>0</v>
      </c>
      <c r="C90" s="201">
        <f>$B90    *IF(OR('RR.HH.'!$H11="No",C$18),1,0)</f>
        <v>0</v>
      </c>
      <c r="D90" s="202">
        <f>$B90    *IF(OR('RR.HH.'!$H11="No",D$18),1,0)</f>
        <v>0</v>
      </c>
      <c r="E90" s="202">
        <f>$B90    *IF(OR('RR.HH.'!$H11="No",E$18),1,0)</f>
        <v>0</v>
      </c>
      <c r="F90" s="202">
        <f>$B90    *IF(OR('RR.HH.'!$H11="No",F$18),1,0)</f>
        <v>0</v>
      </c>
      <c r="G90" s="202">
        <f>$B90    *IF(OR('RR.HH.'!$H11="No",G$18),1,0)</f>
        <v>0</v>
      </c>
      <c r="H90" s="202">
        <f>$B90    *IF(OR('RR.HH.'!$H11="No",H$18),1,0)</f>
        <v>0</v>
      </c>
      <c r="I90" s="202">
        <f>$B90    *IF(OR('RR.HH.'!$H11="No",I$18),1,0)</f>
        <v>0</v>
      </c>
      <c r="J90" s="202">
        <f>$B90    *IF(OR('RR.HH.'!$H11="No",J$18),1,0)</f>
        <v>0</v>
      </c>
      <c r="K90" s="202">
        <f>$B90    *IF(OR('RR.HH.'!$H11="No",K$18),1,0)</f>
        <v>0</v>
      </c>
      <c r="L90" s="202">
        <f>$B90    *IF(OR('RR.HH.'!$H11="No",L$18),1,0)</f>
        <v>0</v>
      </c>
      <c r="M90" s="202">
        <f>$B90    *IF(OR('RR.HH.'!$H11="No",M$18),1,0)</f>
        <v>0</v>
      </c>
      <c r="N90" s="203">
        <f>$B90    *IF(OR('RR.HH.'!$H11="No",N$18),1,0)</f>
        <v>0</v>
      </c>
      <c r="O90" s="204">
        <f t="shared" si="17"/>
        <v>0</v>
      </c>
    </row>
    <row r="91" spans="1:15">
      <c r="A91" s="230" t="str">
        <v/>
      </c>
      <c r="B91" s="200">
        <v>0</v>
      </c>
      <c r="C91" s="201">
        <f>$B91    *IF(OR('RR.HH.'!$H12="No",C$18),1,0)</f>
        <v>0</v>
      </c>
      <c r="D91" s="202">
        <f>$B91    *IF(OR('RR.HH.'!$H12="No",D$18),1,0)</f>
        <v>0</v>
      </c>
      <c r="E91" s="202">
        <f>$B91    *IF(OR('RR.HH.'!$H12="No",E$18),1,0)</f>
        <v>0</v>
      </c>
      <c r="F91" s="202">
        <f>$B91    *IF(OR('RR.HH.'!$H12="No",F$18),1,0)</f>
        <v>0</v>
      </c>
      <c r="G91" s="202">
        <f>$B91    *IF(OR('RR.HH.'!$H12="No",G$18),1,0)</f>
        <v>0</v>
      </c>
      <c r="H91" s="202">
        <f>$B91    *IF(OR('RR.HH.'!$H12="No",H$18),1,0)</f>
        <v>0</v>
      </c>
      <c r="I91" s="202">
        <f>$B91    *IF(OR('RR.HH.'!$H12="No",I$18),1,0)</f>
        <v>0</v>
      </c>
      <c r="J91" s="202">
        <f>$B91    *IF(OR('RR.HH.'!$H12="No",J$18),1,0)</f>
        <v>0</v>
      </c>
      <c r="K91" s="202">
        <f>$B91    *IF(OR('RR.HH.'!$H12="No",K$18),1,0)</f>
        <v>0</v>
      </c>
      <c r="L91" s="202">
        <f>$B91    *IF(OR('RR.HH.'!$H12="No",L$18),1,0)</f>
        <v>0</v>
      </c>
      <c r="M91" s="202">
        <f>$B91    *IF(OR('RR.HH.'!$H12="No",M$18),1,0)</f>
        <v>0</v>
      </c>
      <c r="N91" s="203">
        <f>$B91    *IF(OR('RR.HH.'!$H12="No",N$18),1,0)</f>
        <v>0</v>
      </c>
      <c r="O91" s="204">
        <f t="shared" si="17"/>
        <v>0</v>
      </c>
    </row>
    <row r="92" spans="1:15" ht="15.75" thickBot="1">
      <c r="A92" s="230" t="str">
        <v/>
      </c>
      <c r="B92" s="200">
        <v>0</v>
      </c>
      <c r="C92" s="201">
        <f>$B92    *IF(OR('RR.HH.'!$H13="No",C$18),1,0)</f>
        <v>0</v>
      </c>
      <c r="D92" s="202">
        <f>$B92    *IF(OR('RR.HH.'!$H13="No",D$18),1,0)</f>
        <v>0</v>
      </c>
      <c r="E92" s="202">
        <f>$B92    *IF(OR('RR.HH.'!$H13="No",E$18),1,0)</f>
        <v>0</v>
      </c>
      <c r="F92" s="202">
        <f>$B92    *IF(OR('RR.HH.'!$H13="No",F$18),1,0)</f>
        <v>0</v>
      </c>
      <c r="G92" s="202">
        <f>$B92    *IF(OR('RR.HH.'!$H13="No",G$18),1,0)</f>
        <v>0</v>
      </c>
      <c r="H92" s="202">
        <f>$B92    *IF(OR('RR.HH.'!$H13="No",H$18),1,0)</f>
        <v>0</v>
      </c>
      <c r="I92" s="202">
        <f>$B92    *IF(OR('RR.HH.'!$H13="No",I$18),1,0)</f>
        <v>0</v>
      </c>
      <c r="J92" s="202">
        <f>$B92    *IF(OR('RR.HH.'!$H13="No",J$18),1,0)</f>
        <v>0</v>
      </c>
      <c r="K92" s="202">
        <f>$B92    *IF(OR('RR.HH.'!$H13="No",K$18),1,0)</f>
        <v>0</v>
      </c>
      <c r="L92" s="202">
        <f>$B92    *IF(OR('RR.HH.'!$H13="No",L$18),1,0)</f>
        <v>0</v>
      </c>
      <c r="M92" s="202">
        <f>$B92    *IF(OR('RR.HH.'!$H13="No",M$18),1,0)</f>
        <v>0</v>
      </c>
      <c r="N92" s="203">
        <f>$B92    *IF(OR('RR.HH.'!$H13="No",N$18),1,0)</f>
        <v>0</v>
      </c>
      <c r="O92" s="204">
        <f t="shared" si="17"/>
        <v>0</v>
      </c>
    </row>
    <row r="93" spans="1:15" ht="15.75" thickBot="1">
      <c r="A93" s="2463" t="str">
        <f>A$17</f>
        <v>Total Quadro</v>
      </c>
      <c r="B93" s="58">
        <f>SUM(B85:B92)</f>
        <v>1</v>
      </c>
      <c r="C93" s="205">
        <f t="shared" ref="C93:N93" si="18">SUM(C85:C92)</f>
        <v>1</v>
      </c>
      <c r="D93" s="206">
        <f t="shared" si="18"/>
        <v>1</v>
      </c>
      <c r="E93" s="206">
        <f t="shared" si="18"/>
        <v>1</v>
      </c>
      <c r="F93" s="206">
        <f t="shared" si="18"/>
        <v>1</v>
      </c>
      <c r="G93" s="206">
        <f t="shared" si="18"/>
        <v>1</v>
      </c>
      <c r="H93" s="206">
        <f t="shared" si="18"/>
        <v>1</v>
      </c>
      <c r="I93" s="206">
        <f t="shared" si="18"/>
        <v>1</v>
      </c>
      <c r="J93" s="206">
        <f t="shared" si="18"/>
        <v>1</v>
      </c>
      <c r="K93" s="206">
        <f t="shared" si="18"/>
        <v>1</v>
      </c>
      <c r="L93" s="206">
        <f t="shared" si="18"/>
        <v>1</v>
      </c>
      <c r="M93" s="206">
        <f t="shared" si="18"/>
        <v>1</v>
      </c>
      <c r="N93" s="207">
        <f t="shared" si="18"/>
        <v>1</v>
      </c>
      <c r="O93" s="208">
        <f t="shared" si="17"/>
        <v>1</v>
      </c>
    </row>
    <row r="94" spans="1:15" ht="15.75" thickBot="1"/>
    <row r="95" spans="1:15" s="228" customFormat="1" ht="15.75" thickBot="1">
      <c r="A95" s="233" t="str">
        <f t="array" ref="A95:A99">A$19:A$23</f>
        <v>Altas e Baixas de pessoal</v>
      </c>
      <c r="B95" s="234"/>
      <c r="C95" s="235" t="str">
        <f t="array" ref="C95:N95">meses</f>
        <v>janeiro</v>
      </c>
      <c r="D95" s="236" t="str">
        <v>fevereiro</v>
      </c>
      <c r="E95" s="236" t="str">
        <v>março</v>
      </c>
      <c r="F95" s="236" t="str">
        <v>abril</v>
      </c>
      <c r="G95" s="236" t="str">
        <v>maio</v>
      </c>
      <c r="H95" s="236" t="str">
        <v>junho</v>
      </c>
      <c r="I95" s="236" t="str">
        <v>julho</v>
      </c>
      <c r="J95" s="236" t="str">
        <v>agosto</v>
      </c>
      <c r="K95" s="236" t="str">
        <v>setembro</v>
      </c>
      <c r="L95" s="236" t="str">
        <v>outubro</v>
      </c>
      <c r="M95" s="236" t="str">
        <v>novembro</v>
      </c>
      <c r="N95" s="237" t="str">
        <v>dezembro</v>
      </c>
      <c r="O95" s="238" t="s">
        <v>3</v>
      </c>
    </row>
    <row r="96" spans="1:15">
      <c r="A96" s="231" t="str">
        <v>nº socios R.E.T.A. (altas e baixas)</v>
      </c>
      <c r="B96" s="209"/>
      <c r="C96" s="210">
        <f>ABS(C85+C86-N66-N67)</f>
        <v>0</v>
      </c>
      <c r="D96" s="211">
        <f t="shared" ref="D96:N96" si="19">ABS(D85+D86-C85-C86)</f>
        <v>0</v>
      </c>
      <c r="E96" s="211">
        <f t="shared" si="19"/>
        <v>0</v>
      </c>
      <c r="F96" s="211">
        <f t="shared" si="19"/>
        <v>0</v>
      </c>
      <c r="G96" s="211">
        <f t="shared" si="19"/>
        <v>0</v>
      </c>
      <c r="H96" s="211">
        <f t="shared" si="19"/>
        <v>0</v>
      </c>
      <c r="I96" s="211">
        <f t="shared" si="19"/>
        <v>0</v>
      </c>
      <c r="J96" s="211">
        <f t="shared" si="19"/>
        <v>0</v>
      </c>
      <c r="K96" s="211">
        <f t="shared" si="19"/>
        <v>0</v>
      </c>
      <c r="L96" s="211">
        <f t="shared" si="19"/>
        <v>0</v>
      </c>
      <c r="M96" s="211">
        <f t="shared" si="19"/>
        <v>0</v>
      </c>
      <c r="N96" s="212">
        <f t="shared" si="19"/>
        <v>0</v>
      </c>
      <c r="O96" s="213">
        <f>SUM(C96:N96)</f>
        <v>0</v>
      </c>
    </row>
    <row r="97" spans="1:15" ht="15.75" thickBot="1">
      <c r="A97" s="232" t="str">
        <v>altas/baixas de trabalhadores</v>
      </c>
      <c r="B97" s="215"/>
      <c r="C97" s="216">
        <f>ABS(SUM(C87:C92)-SUM(N68:N73))</f>
        <v>0</v>
      </c>
      <c r="D97" s="217">
        <f t="shared" ref="D97:N97" si="20">ABS(SUM(D87:D92)-SUM(C87:C92))</f>
        <v>0</v>
      </c>
      <c r="E97" s="217">
        <f t="shared" si="20"/>
        <v>0</v>
      </c>
      <c r="F97" s="217">
        <f t="shared" si="20"/>
        <v>0</v>
      </c>
      <c r="G97" s="217">
        <f t="shared" si="20"/>
        <v>0</v>
      </c>
      <c r="H97" s="217">
        <f t="shared" si="20"/>
        <v>0</v>
      </c>
      <c r="I97" s="217">
        <f t="shared" si="20"/>
        <v>0</v>
      </c>
      <c r="J97" s="217">
        <f t="shared" si="20"/>
        <v>0</v>
      </c>
      <c r="K97" s="217">
        <f t="shared" si="20"/>
        <v>0</v>
      </c>
      <c r="L97" s="217">
        <f t="shared" si="20"/>
        <v>0</v>
      </c>
      <c r="M97" s="217">
        <f t="shared" si="20"/>
        <v>0</v>
      </c>
      <c r="N97" s="218">
        <f t="shared" si="20"/>
        <v>0</v>
      </c>
      <c r="O97" s="219">
        <f>SUM(C97:N97)</f>
        <v>0</v>
      </c>
    </row>
    <row r="98" spans="1:15" ht="7.5" customHeight="1" thickBot="1">
      <c r="A98" s="2303">
        <v>0</v>
      </c>
    </row>
    <row r="99" spans="1:15" ht="15.75" thickBot="1">
      <c r="A99" s="548" t="str">
        <v>nº sócios para o IRPF</v>
      </c>
      <c r="B99" s="390"/>
      <c r="C99" s="549">
        <f t="array" ref="C99:N99">C85:N85+C86:N86</f>
        <v>1</v>
      </c>
      <c r="D99" s="550">
        <v>1</v>
      </c>
      <c r="E99" s="550">
        <v>1</v>
      </c>
      <c r="F99" s="550">
        <v>1</v>
      </c>
      <c r="G99" s="550">
        <v>1</v>
      </c>
      <c r="H99" s="550">
        <v>1</v>
      </c>
      <c r="I99" s="550">
        <v>1</v>
      </c>
      <c r="J99" s="550">
        <v>1</v>
      </c>
      <c r="K99" s="550">
        <v>1</v>
      </c>
      <c r="L99" s="550">
        <v>1</v>
      </c>
      <c r="M99" s="550">
        <v>1</v>
      </c>
      <c r="N99" s="551">
        <v>1</v>
      </c>
      <c r="O99" s="547">
        <f>MAX(B99:N99)</f>
        <v>1</v>
      </c>
    </row>
  </sheetData>
  <sheetProtection sheet="1" objects="1" scenarios="1"/>
  <phoneticPr fontId="4" type="noConversion"/>
  <conditionalFormatting sqref="C9:N16 C28:N35 C47:N54 C66:N73 C85:N92">
    <cfRule type="expression" dxfId="35" priority="3" stopIfTrue="1">
      <formula>C9=""</formula>
    </cfRule>
  </conditionalFormatting>
  <conditionalFormatting sqref="C20:N20 C39:N39 C58:N58 C77:N77 C96:N96">
    <cfRule type="expression" dxfId="34" priority="1" stopIfTrue="1">
      <formula>$C9=""</formula>
    </cfRule>
  </conditionalFormatting>
  <conditionalFormatting sqref="C21:N21 C40:N40 C59:N59 C78:N78 C97:N97">
    <cfRule type="expression" dxfId="33" priority="2" stopIfTrue="1">
      <formula>$C14=""</formula>
    </cfRule>
  </conditionalFormatting>
  <dataValidations xWindow="339" yWindow="311" count="4">
    <dataValidation type="whole" allowBlank="1" showInputMessage="1" showErrorMessage="1" sqref="C78:N78 C59:N59 C21:N21 C40:N40 C97:N97 B9:B16" xr:uid="{00000000-0002-0000-0E00-000000000000}">
      <formula1>0</formula1>
      <formula2>100</formula2>
    </dataValidation>
    <dataValidation type="whole" allowBlank="1" showInputMessage="1" showErrorMessage="1" sqref="C77:N77 C20:N20 C58:N58 C39:N39 C96:N96" xr:uid="{00000000-0002-0000-0E00-000001000000}">
      <formula1>-100</formula1>
      <formula2>100</formula2>
    </dataValidation>
    <dataValidation type="decimal" allowBlank="1" showInputMessage="1" showErrorMessage="1" sqref="O96:O97 O77:O78 O47:O54 O28:O35 O58:O59 O66:O73 O39:O40 O9:O16 O20:O21 O85:O92" xr:uid="{00000000-0002-0000-0E00-000002000000}">
      <formula1>0</formula1>
      <formula2>1</formula2>
    </dataValidation>
    <dataValidation type="whole" operator="greaterThanOrEqual" allowBlank="1" showInputMessage="1" showErrorMessage="1" sqref="C9:N16 B66:N73 B28:N35 B47:N54 B85:N92" xr:uid="{00000000-0002-0000-0E00-000003000000}">
      <formula1>0</formula1>
    </dataValidation>
  </dataValidations>
  <hyperlinks>
    <hyperlink ref="B4" location="mes0" display="mes0" xr:uid="{00000000-0004-0000-0E00-000000000000}"/>
  </hyperlinks>
  <printOptions verticalCentered="1"/>
  <pageMargins left="0.82677165354330717" right="0.75" top="0.33" bottom="0.39370078740157483" header="0" footer="0"/>
  <pageSetup paperSize="9" scale="70" fitToHeight="0" orientation="landscape" horizontalDpi="300" r:id="rId1"/>
  <headerFooter alignWithMargins="0">
    <oddFooter>&amp;C&amp;A</oddFooter>
  </headerFooter>
  <rowBreaks count="1" manualBreakCount="1">
    <brk id="43" max="1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4"/>
  <sheetViews>
    <sheetView workbookViewId="0"/>
  </sheetViews>
  <sheetFormatPr baseColWidth="10" defaultColWidth="11" defaultRowHeight="15"/>
  <cols>
    <col min="1" max="1" width="33.5" style="36" customWidth="1"/>
    <col min="2" max="2" width="13.25" style="36" customWidth="1"/>
    <col min="3" max="3" width="11.625" style="36" customWidth="1"/>
    <col min="4" max="4" width="12.375" style="36" customWidth="1"/>
    <col min="5" max="7" width="11" style="36"/>
    <col min="8" max="8" width="11" style="36" hidden="1" customWidth="1"/>
    <col min="9" max="9" width="14.875" style="36" customWidth="1"/>
    <col min="10" max="16384" width="11" style="36"/>
  </cols>
  <sheetData>
    <row r="1" spans="1:8" s="38" customFormat="1" ht="25.5">
      <c r="A1" s="37" t="s">
        <v>564</v>
      </c>
    </row>
    <row r="2" spans="1:8" s="38" customFormat="1" ht="25.5">
      <c r="A2" s="37" t="str">
        <f>'Dados Básicos'!B9</f>
        <v>WWW, S.L.</v>
      </c>
    </row>
    <row r="3" spans="1:8">
      <c r="A3" s="39"/>
    </row>
    <row r="4" spans="1:8" ht="15.75" thickBot="1">
      <c r="A4" s="40"/>
    </row>
    <row r="5" spans="1:8" s="49" customFormat="1" ht="30.75" customHeight="1" thickBot="1">
      <c r="A5" s="2083" t="s">
        <v>565</v>
      </c>
      <c r="B5" s="2084" t="str">
        <f t="array" ref="B5:F5">anni</f>
        <v>Ano 0:  2026</v>
      </c>
      <c r="C5" s="2084" t="str">
        <v>Ano 1:  2027</v>
      </c>
      <c r="D5" s="2084" t="str">
        <v>Ano 2:  2028</v>
      </c>
      <c r="E5" s="2084" t="str">
        <v>Ano 3:  2029</v>
      </c>
      <c r="F5" s="2084" t="str">
        <v>Ano 4:  2030</v>
      </c>
      <c r="H5" s="2050" t="s">
        <v>290</v>
      </c>
    </row>
    <row r="6" spans="1:8" s="49" customFormat="1" ht="18.75" customHeight="1">
      <c r="A6" s="52" t="s">
        <v>1277</v>
      </c>
      <c r="B6" s="50">
        <v>1</v>
      </c>
      <c r="C6" s="50">
        <f t="shared" ref="C6:F10" si="0">B6</f>
        <v>1</v>
      </c>
      <c r="D6" s="50">
        <f t="shared" si="0"/>
        <v>1</v>
      </c>
      <c r="E6" s="50">
        <f t="shared" si="0"/>
        <v>1</v>
      </c>
      <c r="F6" s="50">
        <f t="shared" si="0"/>
        <v>1</v>
      </c>
      <c r="H6" s="2064" t="s">
        <v>60</v>
      </c>
    </row>
    <row r="7" spans="1:8" s="49" customFormat="1" ht="18.75" customHeight="1">
      <c r="A7" s="53" t="s">
        <v>1276</v>
      </c>
      <c r="B7" s="51">
        <v>0</v>
      </c>
      <c r="C7" s="51">
        <f t="shared" si="0"/>
        <v>0</v>
      </c>
      <c r="D7" s="51">
        <f t="shared" si="0"/>
        <v>0</v>
      </c>
      <c r="E7" s="51">
        <f t="shared" si="0"/>
        <v>0</v>
      </c>
      <c r="F7" s="51">
        <f t="shared" si="0"/>
        <v>0</v>
      </c>
      <c r="H7" s="2064" t="s">
        <v>289</v>
      </c>
    </row>
    <row r="8" spans="1:8" s="49" customFormat="1" ht="18.75" customHeight="1">
      <c r="A8" s="53" t="s">
        <v>566</v>
      </c>
      <c r="B8" s="51">
        <v>0</v>
      </c>
      <c r="C8" s="51">
        <f t="shared" si="0"/>
        <v>0</v>
      </c>
      <c r="D8" s="51">
        <f t="shared" si="0"/>
        <v>0</v>
      </c>
      <c r="E8" s="51">
        <f t="shared" si="0"/>
        <v>0</v>
      </c>
      <c r="F8" s="51">
        <f t="shared" si="0"/>
        <v>0</v>
      </c>
      <c r="H8" s="2064" t="s">
        <v>289</v>
      </c>
    </row>
    <row r="9" spans="1:8" s="49" customFormat="1" ht="18.75" customHeight="1">
      <c r="A9" s="53"/>
      <c r="B9" s="51">
        <v>0</v>
      </c>
      <c r="C9" s="51">
        <f t="shared" si="0"/>
        <v>0</v>
      </c>
      <c r="D9" s="51">
        <f t="shared" si="0"/>
        <v>0</v>
      </c>
      <c r="E9" s="51">
        <f t="shared" si="0"/>
        <v>0</v>
      </c>
      <c r="F9" s="51">
        <f t="shared" si="0"/>
        <v>0</v>
      </c>
      <c r="H9" s="2064" t="s">
        <v>60</v>
      </c>
    </row>
    <row r="10" spans="1:8" s="49" customFormat="1" ht="18.75" customHeight="1">
      <c r="A10" s="53"/>
      <c r="B10" s="51">
        <v>0</v>
      </c>
      <c r="C10" s="51">
        <f t="shared" si="0"/>
        <v>0</v>
      </c>
      <c r="D10" s="51">
        <f t="shared" si="0"/>
        <v>0</v>
      </c>
      <c r="E10" s="51">
        <f t="shared" si="0"/>
        <v>0</v>
      </c>
      <c r="F10" s="51">
        <f t="shared" si="0"/>
        <v>0</v>
      </c>
      <c r="H10" s="2064" t="s">
        <v>60</v>
      </c>
    </row>
    <row r="11" spans="1:8" s="49" customFormat="1" ht="18.75" customHeight="1">
      <c r="A11" s="53"/>
      <c r="B11" s="51">
        <v>0</v>
      </c>
      <c r="C11" s="51">
        <f t="shared" ref="C11:F13" si="1">B11</f>
        <v>0</v>
      </c>
      <c r="D11" s="51">
        <f t="shared" si="1"/>
        <v>0</v>
      </c>
      <c r="E11" s="51">
        <f t="shared" si="1"/>
        <v>0</v>
      </c>
      <c r="F11" s="51">
        <f t="shared" si="1"/>
        <v>0</v>
      </c>
      <c r="H11" s="2064" t="s">
        <v>60</v>
      </c>
    </row>
    <row r="12" spans="1:8" s="49" customFormat="1" ht="18.75" customHeight="1">
      <c r="A12" s="53"/>
      <c r="B12" s="51">
        <v>0</v>
      </c>
      <c r="C12" s="51">
        <f t="shared" si="1"/>
        <v>0</v>
      </c>
      <c r="D12" s="51">
        <f t="shared" si="1"/>
        <v>0</v>
      </c>
      <c r="E12" s="51">
        <f t="shared" si="1"/>
        <v>0</v>
      </c>
      <c r="F12" s="51">
        <f t="shared" si="1"/>
        <v>0</v>
      </c>
      <c r="H12" s="2064" t="s">
        <v>60</v>
      </c>
    </row>
    <row r="13" spans="1:8" s="49" customFormat="1" ht="18.75" customHeight="1" thickBot="1">
      <c r="A13" s="53"/>
      <c r="B13" s="51">
        <v>0</v>
      </c>
      <c r="C13" s="51">
        <f t="shared" si="1"/>
        <v>0</v>
      </c>
      <c r="D13" s="51">
        <f t="shared" si="1"/>
        <v>0</v>
      </c>
      <c r="E13" s="51">
        <f t="shared" si="1"/>
        <v>0</v>
      </c>
      <c r="F13" s="51">
        <f t="shared" si="1"/>
        <v>0</v>
      </c>
      <c r="H13" s="2065" t="s">
        <v>60</v>
      </c>
    </row>
    <row r="14" spans="1:8" ht="19.5" customHeight="1" thickBot="1">
      <c r="A14" s="1563" t="s">
        <v>567</v>
      </c>
      <c r="B14" s="1561">
        <f>SUM(B6:B13)</f>
        <v>1</v>
      </c>
      <c r="C14" s="1562">
        <f>SUM(C6:C13)</f>
        <v>1</v>
      </c>
      <c r="D14" s="1561">
        <f>SUM(D6:D13)</f>
        <v>1</v>
      </c>
      <c r="E14" s="1562">
        <f>SUM(E6:E13)</f>
        <v>1</v>
      </c>
      <c r="F14" s="1561">
        <f>SUM(F6:F13)</f>
        <v>1</v>
      </c>
    </row>
    <row r="16" spans="1:8" ht="15.75" thickBot="1"/>
    <row r="17" spans="1:13" ht="24" customHeight="1" thickBot="1">
      <c r="A17" s="763" t="s">
        <v>568</v>
      </c>
      <c r="B17" s="1535"/>
      <c r="C17" s="1535"/>
      <c r="D17" s="1535"/>
      <c r="E17" s="1535"/>
      <c r="F17" s="1536"/>
    </row>
    <row r="18" spans="1:13" ht="30.75" thickBot="1">
      <c r="A18" s="2756" t="str">
        <f>"Salários brutos "&amp;Parametros!H11&amp;"/mes/pessoa"</f>
        <v>Salários brutos €/mes/pessoa</v>
      </c>
      <c r="B18" s="2084" t="str">
        <f t="array" ref="B18:F18">anni</f>
        <v>Ano 0:  2026</v>
      </c>
      <c r="C18" s="2084" t="str">
        <v>Ano 1:  2027</v>
      </c>
      <c r="D18" s="2084" t="str">
        <v>Ano 2:  2028</v>
      </c>
      <c r="E18" s="2084" t="str">
        <v>Ano 3:  2029</v>
      </c>
      <c r="F18" s="2084" t="str">
        <v>Ano 4:  2030</v>
      </c>
      <c r="I18" s="3125" t="str">
        <f ca="1">IF('PPeGG anuais'!B33&gt;0,"","Perdas Ano 0")</f>
        <v>Perdas Ano 0</v>
      </c>
      <c r="J18" s="3125" t="str">
        <f ca="1">IF('PPeGG anuais'!D33&gt;0,"","Perdas Ano 1")</f>
        <v>Perdas Ano 1</v>
      </c>
      <c r="K18" s="3125" t="str">
        <f ca="1">IF('PPeGG anuais'!G33&gt;0,"","Perdas Ano 2")</f>
        <v>Perdas Ano 2</v>
      </c>
      <c r="L18" s="3125" t="str">
        <f ca="1">IF('PPeGG anuais'!J33&gt;0,"","Perdas Ano 3")</f>
        <v>Perdas Ano 3</v>
      </c>
      <c r="M18" s="3125" t="str">
        <f ca="1">IF('PPeGG anuais'!M33&gt;0,"","Perdas Ano 4")</f>
        <v>Perdas Ano 4</v>
      </c>
    </row>
    <row r="19" spans="1:13" ht="18" customHeight="1">
      <c r="A19" s="55" t="str">
        <f t="shared" ref="A19:A26" si="2">IF(A6="","",A6)</f>
        <v>Emprsários em nome individual</v>
      </c>
      <c r="B19" s="59">
        <v>1200</v>
      </c>
      <c r="C19" s="59">
        <f>B19*1.04</f>
        <v>1248</v>
      </c>
      <c r="D19" s="59">
        <f>C19*1.04</f>
        <v>1297.92</v>
      </c>
      <c r="E19" s="59">
        <f>D19*1.04</f>
        <v>1349.8368</v>
      </c>
      <c r="F19" s="59">
        <f>E19*1.04</f>
        <v>1403.8302720000002</v>
      </c>
    </row>
    <row r="20" spans="1:13" ht="18" customHeight="1">
      <c r="A20" s="55" t="str">
        <f t="shared" si="2"/>
        <v>Outros trab. Independentes</v>
      </c>
      <c r="B20" s="59">
        <v>0</v>
      </c>
      <c r="C20" s="59">
        <f t="shared" ref="C20:F23" si="3">B20*1.04</f>
        <v>0</v>
      </c>
      <c r="D20" s="59">
        <f t="shared" si="3"/>
        <v>0</v>
      </c>
      <c r="E20" s="59">
        <f t="shared" si="3"/>
        <v>0</v>
      </c>
      <c r="F20" s="59">
        <f t="shared" si="3"/>
        <v>0</v>
      </c>
      <c r="I20" s="3125" t="str">
        <f ca="1">IF('Resumo Tesourarias'!C34&gt;=0,"","Déficit Ano 0")</f>
        <v>Déficit Ano 0</v>
      </c>
      <c r="J20" s="3125" t="str">
        <f ca="1">IF('Resumo Tesourarias'!D34&gt;=0,"","Déficit Ano 1")</f>
        <v>Déficit Ano 1</v>
      </c>
      <c r="K20" s="3125" t="str">
        <f ca="1">IF('Resumo Tesourarias'!E34&gt;=0,"","Déficit Ano 2")</f>
        <v>Déficit Ano 2</v>
      </c>
      <c r="L20" s="3125" t="str">
        <f ca="1">IF('Resumo Tesourarias'!F34&gt;=0,"","Déficit Ano 3")</f>
        <v>Déficit Ano 3</v>
      </c>
      <c r="M20" s="3125" t="str">
        <f ca="1">IF('Resumo Tesourarias'!G34&gt;=0,"","Déficit Ano 4")</f>
        <v>Déficit Ano 4</v>
      </c>
    </row>
    <row r="21" spans="1:13" ht="18" customHeight="1">
      <c r="A21" s="56" t="str">
        <f t="shared" si="2"/>
        <v>Empregados</v>
      </c>
      <c r="B21" s="59">
        <v>0</v>
      </c>
      <c r="C21" s="59">
        <f t="shared" si="3"/>
        <v>0</v>
      </c>
      <c r="D21" s="59">
        <f t="shared" si="3"/>
        <v>0</v>
      </c>
      <c r="E21" s="59">
        <f t="shared" si="3"/>
        <v>0</v>
      </c>
      <c r="F21" s="59">
        <f t="shared" si="3"/>
        <v>0</v>
      </c>
    </row>
    <row r="22" spans="1:13" ht="18" customHeight="1">
      <c r="A22" s="56" t="str">
        <f t="shared" si="2"/>
        <v/>
      </c>
      <c r="B22" s="59">
        <v>0</v>
      </c>
      <c r="C22" s="59">
        <f t="shared" si="3"/>
        <v>0</v>
      </c>
      <c r="D22" s="59">
        <f t="shared" si="3"/>
        <v>0</v>
      </c>
      <c r="E22" s="59">
        <f t="shared" si="3"/>
        <v>0</v>
      </c>
      <c r="F22" s="59">
        <f t="shared" si="3"/>
        <v>0</v>
      </c>
    </row>
    <row r="23" spans="1:13" ht="18" customHeight="1">
      <c r="A23" s="56" t="str">
        <f t="shared" si="2"/>
        <v/>
      </c>
      <c r="B23" s="59">
        <v>0</v>
      </c>
      <c r="C23" s="59">
        <f t="shared" si="3"/>
        <v>0</v>
      </c>
      <c r="D23" s="59">
        <f t="shared" si="3"/>
        <v>0</v>
      </c>
      <c r="E23" s="59">
        <f t="shared" si="3"/>
        <v>0</v>
      </c>
      <c r="F23" s="59">
        <f t="shared" si="3"/>
        <v>0</v>
      </c>
    </row>
    <row r="24" spans="1:13" ht="18" customHeight="1">
      <c r="A24" s="56" t="str">
        <f t="shared" si="2"/>
        <v/>
      </c>
      <c r="B24" s="59">
        <v>0</v>
      </c>
      <c r="C24" s="59">
        <f t="shared" ref="C24:F26" si="4">B24*1.04</f>
        <v>0</v>
      </c>
      <c r="D24" s="59">
        <f t="shared" si="4"/>
        <v>0</v>
      </c>
      <c r="E24" s="59">
        <f t="shared" si="4"/>
        <v>0</v>
      </c>
      <c r="F24" s="59">
        <f t="shared" si="4"/>
        <v>0</v>
      </c>
    </row>
    <row r="25" spans="1:13" ht="18" customHeight="1">
      <c r="A25" s="56" t="str">
        <f t="shared" si="2"/>
        <v/>
      </c>
      <c r="B25" s="59">
        <v>0</v>
      </c>
      <c r="C25" s="59">
        <f t="shared" si="4"/>
        <v>0</v>
      </c>
      <c r="D25" s="59">
        <f t="shared" si="4"/>
        <v>0</v>
      </c>
      <c r="E25" s="59">
        <f t="shared" si="4"/>
        <v>0</v>
      </c>
      <c r="F25" s="59">
        <f t="shared" si="4"/>
        <v>0</v>
      </c>
    </row>
    <row r="26" spans="1:13" ht="18" customHeight="1" thickBot="1">
      <c r="A26" s="57" t="str">
        <f t="shared" si="2"/>
        <v/>
      </c>
      <c r="B26" s="70">
        <v>0</v>
      </c>
      <c r="C26" s="70">
        <f t="shared" si="4"/>
        <v>0</v>
      </c>
      <c r="D26" s="70">
        <f t="shared" si="4"/>
        <v>0</v>
      </c>
      <c r="E26" s="70">
        <f t="shared" si="4"/>
        <v>0</v>
      </c>
      <c r="F26" s="70">
        <f t="shared" si="4"/>
        <v>0</v>
      </c>
    </row>
    <row r="27" spans="1:13" ht="25.5" customHeight="1" thickBot="1"/>
    <row r="28" spans="1:13" ht="34.5" customHeight="1" thickBot="1">
      <c r="A28" s="1808" t="s">
        <v>569</v>
      </c>
      <c r="B28" s="2084" t="str">
        <f>B18</f>
        <v>Ano 0:  2026</v>
      </c>
      <c r="C28" s="2084" t="str">
        <f>C18</f>
        <v>Ano 1:  2027</v>
      </c>
      <c r="D28" s="2084" t="str">
        <f>D18</f>
        <v>Ano 2:  2028</v>
      </c>
      <c r="E28" s="2084" t="str">
        <f>E18</f>
        <v>Ano 3:  2029</v>
      </c>
      <c r="F28" s="2084" t="str">
        <f>F18</f>
        <v>Ano 4:  2030</v>
      </c>
    </row>
    <row r="29" spans="1:13" ht="19.5" customHeight="1">
      <c r="A29" s="1802" t="s">
        <v>1274</v>
      </c>
      <c r="B29" s="1807">
        <f t="array" ref="B29">SUM(B19:B20*B6:B7)</f>
        <v>1200</v>
      </c>
      <c r="C29" s="1807">
        <f t="array" ref="C29">SUM(C19:C20*C6:C7)</f>
        <v>1248</v>
      </c>
      <c r="D29" s="1807">
        <f t="array" ref="D29">SUM(D19:D20*D6:D7)</f>
        <v>1297.92</v>
      </c>
      <c r="E29" s="1807">
        <f t="array" ref="E29">SUM(E19:E20*E6:E7)</f>
        <v>1349.8368</v>
      </c>
      <c r="F29" s="1807">
        <f t="array" ref="F29">SUM(F19:F20*F6:F7)</f>
        <v>1403.8302720000002</v>
      </c>
    </row>
    <row r="30" spans="1:13" ht="19.5" customHeight="1" thickBot="1">
      <c r="A30" s="1803" t="s">
        <v>1275</v>
      </c>
      <c r="B30" s="1804">
        <f t="array" ref="B30">SUM(B8:B13*B21:B26)</f>
        <v>0</v>
      </c>
      <c r="C30" s="1804">
        <f t="array" ref="C30">SUM(C8:C13*C21:C26)</f>
        <v>0</v>
      </c>
      <c r="D30" s="1804">
        <f t="array" ref="D30">SUM(D8:D13*D21:D26)</f>
        <v>0</v>
      </c>
      <c r="E30" s="1804">
        <f t="array" ref="E30">SUM(E8:E13*E21:E26)</f>
        <v>0</v>
      </c>
      <c r="F30" s="1804">
        <f t="array" ref="F30">SUM(F8:F13*F21:F26)</f>
        <v>0</v>
      </c>
    </row>
    <row r="31" spans="1:13" ht="24" customHeight="1" thickBot="1">
      <c r="A31" s="795" t="s">
        <v>570</v>
      </c>
      <c r="B31" s="1805">
        <f>SUM(B29:B30)</f>
        <v>1200</v>
      </c>
      <c r="C31" s="1806">
        <f>SUM(C29:C30)</f>
        <v>1248</v>
      </c>
      <c r="D31" s="1805">
        <f>SUM(D29:D30)</f>
        <v>1297.92</v>
      </c>
      <c r="E31" s="1806">
        <f>SUM(E29:E30)</f>
        <v>1349.8368</v>
      </c>
      <c r="F31" s="1805">
        <f>SUM(F29:F30)</f>
        <v>1403.8302720000002</v>
      </c>
    </row>
    <row r="32" spans="1:13" ht="15.75" thickBot="1"/>
    <row r="33" spans="1:11" ht="20.25" customHeight="1" thickBot="1">
      <c r="A33" s="895"/>
      <c r="B33" s="895"/>
      <c r="C33" s="1591" t="str">
        <f>"meses ao inicio do "&amp;'Dados Básicos'!B18&amp;" ("&amp;Parametros!D65&amp;") sem salário para os sócios"</f>
        <v>meses ao inicio do Ano 0 (2026) sem salário para os sócios</v>
      </c>
      <c r="D33" s="3140">
        <v>0</v>
      </c>
    </row>
    <row r="34" spans="1:11" ht="20.25" customHeight="1" thickBot="1">
      <c r="A34" s="895"/>
      <c r="B34" s="895"/>
      <c r="C34" s="1591" t="str">
        <f>"meses posteriores com salários crescentes para os sócios"</f>
        <v>meses posteriores com salários crescentes para os sócios</v>
      </c>
      <c r="D34" s="3140">
        <v>0</v>
      </c>
      <c r="E34" s="2047" t="str">
        <f>IF(D34+D33+mes0&gt;24,"ERROR: Transitorio mayor que 24 meses","")</f>
        <v/>
      </c>
    </row>
    <row r="36" spans="1:11" s="49" customFormat="1" ht="32.25" hidden="1" customHeight="1" thickBot="1">
      <c r="A36" s="3195" t="s">
        <v>571</v>
      </c>
      <c r="B36" s="3196" t="str">
        <f t="array" ref="B36:F36">anni</f>
        <v>Ano 0:  2026</v>
      </c>
      <c r="C36" s="3196" t="str">
        <v>Ano 1:  2027</v>
      </c>
      <c r="D36" s="3196" t="str">
        <v>Ano 2:  2028</v>
      </c>
      <c r="E36" s="3196" t="str">
        <v>Ano 3:  2029</v>
      </c>
      <c r="F36" s="3196" t="str">
        <v>Ano 4:  2030</v>
      </c>
      <c r="G36" s="3197"/>
      <c r="H36" s="3197"/>
      <c r="I36" s="3197"/>
      <c r="J36" s="3197"/>
      <c r="K36" s="3197"/>
    </row>
    <row r="37" spans="1:11" s="49" customFormat="1" ht="19.5" hidden="1" customHeight="1">
      <c r="A37" s="3198" t="str">
        <f t="array" ref="A37:A44">catlaborales</f>
        <v>Emprsários em nome individual</v>
      </c>
      <c r="B37" s="3199">
        <f>IF(isoc&lt;&gt;0, HLOOKUP('Dados Básicos'!$B$15,'Dados Básicos'!$H$49:$K$53,IF($I37="Bonificada",3,2)),HLOOKUP('Dados Básicos'!$B$15,'Dados Básicos'!$H$49:$K$53,IF($I37="Bonificada",5,4)))</f>
        <v>0.252</v>
      </c>
      <c r="C37" s="3199">
        <f>IF(isoc&lt;&gt;0, HLOOKUP('Dados Básicos'!$B$15+1,'Dados Básicos'!$H$49:$K$53,IF($I37="Bonificada",3,2)),HLOOKUP('Dados Básicos'!$B$15+1,'Dados Básicos'!$H$49:$K$53,IF($I37="Bonificada",5,4)))</f>
        <v>0.252</v>
      </c>
      <c r="D37" s="3199">
        <f>IF(isoc&lt;&gt;0, HLOOKUP('Dados Básicos'!$B$15+2,'Dados Básicos'!$H$49:$K$53,IF($I37="Bonificada",3,2)),HLOOKUP('Dados Básicos'!$B$15+2,'Dados Básicos'!$H$49:$K$53,IF($I37="Bonificada",5,4)))</f>
        <v>0.252</v>
      </c>
      <c r="E37" s="3199">
        <f>IF(isoc&lt;&gt;0, HLOOKUP('Dados Básicos'!$B$15+3,'Dados Básicos'!$H$49:$K$53,IF($I37="Bonificada",3,2)),HLOOKUP('Dados Básicos'!$B$15+3,'Dados Básicos'!$H$49:$K$53,IF($I37="Bonificada",5,4)))</f>
        <v>0.252</v>
      </c>
      <c r="F37" s="3199">
        <f>IF(isoc&lt;&gt;0, HLOOKUP('Dados Básicos'!$B$15+4,'Dados Básicos'!$H$49:$K$53,IF($I37="Bonificada",3,2)),HLOOKUP('Dados Básicos'!$B$15+4,'Dados Básicos'!$H$49:$K$53,IF($I37="Bonificada",5,4)))</f>
        <v>0.252</v>
      </c>
      <c r="G37" s="3200" t="str">
        <f t="array" ref="G37:G38">Parametros!$G$11</f>
        <v>Euros</v>
      </c>
      <c r="H37" s="3197"/>
      <c r="I37" s="3201" t="s">
        <v>1255</v>
      </c>
      <c r="J37" s="3197"/>
      <c r="K37" s="3197"/>
    </row>
    <row r="38" spans="1:11" s="49" customFormat="1" ht="19.5" hidden="1" customHeight="1">
      <c r="A38" s="3198" t="str">
        <v>Outros trab. Independentes</v>
      </c>
      <c r="B38" s="3199">
        <f>B37</f>
        <v>0.252</v>
      </c>
      <c r="C38" s="3199">
        <f>C37</f>
        <v>0.252</v>
      </c>
      <c r="D38" s="3199">
        <f>D37</f>
        <v>0.252</v>
      </c>
      <c r="E38" s="3199">
        <f>E37</f>
        <v>0.252</v>
      </c>
      <c r="F38" s="3199">
        <f>F37</f>
        <v>0.252</v>
      </c>
      <c r="G38" s="3200" t="str">
        <v>Euros</v>
      </c>
      <c r="H38" s="3197"/>
      <c r="I38" s="3197"/>
      <c r="J38" s="3197"/>
      <c r="K38" s="3197"/>
    </row>
    <row r="39" spans="1:11" s="49" customFormat="1" ht="18.75" hidden="1" customHeight="1">
      <c r="A39" s="3202" t="str">
        <v>Empregados</v>
      </c>
      <c r="B39" s="3203">
        <v>0.39</v>
      </c>
      <c r="C39" s="3203">
        <f t="shared" ref="C39:F44" si="5">B39</f>
        <v>0.39</v>
      </c>
      <c r="D39" s="3203">
        <f t="shared" si="5"/>
        <v>0.39</v>
      </c>
      <c r="E39" s="3203">
        <f t="shared" si="5"/>
        <v>0.39</v>
      </c>
      <c r="F39" s="3203">
        <f t="shared" si="5"/>
        <v>0.39</v>
      </c>
      <c r="G39" s="3197"/>
      <c r="H39" s="3197"/>
      <c r="I39" s="3197"/>
      <c r="J39" s="3197"/>
      <c r="K39" s="3197"/>
    </row>
    <row r="40" spans="1:11" s="49" customFormat="1" ht="19.5" hidden="1" customHeight="1">
      <c r="A40" s="3202" t="str">
        <v/>
      </c>
      <c r="B40" s="3203">
        <v>0.4</v>
      </c>
      <c r="C40" s="3203">
        <f t="shared" si="5"/>
        <v>0.4</v>
      </c>
      <c r="D40" s="3203">
        <f t="shared" si="5"/>
        <v>0.4</v>
      </c>
      <c r="E40" s="3203">
        <f t="shared" si="5"/>
        <v>0.4</v>
      </c>
      <c r="F40" s="3203">
        <f t="shared" si="5"/>
        <v>0.4</v>
      </c>
      <c r="G40" s="3197"/>
      <c r="H40" s="3197"/>
      <c r="I40" s="3197"/>
      <c r="J40" s="3197"/>
      <c r="K40" s="3197"/>
    </row>
    <row r="41" spans="1:11" s="49" customFormat="1" ht="19.5" hidden="1" customHeight="1">
      <c r="A41" s="3202" t="str">
        <v/>
      </c>
      <c r="B41" s="3203">
        <v>0.4</v>
      </c>
      <c r="C41" s="3203">
        <f t="shared" si="5"/>
        <v>0.4</v>
      </c>
      <c r="D41" s="3203">
        <f t="shared" si="5"/>
        <v>0.4</v>
      </c>
      <c r="E41" s="3203">
        <f t="shared" si="5"/>
        <v>0.4</v>
      </c>
      <c r="F41" s="3203">
        <f t="shared" si="5"/>
        <v>0.4</v>
      </c>
      <c r="G41" s="3197"/>
      <c r="H41" s="3197"/>
      <c r="I41" s="3197"/>
      <c r="J41" s="3197"/>
      <c r="K41" s="3197"/>
    </row>
    <row r="42" spans="1:11" ht="19.5" hidden="1" customHeight="1">
      <c r="A42" s="3202" t="str">
        <v/>
      </c>
      <c r="B42" s="3203">
        <v>0.4</v>
      </c>
      <c r="C42" s="3203">
        <f t="shared" si="5"/>
        <v>0.4</v>
      </c>
      <c r="D42" s="3203">
        <f t="shared" si="5"/>
        <v>0.4</v>
      </c>
      <c r="E42" s="3203">
        <f t="shared" si="5"/>
        <v>0.4</v>
      </c>
      <c r="F42" s="3203">
        <f t="shared" si="5"/>
        <v>0.4</v>
      </c>
      <c r="G42" s="3204"/>
      <c r="H42" s="3204"/>
      <c r="I42" s="3204"/>
      <c r="J42" s="3204"/>
      <c r="K42" s="3204"/>
    </row>
    <row r="43" spans="1:11" ht="19.5" hidden="1" customHeight="1">
      <c r="A43" s="3202" t="str">
        <v/>
      </c>
      <c r="B43" s="3203">
        <v>0.4</v>
      </c>
      <c r="C43" s="3203">
        <f t="shared" si="5"/>
        <v>0.4</v>
      </c>
      <c r="D43" s="3203">
        <f t="shared" si="5"/>
        <v>0.4</v>
      </c>
      <c r="E43" s="3203">
        <f t="shared" si="5"/>
        <v>0.4</v>
      </c>
      <c r="F43" s="3203">
        <f t="shared" si="5"/>
        <v>0.4</v>
      </c>
      <c r="G43" s="3204"/>
      <c r="H43" s="3204"/>
      <c r="I43" s="3204"/>
      <c r="J43" s="3204"/>
      <c r="K43" s="3204"/>
    </row>
    <row r="44" spans="1:11" ht="19.5" hidden="1" customHeight="1" thickBot="1">
      <c r="A44" s="3205" t="str">
        <v/>
      </c>
      <c r="B44" s="3206">
        <v>0.4</v>
      </c>
      <c r="C44" s="3206">
        <f t="shared" si="5"/>
        <v>0.4</v>
      </c>
      <c r="D44" s="3206">
        <f t="shared" si="5"/>
        <v>0.4</v>
      </c>
      <c r="E44" s="3206">
        <f t="shared" si="5"/>
        <v>0.4</v>
      </c>
      <c r="F44" s="3206">
        <f t="shared" si="5"/>
        <v>0.4</v>
      </c>
      <c r="G44" s="3204"/>
      <c r="H44" s="3204"/>
      <c r="I44" s="3204"/>
      <c r="J44" s="3204"/>
      <c r="K44" s="3204"/>
    </row>
    <row r="45" spans="1:11" ht="24" hidden="1" customHeight="1" thickBot="1"/>
    <row r="46" spans="1:11" ht="30.75" hidden="1" customHeight="1" thickBot="1">
      <c r="A46" s="3208" t="s">
        <v>572</v>
      </c>
      <c r="B46" s="2084" t="str">
        <f t="array" ref="B46:F46">anni</f>
        <v>Ano 0:  2026</v>
      </c>
      <c r="C46" s="2084" t="str">
        <v>Ano 1:  2027</v>
      </c>
      <c r="D46" s="2084" t="str">
        <v>Ano 2:  2028</v>
      </c>
      <c r="E46" s="2084" t="str">
        <v>Ano 3:  2029</v>
      </c>
      <c r="F46" s="2084" t="str">
        <v>Ano 4:  2030</v>
      </c>
    </row>
    <row r="47" spans="1:11" ht="19.5" hidden="1" customHeight="1">
      <c r="A47" s="1802" t="str">
        <f>A29</f>
        <v>Empresário em nome individual</v>
      </c>
      <c r="B47" s="1807">
        <f t="array" ref="B47">SUM(B37:B38*B6:B7)</f>
        <v>0.252</v>
      </c>
      <c r="C47" s="1807">
        <f t="array" ref="C47">SUM(C37:C38*C6:C7)</f>
        <v>0.252</v>
      </c>
      <c r="D47" s="1807">
        <f t="array" ref="D47">SUM(D37:D38*D6:D7)</f>
        <v>0.252</v>
      </c>
      <c r="E47" s="1807">
        <f t="array" ref="E47">SUM(E37:E38*E6:E7)</f>
        <v>0.252</v>
      </c>
      <c r="F47" s="1807">
        <f t="array" ref="F47">SUM(F37:F38*F6:F7)</f>
        <v>0.252</v>
      </c>
    </row>
    <row r="48" spans="1:11" ht="19.5" hidden="1" customHeight="1" thickBot="1">
      <c r="A48" s="1803" t="str">
        <f>A30</f>
        <v>Trabalhadores por conta de outrem</v>
      </c>
      <c r="B48" s="1804">
        <f t="array" ref="B48">SUM(B8:B13*B21:B26*B39:B44)</f>
        <v>0</v>
      </c>
      <c r="C48" s="1804">
        <f t="array" ref="C48">SUM(C8:C13*C21:C26*C39:C44)</f>
        <v>0</v>
      </c>
      <c r="D48" s="1804">
        <f t="array" ref="D48">SUM(D8:D13*D21:D26*D39:D44)</f>
        <v>0</v>
      </c>
      <c r="E48" s="1804">
        <f t="array" ref="E48">SUM(E8:E13*E21:E26*E39:E44)</f>
        <v>0</v>
      </c>
      <c r="F48" s="1804">
        <f t="array" ref="F48">SUM(F8:F13*F21:F26*F39:F44)</f>
        <v>0</v>
      </c>
    </row>
    <row r="49" spans="1:6" ht="24" hidden="1" customHeight="1" thickBot="1">
      <c r="A49" s="795" t="s">
        <v>570</v>
      </c>
      <c r="B49" s="1805">
        <f>SUM(B47:B48)</f>
        <v>0.252</v>
      </c>
      <c r="C49" s="1806">
        <f>SUM(C47:C48)</f>
        <v>0.252</v>
      </c>
      <c r="D49" s="1805">
        <f>SUM(D47:D48)</f>
        <v>0.252</v>
      </c>
      <c r="E49" s="1806">
        <f>SUM(E47:E48)</f>
        <v>0.252</v>
      </c>
      <c r="F49" s="1805">
        <f>SUM(F47:F48)</f>
        <v>0.252</v>
      </c>
    </row>
    <row r="50" spans="1:6" hidden="1"/>
    <row r="51" spans="1:6" ht="15.75" thickBot="1"/>
    <row r="52" spans="1:6" s="49" customFormat="1" ht="32.25" customHeight="1" thickBot="1">
      <c r="A52" s="2083" t="s">
        <v>573</v>
      </c>
      <c r="B52" s="2084" t="str">
        <f t="array" ref="B52:F52">anni</f>
        <v>Ano 0:  2026</v>
      </c>
      <c r="C52" s="2084" t="str">
        <v>Ano 1:  2027</v>
      </c>
      <c r="D52" s="2084" t="str">
        <v>Ano 2:  2028</v>
      </c>
      <c r="E52" s="2084" t="str">
        <v>Ano 3:  2029</v>
      </c>
      <c r="F52" s="2084" t="str">
        <v>Ano 4:  2030</v>
      </c>
    </row>
    <row r="53" spans="1:6" ht="17.25" customHeight="1">
      <c r="A53" s="1402" t="s">
        <v>574</v>
      </c>
      <c r="B53" s="1403">
        <v>18</v>
      </c>
      <c r="C53" s="1403">
        <f t="shared" ref="C53:F54" si="6">B53*1.04</f>
        <v>18.72</v>
      </c>
      <c r="D53" s="1403">
        <f t="shared" si="6"/>
        <v>19.468799999999998</v>
      </c>
      <c r="E53" s="1403">
        <f t="shared" si="6"/>
        <v>20.247551999999999</v>
      </c>
      <c r="F53" s="1403">
        <f t="shared" si="6"/>
        <v>21.057454079999999</v>
      </c>
    </row>
    <row r="54" spans="1:6" ht="17.25" customHeight="1" thickBot="1">
      <c r="A54" s="72" t="s">
        <v>575</v>
      </c>
      <c r="B54" s="937">
        <v>18</v>
      </c>
      <c r="C54" s="937">
        <f t="shared" si="6"/>
        <v>18.72</v>
      </c>
      <c r="D54" s="937">
        <f t="shared" si="6"/>
        <v>19.468799999999998</v>
      </c>
      <c r="E54" s="937">
        <f t="shared" si="6"/>
        <v>20.247551999999999</v>
      </c>
      <c r="F54" s="937">
        <f t="shared" si="6"/>
        <v>21.057454079999999</v>
      </c>
    </row>
  </sheetData>
  <sheetProtection sheet="1" objects="1" scenarios="1"/>
  <phoneticPr fontId="4" type="noConversion"/>
  <dataValidations count="6">
    <dataValidation type="decimal" operator="greaterThanOrEqual" allowBlank="1" showInputMessage="1" showErrorMessage="1" sqref="B53:F54 B19:F26 B37:F38" xr:uid="{00000000-0002-0000-0F00-000000000000}">
      <formula1>0</formula1>
    </dataValidation>
    <dataValidation type="whole" allowBlank="1" showInputMessage="1" showErrorMessage="1" sqref="D33:D34" xr:uid="{00000000-0002-0000-0F00-000001000000}">
      <formula1>0</formula1>
      <formula2>12</formula2>
    </dataValidation>
    <dataValidation type="decimal" allowBlank="1" showInputMessage="1" showErrorMessage="1" sqref="B39:F44" xr:uid="{00000000-0002-0000-0F00-000002000000}">
      <formula1>0</formula1>
      <formula2>1</formula2>
    </dataValidation>
    <dataValidation type="whole" operator="greaterThanOrEqual" allowBlank="1" showInputMessage="1" showErrorMessage="1" sqref="B6:F13" xr:uid="{00000000-0002-0000-0F00-000003000000}">
      <formula1>0</formula1>
    </dataValidation>
    <dataValidation type="list" allowBlank="1" showInputMessage="1" showErrorMessage="1" sqref="H6:H13" xr:uid="{00000000-0002-0000-0F00-000004000000}">
      <formula1>"Sí,No"</formula1>
    </dataValidation>
    <dataValidation type="list" allowBlank="1" showInputMessage="1" showErrorMessage="1" sqref="I37" xr:uid="{00000000-0002-0000-0F00-000005000000}">
      <formula1>"Bonificada,Sem Bonificação"</formula1>
    </dataValidation>
  </dataValidations>
  <printOptions horizontalCentered="1"/>
  <pageMargins left="0.78740157480314965" right="0.78740157480314965" top="0.55118110236220474" bottom="0.43307086614173229" header="0" footer="0"/>
  <pageSetup paperSize="9" scale="78"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N45"/>
  <sheetViews>
    <sheetView workbookViewId="0"/>
  </sheetViews>
  <sheetFormatPr baseColWidth="10" defaultColWidth="11" defaultRowHeight="14.25"/>
  <cols>
    <col min="1" max="1" width="31.875" style="904" customWidth="1"/>
    <col min="2" max="3" width="11" style="904"/>
    <col min="4" max="4" width="14" style="904" customWidth="1"/>
    <col min="5" max="16384" width="11" style="904"/>
  </cols>
  <sheetData>
    <row r="1" spans="1:14" ht="22.5">
      <c r="A1" s="68" t="s">
        <v>1180</v>
      </c>
    </row>
    <row r="2" spans="1:14" ht="22.5">
      <c r="A2" s="68" t="str">
        <f>'Dados Básicos'!B9</f>
        <v>WWW, S.L.</v>
      </c>
    </row>
    <row r="4" spans="1:14" ht="15" thickBot="1"/>
    <row r="5" spans="1:14" s="49" customFormat="1" ht="31.5" customHeight="1" thickBot="1">
      <c r="A5" s="714" t="s">
        <v>1180</v>
      </c>
      <c r="B5" s="797"/>
      <c r="C5" s="797"/>
      <c r="D5" s="797"/>
      <c r="E5" s="1746" t="str">
        <f>+Parametros!B77</f>
        <v>Ano 0:  2026</v>
      </c>
      <c r="F5" s="2956"/>
      <c r="G5" s="1746" t="str">
        <f>+Parametros!C77</f>
        <v>Ano 1:  2027</v>
      </c>
      <c r="H5" s="2956"/>
      <c r="I5" s="2957" t="str">
        <f>+Parametros!D77</f>
        <v>Ano 2:  2028</v>
      </c>
      <c r="J5" s="2956"/>
      <c r="K5" s="1746" t="str">
        <f>+Parametros!E77</f>
        <v>Ano 3:  2029</v>
      </c>
      <c r="L5" s="2956"/>
      <c r="M5" s="2957" t="str">
        <f>+Parametros!F77</f>
        <v>Ano 4:  2030</v>
      </c>
      <c r="N5" s="2956"/>
    </row>
    <row r="6" spans="1:14" s="49" customFormat="1" ht="15">
      <c r="A6" s="2958"/>
      <c r="E6" s="2959" t="s">
        <v>1188</v>
      </c>
      <c r="F6" s="2960" t="s">
        <v>1181</v>
      </c>
      <c r="G6" s="2959" t="str">
        <f>$E6</f>
        <v>% vendas</v>
      </c>
      <c r="H6" s="2960" t="str">
        <f>$F6</f>
        <v>Importe anual</v>
      </c>
      <c r="I6" s="2961" t="str">
        <f>$E6</f>
        <v>% vendas</v>
      </c>
      <c r="J6" s="2960" t="str">
        <f>$F6</f>
        <v>Importe anual</v>
      </c>
      <c r="K6" s="2959" t="str">
        <f>$E6</f>
        <v>% vendas</v>
      </c>
      <c r="L6" s="2960" t="str">
        <f>$F6</f>
        <v>Importe anual</v>
      </c>
      <c r="M6" s="2961" t="str">
        <f>$E6</f>
        <v>% vendas</v>
      </c>
      <c r="N6" s="2960" t="str">
        <f>$F6</f>
        <v>Importe anual</v>
      </c>
    </row>
    <row r="7" spans="1:14" s="49" customFormat="1" ht="18.75" customHeight="1">
      <c r="A7" s="2962" t="s">
        <v>1182</v>
      </c>
      <c r="B7" s="804"/>
      <c r="C7" s="804"/>
      <c r="D7" s="804"/>
      <c r="E7" s="2990">
        <v>0.02</v>
      </c>
      <c r="F7" s="2972">
        <f ca="1">E7*'Resumo Vendas 5 anos'!B$27</f>
        <v>143.99999999999997</v>
      </c>
      <c r="G7" s="2990">
        <f>E7</f>
        <v>0.02</v>
      </c>
      <c r="H7" s="2972">
        <f ca="1">G7*'Resumo Vendas 5 anos'!C$27</f>
        <v>247.20000000000002</v>
      </c>
      <c r="I7" s="2991">
        <f>G7</f>
        <v>0.02</v>
      </c>
      <c r="J7" s="2972">
        <f ca="1">I7*'Resumo Vendas 5 anos'!E$27</f>
        <v>267.34679999999997</v>
      </c>
      <c r="K7" s="2990">
        <f>I7</f>
        <v>0.02</v>
      </c>
      <c r="L7" s="2972">
        <f ca="1">K7*'Resumo Vendas 5 anos'!G$27</f>
        <v>289.26669143999999</v>
      </c>
      <c r="M7" s="2991">
        <f>K7</f>
        <v>0.02</v>
      </c>
      <c r="N7" s="2972">
        <f ca="1">M7*'Resumo Vendas 5 anos'!I$27</f>
        <v>312.80140847519999</v>
      </c>
    </row>
    <row r="8" spans="1:14" s="49" customFormat="1" ht="18.75" customHeight="1">
      <c r="A8" s="2962" t="s">
        <v>1189</v>
      </c>
      <c r="B8" s="804"/>
      <c r="C8" s="804"/>
      <c r="D8" s="804"/>
      <c r="E8" s="2990">
        <v>0.02</v>
      </c>
      <c r="F8" s="2972">
        <f ca="1">E8*'Resumo Vendas 5 anos'!B$27</f>
        <v>143.99999999999997</v>
      </c>
      <c r="G8" s="2990">
        <f>E8</f>
        <v>0.02</v>
      </c>
      <c r="H8" s="2972">
        <f ca="1">G8*'Resumo Vendas 5 anos'!C$27</f>
        <v>247.20000000000002</v>
      </c>
      <c r="I8" s="2991">
        <f>G8</f>
        <v>0.02</v>
      </c>
      <c r="J8" s="2972">
        <f ca="1">I8*'Resumo Vendas 5 anos'!E$27</f>
        <v>267.34679999999997</v>
      </c>
      <c r="K8" s="2990">
        <f>I8</f>
        <v>0.02</v>
      </c>
      <c r="L8" s="2972">
        <f ca="1">K8*'Resumo Vendas 5 anos'!G$27</f>
        <v>289.26669143999999</v>
      </c>
      <c r="M8" s="2991">
        <f>K8</f>
        <v>0.02</v>
      </c>
      <c r="N8" s="2972">
        <f ca="1">M8*'Resumo Vendas 5 anos'!I$27</f>
        <v>312.80140847519999</v>
      </c>
    </row>
    <row r="9" spans="1:14" s="49" customFormat="1" ht="15.75" thickBot="1">
      <c r="A9" s="2963"/>
      <c r="E9" s="2184"/>
      <c r="F9" s="2964"/>
      <c r="G9" s="2184"/>
      <c r="H9" s="2964"/>
      <c r="I9" s="35"/>
      <c r="J9" s="2964"/>
      <c r="K9" s="2184"/>
      <c r="L9" s="2964"/>
      <c r="M9" s="35"/>
      <c r="N9" s="2964"/>
    </row>
    <row r="10" spans="1:14" s="49" customFormat="1" ht="30" thickTop="1" thickBot="1">
      <c r="A10" s="2184"/>
      <c r="B10" s="2965" t="s">
        <v>586</v>
      </c>
      <c r="C10" s="1746" t="s">
        <v>1187</v>
      </c>
      <c r="D10" s="2966"/>
      <c r="E10" s="2967"/>
      <c r="F10" s="2968" t="s">
        <v>1183</v>
      </c>
      <c r="G10" s="2967" t="s">
        <v>1184</v>
      </c>
      <c r="H10" s="2968" t="str">
        <f>$F10</f>
        <v>Importe
anual</v>
      </c>
      <c r="I10" s="2969" t="str">
        <f>$G10</f>
        <v>% incr.
anual</v>
      </c>
      <c r="J10" s="2968" t="str">
        <f>$F10</f>
        <v>Importe
anual</v>
      </c>
      <c r="K10" s="2967" t="str">
        <f>$G10</f>
        <v>% incr.
anual</v>
      </c>
      <c r="L10" s="2968" t="str">
        <f>$F10</f>
        <v>Importe
anual</v>
      </c>
      <c r="M10" s="2969" t="str">
        <f>$G10</f>
        <v>% incr.
anual</v>
      </c>
      <c r="N10" s="2968" t="str">
        <f>$F10</f>
        <v>Importe
anual</v>
      </c>
    </row>
    <row r="11" spans="1:14" s="49" customFormat="1" ht="15">
      <c r="A11" s="2970" t="s">
        <v>1185</v>
      </c>
      <c r="B11" s="2971">
        <v>1</v>
      </c>
      <c r="C11" s="3067">
        <v>0</v>
      </c>
      <c r="D11" s="3068" t="str">
        <f>CONCATENATE(Parametros!$H$11,"/",IF(B11=12,"mês",  IF(B11=6,"2 meses",IF(B11=4,"trimestre",IF(B11=3,"cuatrimestre",IF(B11=2,"semestre","ano"))   ))   ))</f>
        <v>€/ano</v>
      </c>
      <c r="E11" s="2972"/>
      <c r="F11" s="2972">
        <f>C11*B11</f>
        <v>0</v>
      </c>
      <c r="G11" s="2990">
        <v>0.03</v>
      </c>
      <c r="H11" s="2972">
        <f>F11*(1+G11)</f>
        <v>0</v>
      </c>
      <c r="I11" s="2991">
        <f>G11</f>
        <v>0.03</v>
      </c>
      <c r="J11" s="2972">
        <f>H11*(1+I11)</f>
        <v>0</v>
      </c>
      <c r="K11" s="2990">
        <f>I11</f>
        <v>0.03</v>
      </c>
      <c r="L11" s="2972">
        <f>J11*(1+K11)</f>
        <v>0</v>
      </c>
      <c r="M11" s="2991">
        <f>K11</f>
        <v>0.03</v>
      </c>
      <c r="N11" s="2972">
        <f>L11*(1+M11)</f>
        <v>0</v>
      </c>
    </row>
    <row r="12" spans="1:14" s="49" customFormat="1" ht="15">
      <c r="A12" s="2970" t="s">
        <v>1186</v>
      </c>
      <c r="B12" s="2971">
        <v>12</v>
      </c>
      <c r="C12" s="3069">
        <v>0</v>
      </c>
      <c r="D12" s="3070" t="str">
        <f>CONCATENATE(Parametros!$H$11,"/",IF(B12=12,"mês",  IF(B12=6,"2 meses",IF(B12=4,"trimestre",IF(B12=3,"cuatrimestre",IF(B12=2,"semestre","ano"))   ))   ))</f>
        <v>€/mês</v>
      </c>
      <c r="E12" s="2972"/>
      <c r="F12" s="2972">
        <f>C12*B12</f>
        <v>0</v>
      </c>
      <c r="G12" s="2990">
        <v>0.03</v>
      </c>
      <c r="H12" s="2972">
        <f>F12*(1+G12)</f>
        <v>0</v>
      </c>
      <c r="I12" s="2991">
        <f>G12</f>
        <v>0.03</v>
      </c>
      <c r="J12" s="2972">
        <f>H12*(1+I12)</f>
        <v>0</v>
      </c>
      <c r="K12" s="2990">
        <f>I12</f>
        <v>0.03</v>
      </c>
      <c r="L12" s="2972">
        <f>J12*(1+K12)</f>
        <v>0</v>
      </c>
      <c r="M12" s="2991">
        <f>K12</f>
        <v>0.03</v>
      </c>
      <c r="N12" s="2972">
        <f>L12*(1+M12)</f>
        <v>0</v>
      </c>
    </row>
    <row r="13" spans="1:14" s="49" customFormat="1" ht="15">
      <c r="A13" s="2973"/>
      <c r="B13" s="2974"/>
      <c r="C13" s="2974"/>
      <c r="D13" s="35"/>
      <c r="E13" s="2184"/>
      <c r="F13" s="2964"/>
      <c r="G13" s="2184"/>
      <c r="H13" s="2964"/>
      <c r="I13" s="35"/>
      <c r="J13" s="2964"/>
      <c r="K13" s="2184"/>
      <c r="L13" s="2964"/>
      <c r="M13" s="35"/>
      <c r="N13" s="2964"/>
    </row>
    <row r="14" spans="1:14" s="49" customFormat="1" ht="18.75" customHeight="1">
      <c r="A14" s="3061"/>
      <c r="B14" s="3062"/>
      <c r="C14" s="3062"/>
      <c r="D14" s="3063" t="s">
        <v>1198</v>
      </c>
      <c r="E14" s="3064" t="str">
        <f>Parametros!D62</f>
        <v>Ano 0</v>
      </c>
      <c r="F14" s="3065">
        <f ca="1">SUM(F7:F8,F11:F12)</f>
        <v>287.99999999999994</v>
      </c>
      <c r="G14" s="3129">
        <f>Parametros!E62</f>
        <v>1</v>
      </c>
      <c r="H14" s="3065">
        <f ca="1">SUM(H7:H8,H11:H12)</f>
        <v>494.40000000000003</v>
      </c>
      <c r="I14" s="3129">
        <f>G14+1</f>
        <v>2</v>
      </c>
      <c r="J14" s="3065">
        <f ca="1">SUM(J7:J8,J11:J12)</f>
        <v>534.69359999999995</v>
      </c>
      <c r="K14" s="3129">
        <f>I14+1</f>
        <v>3</v>
      </c>
      <c r="L14" s="3065">
        <f ca="1">SUM(L7:L8,L11:L12)</f>
        <v>578.53338287999998</v>
      </c>
      <c r="M14" s="3129">
        <f>K14+1</f>
        <v>4</v>
      </c>
      <c r="N14" s="3065">
        <f ca="1">SUM(N7:N8,N11:N12)</f>
        <v>625.60281695039998</v>
      </c>
    </row>
    <row r="15" spans="1:14" ht="22.5" customHeight="1" thickBot="1">
      <c r="A15" s="2975"/>
      <c r="B15" s="2976"/>
      <c r="C15" s="2976"/>
      <c r="D15" s="3066" t="s">
        <v>1244</v>
      </c>
      <c r="E15" s="2975"/>
      <c r="F15" s="3153">
        <f ca="1">IFERROR(('PPeGG anuais'!B13-F14)/F14,0)</f>
        <v>20.500000000000004</v>
      </c>
      <c r="G15" s="2976"/>
      <c r="H15" s="3153">
        <f ca="1">IFERROR(('PPeGG anuais'!D13-H14)/H14,0)</f>
        <v>20.5</v>
      </c>
      <c r="I15" s="2975"/>
      <c r="J15" s="3153">
        <f ca="1">IFERROR(('PPeGG anuais'!G13-J14)/J14,0)</f>
        <v>20.5</v>
      </c>
      <c r="K15" s="2976"/>
      <c r="L15" s="3153">
        <f ca="1">IFERROR(('PPeGG anuais'!J13-L14)/L14,0)</f>
        <v>20.500000000000004</v>
      </c>
      <c r="M15" s="2975"/>
      <c r="N15" s="3153">
        <f ca="1">IFERROR(('PPeGG anuais'!M13-N14)/N14,0)</f>
        <v>20.499999999999996</v>
      </c>
    </row>
    <row r="17" spans="1:14" ht="15" thickBot="1"/>
    <row r="18" spans="1:14" s="49" customFormat="1" ht="27.75" customHeight="1">
      <c r="A18" s="744" t="s">
        <v>1199</v>
      </c>
      <c r="B18" s="2992"/>
      <c r="C18" s="2993"/>
      <c r="D18" s="2994"/>
      <c r="E18" s="2995" t="str">
        <f>E$5</f>
        <v>Ano 0:  2026</v>
      </c>
      <c r="F18" s="2996"/>
      <c r="G18" s="2995" t="str">
        <f>G$5</f>
        <v>Ano 1:  2027</v>
      </c>
      <c r="H18" s="2996"/>
      <c r="I18" s="2995" t="str">
        <f>I$5</f>
        <v>Ano 2:  2028</v>
      </c>
      <c r="J18" s="2996"/>
      <c r="K18" s="2995" t="str">
        <f>K$5</f>
        <v>Ano 3:  2029</v>
      </c>
      <c r="L18" s="2996"/>
      <c r="M18" s="2995" t="str">
        <f>M$5</f>
        <v>Ano 4:  2030</v>
      </c>
      <c r="N18" s="2996"/>
    </row>
    <row r="19" spans="1:14" s="49" customFormat="1" ht="18.75" customHeight="1">
      <c r="A19" s="2997"/>
      <c r="B19" s="2998"/>
      <c r="C19" s="2999"/>
      <c r="D19" s="3000" t="s">
        <v>1195</v>
      </c>
      <c r="E19" s="3001"/>
      <c r="F19" s="3122">
        <f ca="1">+'Estimações Vendas'!P6</f>
        <v>7199.9999999999991</v>
      </c>
      <c r="G19" s="3002"/>
      <c r="H19" s="3122">
        <f>+'Estimações Vendas'!P19</f>
        <v>12000</v>
      </c>
      <c r="I19" s="3002"/>
      <c r="J19" s="3122">
        <f>+'Estimações Vendas'!P32</f>
        <v>12600</v>
      </c>
      <c r="K19" s="3002"/>
      <c r="L19" s="3122">
        <f>+'Estimações Vendas'!P45</f>
        <v>13236</v>
      </c>
      <c r="M19" s="3002"/>
      <c r="N19" s="3122">
        <f>+'Estimações Vendas'!P58</f>
        <v>13896</v>
      </c>
    </row>
    <row r="20" spans="1:14" s="49" customFormat="1" ht="18.75" customHeight="1">
      <c r="A20" s="2997"/>
      <c r="B20" s="2998"/>
      <c r="C20" s="2998"/>
      <c r="D20" s="3003" t="s">
        <v>1190</v>
      </c>
      <c r="E20" s="2997"/>
      <c r="F20" s="3004">
        <f ca="1">IFERROR(F14/F19,0)</f>
        <v>3.9999999999999994E-2</v>
      </c>
      <c r="G20" s="2997"/>
      <c r="H20" s="3005">
        <f ca="1">IFERROR(H14/H19,0)</f>
        <v>4.1200000000000001E-2</v>
      </c>
      <c r="I20" s="336"/>
      <c r="J20" s="3005">
        <f ca="1">IFERROR(J14/J19,0)</f>
        <v>4.2435999999999995E-2</v>
      </c>
      <c r="K20" s="336"/>
      <c r="L20" s="3005">
        <f ca="1">IFERROR(L14/L19,0)</f>
        <v>4.3709079999999997E-2</v>
      </c>
      <c r="M20" s="336"/>
      <c r="N20" s="3005">
        <f ca="1">IFERROR(N14/N19,0)</f>
        <v>4.5020352399999998E-2</v>
      </c>
    </row>
    <row r="21" spans="1:14" s="49" customFormat="1" ht="18.75" customHeight="1">
      <c r="A21" s="336"/>
      <c r="B21" s="2998" t="s">
        <v>1191</v>
      </c>
      <c r="C21" s="2998"/>
      <c r="D21" s="3006"/>
      <c r="E21" s="2997"/>
      <c r="F21" s="3006"/>
      <c r="G21" s="2997"/>
      <c r="H21" s="3007"/>
      <c r="I21" s="336"/>
      <c r="J21" s="3007"/>
      <c r="K21" s="336"/>
      <c r="L21" s="3007"/>
      <c r="M21" s="336"/>
      <c r="N21" s="3007"/>
    </row>
    <row r="22" spans="1:14" s="49" customFormat="1" ht="18.75" customHeight="1">
      <c r="A22" s="336"/>
      <c r="B22" s="2999"/>
      <c r="C22" s="2999"/>
      <c r="D22" s="3008" t="str">
        <f>"Ticket Meio ( "&amp;Parametros!$H$11&amp;"/ano )"</f>
        <v>Ticket Meio ( €/ano )</v>
      </c>
      <c r="E22" s="336"/>
      <c r="F22" s="3009">
        <f ca="1">'Resumo Vendas 5 anos'!B27/'Estimações Vendas'!N14</f>
        <v>1</v>
      </c>
      <c r="G22" s="3010"/>
      <c r="H22" s="3009">
        <f ca="1">'PPeGG anuais'!D7/'Estimações Vendas'!N27</f>
        <v>1.03</v>
      </c>
      <c r="I22" s="3010"/>
      <c r="J22" s="3009">
        <f ca="1">'PPeGG anuais'!G7/'Estimações Vendas'!N40</f>
        <v>1.0609</v>
      </c>
      <c r="K22" s="3010"/>
      <c r="L22" s="3009">
        <f ca="1">'PPeGG anuais'!J7/'Estimações Vendas'!N53</f>
        <v>1.092727</v>
      </c>
      <c r="M22" s="3010"/>
      <c r="N22" s="3009">
        <f ca="1">'PPeGG anuais'!M7/'Estimações Vendas'!N66</f>
        <v>1.1255088099999999</v>
      </c>
    </row>
    <row r="23" spans="1:14" s="49" customFormat="1" ht="18.75" customHeight="1" thickBot="1">
      <c r="A23" s="337"/>
      <c r="B23" s="3011"/>
      <c r="C23" s="3011"/>
      <c r="D23" s="3012" t="str">
        <f>"Márgem Bruto ( % )"</f>
        <v>Márgem Bruto ( % )</v>
      </c>
      <c r="E23" s="337"/>
      <c r="F23" s="3013">
        <f ca="1">'Ratios Básicos'!C11</f>
        <v>0.86</v>
      </c>
      <c r="G23" s="337"/>
      <c r="H23" s="3013">
        <f ca="1">'Ratios Básicos'!D11</f>
        <v>0.86</v>
      </c>
      <c r="I23" s="337"/>
      <c r="J23" s="3013">
        <f ca="1">'Ratios Básicos'!E11</f>
        <v>0.8600000000000001</v>
      </c>
      <c r="K23" s="337"/>
      <c r="L23" s="3013">
        <f ca="1">'Ratios Básicos'!F11</f>
        <v>0.86</v>
      </c>
      <c r="M23" s="337"/>
      <c r="N23" s="3013">
        <f ca="1">'Ratios Básicos'!G11</f>
        <v>0.85999999999999988</v>
      </c>
    </row>
    <row r="24" spans="1:14" s="49" customFormat="1" ht="15">
      <c r="F24" s="3014" t="str">
        <f ca="1">IF(AND(F20&lt;F22,H20&lt;H22,J20&lt;J22,L20&lt;L22,N20&lt;N22),"","CAC &gt; Ticket Meio. -&gt;&gt;  Na primera venda não se cubre o que custa captar um cliente")</f>
        <v/>
      </c>
    </row>
    <row r="25" spans="1:14" s="49" customFormat="1" ht="15.75" thickBot="1"/>
    <row r="26" spans="1:14" s="49" customFormat="1" ht="20.25" customHeight="1">
      <c r="A26" s="3053"/>
      <c r="B26" s="797"/>
      <c r="C26" s="3057" t="s">
        <v>1243</v>
      </c>
      <c r="D26" s="3059" t="s">
        <v>1192</v>
      </c>
      <c r="E26" s="844"/>
      <c r="F26" s="3054">
        <v>10</v>
      </c>
      <c r="G26" s="797"/>
      <c r="H26" s="3055">
        <f t="shared" ref="H26:N27" si="0">F26</f>
        <v>10</v>
      </c>
      <c r="I26" s="844"/>
      <c r="J26" s="3054">
        <f t="shared" si="0"/>
        <v>10</v>
      </c>
      <c r="K26" s="797"/>
      <c r="L26" s="3055">
        <f t="shared" si="0"/>
        <v>10</v>
      </c>
      <c r="M26" s="844"/>
      <c r="N26" s="3054">
        <f t="shared" si="0"/>
        <v>10</v>
      </c>
    </row>
    <row r="27" spans="1:14" s="49" customFormat="1" ht="19.5" customHeight="1" thickBot="1">
      <c r="A27" s="3056"/>
      <c r="B27" s="847"/>
      <c r="C27" s="3058" t="s">
        <v>1196</v>
      </c>
      <c r="D27" s="3060" t="s">
        <v>1193</v>
      </c>
      <c r="E27" s="846"/>
      <c r="F27" s="3051">
        <v>3</v>
      </c>
      <c r="G27" s="847"/>
      <c r="H27" s="3052">
        <f t="shared" si="0"/>
        <v>3</v>
      </c>
      <c r="I27" s="846"/>
      <c r="J27" s="3051">
        <f t="shared" si="0"/>
        <v>3</v>
      </c>
      <c r="K27" s="847"/>
      <c r="L27" s="3052">
        <f t="shared" si="0"/>
        <v>3</v>
      </c>
      <c r="M27" s="846"/>
      <c r="N27" s="3051">
        <f t="shared" si="0"/>
        <v>3</v>
      </c>
    </row>
    <row r="28" spans="1:14" s="49" customFormat="1" ht="15.75" thickBot="1">
      <c r="A28" s="3015"/>
      <c r="B28" s="3015"/>
      <c r="C28" s="3016"/>
      <c r="D28" s="3016"/>
    </row>
    <row r="29" spans="1:14" s="49" customFormat="1" ht="28.5" customHeight="1">
      <c r="A29" s="744" t="s">
        <v>1246</v>
      </c>
      <c r="B29" s="2992"/>
      <c r="C29" s="2993"/>
      <c r="D29" s="2994"/>
      <c r="E29" s="2995" t="str">
        <f>E$5</f>
        <v>Ano 0:  2026</v>
      </c>
      <c r="F29" s="2996"/>
      <c r="G29" s="2995" t="str">
        <f>G$5</f>
        <v>Ano 1:  2027</v>
      </c>
      <c r="H29" s="2996"/>
      <c r="I29" s="2995" t="str">
        <f>I$5</f>
        <v>Ano 2:  2028</v>
      </c>
      <c r="J29" s="2996"/>
      <c r="K29" s="2995" t="str">
        <f>K$5</f>
        <v>Ano 3:  2029</v>
      </c>
      <c r="L29" s="2996"/>
      <c r="M29" s="2995" t="str">
        <f>M$5</f>
        <v>Ano 4:  2030</v>
      </c>
      <c r="N29" s="2996"/>
    </row>
    <row r="30" spans="1:14" s="49" customFormat="1" ht="19.5" customHeight="1">
      <c r="A30" s="2997"/>
      <c r="B30" s="2998"/>
      <c r="C30" s="2999"/>
      <c r="D30" s="3000" t="s">
        <v>1247</v>
      </c>
      <c r="E30" s="336"/>
      <c r="F30" s="3009">
        <f ca="1">F22*F26*F27*F23</f>
        <v>25.8</v>
      </c>
      <c r="G30" s="3010"/>
      <c r="H30" s="3009">
        <f ca="1">H22*H26*H27*H23</f>
        <v>26.574000000000002</v>
      </c>
      <c r="I30" s="3010"/>
      <c r="J30" s="3009">
        <f ca="1">J22*J26*J27*J23</f>
        <v>27.371220000000001</v>
      </c>
      <c r="K30" s="3010"/>
      <c r="L30" s="3009">
        <f ca="1">L22*L26*L27*L23</f>
        <v>28.1923566</v>
      </c>
      <c r="M30" s="3010"/>
      <c r="N30" s="3009">
        <f ca="1">N22*N26*N27*N23</f>
        <v>29.038127297999996</v>
      </c>
    </row>
    <row r="31" spans="1:14" s="49" customFormat="1" ht="19.5" customHeight="1" thickBot="1">
      <c r="A31" s="3017"/>
      <c r="B31" s="3018"/>
      <c r="C31" s="3011"/>
      <c r="D31" s="3019" t="s">
        <v>1194</v>
      </c>
      <c r="E31" s="337" t="s">
        <v>1191</v>
      </c>
      <c r="F31" s="3020">
        <f ca="1">IFERROR(F30/F20,0)</f>
        <v>645.00000000000011</v>
      </c>
      <c r="G31" s="337" t="s">
        <v>1191</v>
      </c>
      <c r="H31" s="3020">
        <f ca="1">IFERROR(H30/H20,0)</f>
        <v>645</v>
      </c>
      <c r="I31" s="337" t="s">
        <v>1191</v>
      </c>
      <c r="J31" s="3020">
        <f ca="1">IFERROR(J30/J20,0)</f>
        <v>645.00000000000011</v>
      </c>
      <c r="K31" s="337" t="s">
        <v>1191</v>
      </c>
      <c r="L31" s="3020">
        <f ca="1">IFERROR(L30/L20,0)</f>
        <v>645</v>
      </c>
      <c r="M31" s="337" t="s">
        <v>1191</v>
      </c>
      <c r="N31" s="3020">
        <f ca="1">IFERROR(N30/N20,0)</f>
        <v>644.99999999999989</v>
      </c>
    </row>
    <row r="32" spans="1:14" s="49" customFormat="1" ht="15"/>
    <row r="33" spans="1:14" s="49" customFormat="1" ht="15">
      <c r="F33" s="3021" t="str">
        <f ca="1">IF(AND(F30&gt;F20,H30&gt;H20,J30&gt;J20,L30&gt;L20,N30&gt;N20),"LTV &gt; CAC: o que deixa qualquer cliente é mais do que o custo de adquisição","LTV &lt; CAC: o que deixa qualquer cliente é MENOR do que o custo de adquisição")</f>
        <v>LTV &gt; CAC: o que deixa qualquer cliente é mais do que o custo de adquisição</v>
      </c>
    </row>
    <row r="34" spans="1:14" s="49" customFormat="1" ht="15">
      <c r="F34" s="3021" t="s">
        <v>1197</v>
      </c>
    </row>
    <row r="35" spans="1:14" s="49" customFormat="1" ht="15"/>
    <row r="36" spans="1:14" s="49" customFormat="1" ht="15.75" thickBot="1"/>
    <row r="37" spans="1:14" s="49" customFormat="1" ht="20.25" customHeight="1">
      <c r="A37" s="3093"/>
      <c r="B37" s="3094"/>
      <c r="C37" s="3095" t="s">
        <v>1250</v>
      </c>
      <c r="D37" s="3096" t="s">
        <v>1248</v>
      </c>
      <c r="E37" s="844"/>
      <c r="F37" s="3097">
        <f>IF(F27=0,0,1/F27)</f>
        <v>0.33333333333333331</v>
      </c>
      <c r="G37" s="3098"/>
      <c r="H37" s="3097">
        <f>IF(H27=0,0,1/H27)</f>
        <v>0.33333333333333331</v>
      </c>
      <c r="I37" s="3099"/>
      <c r="J37" s="3097">
        <f>IF(J27=0,0,1/J27)</f>
        <v>0.33333333333333331</v>
      </c>
      <c r="K37" s="3098"/>
      <c r="L37" s="3097">
        <f>IF(L27=0,0,1/L27)</f>
        <v>0.33333333333333331</v>
      </c>
      <c r="M37" s="3099"/>
      <c r="N37" s="3100">
        <f>IF(N27=0,0,1/N27)</f>
        <v>0.33333333333333331</v>
      </c>
    </row>
    <row r="38" spans="1:14" s="49" customFormat="1" ht="19.5" customHeight="1" thickBot="1">
      <c r="A38" s="3101"/>
      <c r="B38" s="860"/>
      <c r="C38" s="3102" t="s">
        <v>1251</v>
      </c>
      <c r="D38" s="3105" t="s">
        <v>1249</v>
      </c>
      <c r="E38" s="846"/>
      <c r="F38" s="3103">
        <f>1-F37</f>
        <v>0.66666666666666674</v>
      </c>
      <c r="G38" s="2976"/>
      <c r="H38" s="3103">
        <f>1-H37</f>
        <v>0.66666666666666674</v>
      </c>
      <c r="I38" s="2975"/>
      <c r="J38" s="3103">
        <f>1-J37</f>
        <v>0.66666666666666674</v>
      </c>
      <c r="K38" s="2976"/>
      <c r="L38" s="3103">
        <f>1-L37</f>
        <v>0.66666666666666674</v>
      </c>
      <c r="M38" s="2975"/>
      <c r="N38" s="3104">
        <f>1-N37</f>
        <v>0.66666666666666674</v>
      </c>
    </row>
    <row r="39" spans="1:14" s="49" customFormat="1" ht="15"/>
    <row r="40" spans="1:14" s="49" customFormat="1" ht="15"/>
    <row r="41" spans="1:14" s="49" customFormat="1" ht="15"/>
    <row r="42" spans="1:14" s="49" customFormat="1" ht="15"/>
    <row r="43" spans="1:14" s="49" customFormat="1" ht="15"/>
    <row r="44" spans="1:14" s="49" customFormat="1" ht="15"/>
    <row r="45" spans="1:14" s="49" customFormat="1" ht="15"/>
  </sheetData>
  <sheetProtection sheet="1" objects="1" scenarios="1"/>
  <conditionalFormatting sqref="F33">
    <cfRule type="expression" dxfId="32" priority="16" stopIfTrue="1">
      <formula>OR(F30&lt;F20,H30&lt;H20,J30&lt;J20,L30&lt;L20,N30&lt;N20)</formula>
    </cfRule>
  </conditionalFormatting>
  <dataValidations count="1">
    <dataValidation type="list" allowBlank="1" showInputMessage="1" showErrorMessage="1" sqref="B11:B12" xr:uid="{00000000-0002-0000-1000-000000000000}">
      <formula1>"12,6,4,3,2,1"</formula1>
    </dataValidation>
  </dataValidation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31">
    <tabColor theme="6" tint="0.39997558519241921"/>
    <pageSetUpPr fitToPage="1"/>
  </sheetPr>
  <dimension ref="A1:X33"/>
  <sheetViews>
    <sheetView workbookViewId="0">
      <selection activeCell="A13" sqref="A13"/>
    </sheetView>
  </sheetViews>
  <sheetFormatPr baseColWidth="10" defaultColWidth="11" defaultRowHeight="15"/>
  <cols>
    <col min="1" max="1" width="30.625" style="36" customWidth="1"/>
    <col min="2" max="3" width="10.125" style="36" customWidth="1"/>
    <col min="4" max="4" width="9.875" style="36" hidden="1" customWidth="1"/>
    <col min="5" max="16" width="8.625" style="36" hidden="1" customWidth="1"/>
    <col min="17" max="17" width="11.875" style="36" customWidth="1"/>
    <col min="18" max="18" width="9.375" style="36" customWidth="1"/>
    <col min="19" max="19" width="11" style="36"/>
    <col min="20" max="20" width="9.25" style="36" hidden="1" customWidth="1"/>
    <col min="21" max="23" width="10" style="36" customWidth="1"/>
    <col min="24" max="24" width="9.375" style="36" customWidth="1"/>
    <col min="25" max="16384" width="11" style="36"/>
  </cols>
  <sheetData>
    <row r="1" spans="1:24" ht="19.5">
      <c r="A1" s="406" t="s">
        <v>576</v>
      </c>
      <c r="B1" s="61"/>
      <c r="C1" s="61"/>
      <c r="D1" s="61"/>
      <c r="E1" s="62"/>
      <c r="F1" s="62"/>
      <c r="G1" s="62"/>
    </row>
    <row r="2" spans="1:24" ht="22.5">
      <c r="A2" s="68" t="str">
        <f>'Dados Básicos'!B9</f>
        <v>WWW, S.L.</v>
      </c>
      <c r="B2" s="61"/>
      <c r="C2" s="61"/>
      <c r="D2" s="61"/>
      <c r="E2" s="2302">
        <v>1</v>
      </c>
      <c r="F2" s="2302">
        <v>2</v>
      </c>
      <c r="G2" s="2302">
        <v>3</v>
      </c>
      <c r="H2" s="2302">
        <v>4</v>
      </c>
      <c r="I2" s="2302">
        <v>5</v>
      </c>
      <c r="J2" s="2302">
        <v>6</v>
      </c>
      <c r="K2" s="2302">
        <v>7</v>
      </c>
      <c r="L2" s="2302">
        <v>8</v>
      </c>
      <c r="M2" s="2302">
        <v>9</v>
      </c>
      <c r="N2" s="2302">
        <v>10</v>
      </c>
      <c r="O2" s="2302">
        <v>11</v>
      </c>
      <c r="P2" s="2302">
        <v>12</v>
      </c>
    </row>
    <row r="3" spans="1:24" ht="23.25" thickBot="1">
      <c r="A3" s="68"/>
      <c r="B3" s="61"/>
      <c r="C3" s="61"/>
      <c r="D3" s="2302" t="s">
        <v>284</v>
      </c>
      <c r="E3" s="2302" t="b">
        <f t="shared" ref="E3:P3" si="0">AND(E$2&gt;=inicioTemporada,E$2&lt;=finTemporada)</f>
        <v>1</v>
      </c>
      <c r="F3" s="2302" t="b">
        <f t="shared" si="0"/>
        <v>1</v>
      </c>
      <c r="G3" s="2302" t="b">
        <f t="shared" si="0"/>
        <v>1</v>
      </c>
      <c r="H3" s="2302" t="b">
        <f t="shared" si="0"/>
        <v>1</v>
      </c>
      <c r="I3" s="2302" t="b">
        <f t="shared" si="0"/>
        <v>1</v>
      </c>
      <c r="J3" s="2302" t="b">
        <f t="shared" si="0"/>
        <v>1</v>
      </c>
      <c r="K3" s="2302" t="b">
        <f t="shared" si="0"/>
        <v>1</v>
      </c>
      <c r="L3" s="2302" t="b">
        <f t="shared" si="0"/>
        <v>1</v>
      </c>
      <c r="M3" s="2302" t="b">
        <f t="shared" si="0"/>
        <v>1</v>
      </c>
      <c r="N3" s="2302" t="b">
        <f t="shared" si="0"/>
        <v>1</v>
      </c>
      <c r="O3" s="2302" t="b">
        <f t="shared" si="0"/>
        <v>1</v>
      </c>
      <c r="P3" s="2302" t="b">
        <f t="shared" si="0"/>
        <v>1</v>
      </c>
    </row>
    <row r="4" spans="1:24" ht="15.75" thickBot="1">
      <c r="E4" s="1011"/>
      <c r="F4" s="1011">
        <v>6</v>
      </c>
      <c r="G4" s="1011">
        <v>4</v>
      </c>
      <c r="H4" s="1011" t="s">
        <v>286</v>
      </c>
      <c r="I4" s="1011">
        <v>1</v>
      </c>
      <c r="J4" s="1011" t="s">
        <v>287</v>
      </c>
      <c r="K4" s="1011"/>
      <c r="L4" s="1011" t="s">
        <v>286</v>
      </c>
      <c r="M4" s="1011">
        <v>4</v>
      </c>
      <c r="N4" s="1011">
        <v>6</v>
      </c>
      <c r="O4" s="1011"/>
      <c r="P4" s="1011" t="s">
        <v>288</v>
      </c>
      <c r="U4" s="2020" t="s">
        <v>585</v>
      </c>
      <c r="V4" s="63"/>
      <c r="W4" s="64"/>
      <c r="X4" s="64"/>
    </row>
    <row r="5" spans="1:24" s="49" customFormat="1" ht="26.25" customHeight="1" thickTop="1" thickBot="1">
      <c r="A5" s="1404" t="s">
        <v>577</v>
      </c>
      <c r="B5" s="1405" t="s">
        <v>382</v>
      </c>
      <c r="C5" s="2048" t="s">
        <v>586</v>
      </c>
      <c r="D5" s="2049" t="s">
        <v>284</v>
      </c>
      <c r="E5" s="1406" t="str">
        <f t="array" ref="E5:P5">meses</f>
        <v>janeiro</v>
      </c>
      <c r="F5" s="1407" t="str">
        <v>fevereiro</v>
      </c>
      <c r="G5" s="1407" t="str">
        <v>março</v>
      </c>
      <c r="H5" s="1407" t="str">
        <v>abril</v>
      </c>
      <c r="I5" s="1407" t="str">
        <v>maio</v>
      </c>
      <c r="J5" s="1407" t="str">
        <v>junho</v>
      </c>
      <c r="K5" s="1407" t="str">
        <v>julho</v>
      </c>
      <c r="L5" s="1407" t="str">
        <v>agosto</v>
      </c>
      <c r="M5" s="1408" t="str">
        <v>setembro</v>
      </c>
      <c r="N5" s="1408" t="str">
        <v>outubro</v>
      </c>
      <c r="O5" s="1408" t="str">
        <v>novembro</v>
      </c>
      <c r="P5" s="1409" t="str">
        <v>dezembro</v>
      </c>
      <c r="Q5" s="2923" t="s">
        <v>604</v>
      </c>
      <c r="R5" s="2924" t="s">
        <v>6</v>
      </c>
      <c r="T5" s="2823" t="str">
        <f t="array" ref="T5:X5">anni</f>
        <v>Ano 0:  2026</v>
      </c>
      <c r="U5" s="2021" t="str">
        <v>Ano 1:  2027</v>
      </c>
      <c r="V5" s="2022" t="str">
        <v>Ano 2:  2028</v>
      </c>
      <c r="W5" s="2023" t="str">
        <v>Ano 3:  2029</v>
      </c>
      <c r="X5" s="2023" t="str">
        <v>Ano 4:  2030</v>
      </c>
    </row>
    <row r="6" spans="1:24">
      <c r="A6" s="2067" t="s">
        <v>578</v>
      </c>
      <c r="B6" s="2052">
        <v>0</v>
      </c>
      <c r="C6" s="2053">
        <v>1</v>
      </c>
      <c r="D6" s="2051" t="s">
        <v>393</v>
      </c>
      <c r="E6" s="2054">
        <f t="shared" ref="E6:P15" si="1">IF(AND($C6=1,E$2=5),$B6,IF(AND($C6=1,E$2=12),-$B6))
+IF(NOT(MOD(E$2,12/$C6)),$B6,0)    *    IF(OR($D6="Não",E$3),1,0)</f>
        <v>0</v>
      </c>
      <c r="F6" s="2055">
        <f t="shared" si="1"/>
        <v>0</v>
      </c>
      <c r="G6" s="2055">
        <f t="shared" si="1"/>
        <v>0</v>
      </c>
      <c r="H6" s="2055">
        <f t="shared" si="1"/>
        <v>0</v>
      </c>
      <c r="I6" s="2055">
        <f t="shared" si="1"/>
        <v>0</v>
      </c>
      <c r="J6" s="2055">
        <f t="shared" si="1"/>
        <v>0</v>
      </c>
      <c r="K6" s="2055">
        <f t="shared" si="1"/>
        <v>0</v>
      </c>
      <c r="L6" s="2055">
        <f t="shared" si="1"/>
        <v>0</v>
      </c>
      <c r="M6" s="2055">
        <f t="shared" si="1"/>
        <v>0</v>
      </c>
      <c r="N6" s="2055">
        <f t="shared" si="1"/>
        <v>0</v>
      </c>
      <c r="O6" s="2055">
        <f t="shared" si="1"/>
        <v>0</v>
      </c>
      <c r="P6" s="2056">
        <f t="shared" si="1"/>
        <v>0</v>
      </c>
      <c r="Q6" s="2925">
        <f t="shared" ref="Q6:Q27" si="2">SUM(E6:P6)</f>
        <v>0</v>
      </c>
      <c r="R6" s="2926">
        <f t="array" aca="1" ref="R6:R27" ca="1">IFERROR(Q6:Q27/$Q$28,0)</f>
        <v>0</v>
      </c>
      <c r="T6" s="2824">
        <f t="shared" ref="T6:T27" si="3">Q6</f>
        <v>0</v>
      </c>
      <c r="U6" s="2819">
        <f t="shared" ref="U6:U27" si="4">Q6*1.04</f>
        <v>0</v>
      </c>
      <c r="V6" s="2819">
        <f t="shared" ref="V6:X27" si="5">U6*1.04</f>
        <v>0</v>
      </c>
      <c r="W6" s="2819">
        <f t="shared" si="5"/>
        <v>0</v>
      </c>
      <c r="X6" s="2819">
        <f t="shared" si="5"/>
        <v>0</v>
      </c>
    </row>
    <row r="7" spans="1:24">
      <c r="A7" s="2067" t="str">
        <f>"Outras despesas fixas ( Sem "&amp;'Dados Básicos'!A28&amp;" )"</f>
        <v>Outras despesas fixas ( Sem IVA )</v>
      </c>
      <c r="B7" s="2052">
        <v>0</v>
      </c>
      <c r="C7" s="2053">
        <v>1</v>
      </c>
      <c r="D7" s="2051" t="s">
        <v>393</v>
      </c>
      <c r="E7" s="2054">
        <f t="shared" si="1"/>
        <v>0</v>
      </c>
      <c r="F7" s="2055">
        <f t="shared" si="1"/>
        <v>0</v>
      </c>
      <c r="G7" s="2055">
        <f t="shared" si="1"/>
        <v>0</v>
      </c>
      <c r="H7" s="2055">
        <f t="shared" si="1"/>
        <v>0</v>
      </c>
      <c r="I7" s="2055">
        <f t="shared" si="1"/>
        <v>0</v>
      </c>
      <c r="J7" s="2055">
        <f t="shared" si="1"/>
        <v>0</v>
      </c>
      <c r="K7" s="2055">
        <f t="shared" si="1"/>
        <v>0</v>
      </c>
      <c r="L7" s="2055">
        <f t="shared" si="1"/>
        <v>0</v>
      </c>
      <c r="M7" s="2055">
        <f t="shared" si="1"/>
        <v>0</v>
      </c>
      <c r="N7" s="2055">
        <f t="shared" si="1"/>
        <v>0</v>
      </c>
      <c r="O7" s="2055">
        <f t="shared" si="1"/>
        <v>0</v>
      </c>
      <c r="P7" s="2055">
        <f t="shared" si="1"/>
        <v>0</v>
      </c>
      <c r="Q7" s="2927">
        <f t="shared" si="2"/>
        <v>0</v>
      </c>
      <c r="R7" s="2926">
        <f ca="1"/>
        <v>0</v>
      </c>
      <c r="T7" s="2824">
        <f t="shared" si="3"/>
        <v>0</v>
      </c>
      <c r="U7" s="2819">
        <f t="shared" si="4"/>
        <v>0</v>
      </c>
      <c r="V7" s="2819">
        <f t="shared" si="5"/>
        <v>0</v>
      </c>
      <c r="W7" s="2819">
        <f t="shared" si="5"/>
        <v>0</v>
      </c>
      <c r="X7" s="2819">
        <f t="shared" si="5"/>
        <v>0</v>
      </c>
    </row>
    <row r="8" spans="1:24">
      <c r="A8" s="2067" t="s">
        <v>579</v>
      </c>
      <c r="B8" s="2052">
        <v>0</v>
      </c>
      <c r="C8" s="2053">
        <v>1</v>
      </c>
      <c r="D8" s="2051" t="s">
        <v>393</v>
      </c>
      <c r="E8" s="2054">
        <f t="shared" si="1"/>
        <v>0</v>
      </c>
      <c r="F8" s="2055">
        <f t="shared" si="1"/>
        <v>0</v>
      </c>
      <c r="G8" s="2055">
        <f t="shared" si="1"/>
        <v>0</v>
      </c>
      <c r="H8" s="2055">
        <f t="shared" si="1"/>
        <v>0</v>
      </c>
      <c r="I8" s="2055">
        <f t="shared" si="1"/>
        <v>0</v>
      </c>
      <c r="J8" s="2055">
        <f t="shared" si="1"/>
        <v>0</v>
      </c>
      <c r="K8" s="2055">
        <f t="shared" si="1"/>
        <v>0</v>
      </c>
      <c r="L8" s="2055">
        <f t="shared" si="1"/>
        <v>0</v>
      </c>
      <c r="M8" s="2055">
        <f t="shared" si="1"/>
        <v>0</v>
      </c>
      <c r="N8" s="2055">
        <f t="shared" si="1"/>
        <v>0</v>
      </c>
      <c r="O8" s="2055">
        <f t="shared" si="1"/>
        <v>0</v>
      </c>
      <c r="P8" s="2056">
        <f t="shared" si="1"/>
        <v>0</v>
      </c>
      <c r="Q8" s="2927">
        <f t="shared" si="2"/>
        <v>0</v>
      </c>
      <c r="R8" s="2926">
        <f ca="1"/>
        <v>0</v>
      </c>
      <c r="T8" s="2824">
        <f t="shared" si="3"/>
        <v>0</v>
      </c>
      <c r="U8" s="2819">
        <f t="shared" si="4"/>
        <v>0</v>
      </c>
      <c r="V8" s="2819">
        <f t="shared" si="5"/>
        <v>0</v>
      </c>
      <c r="W8" s="2819">
        <f t="shared" si="5"/>
        <v>0</v>
      </c>
      <c r="X8" s="2819">
        <f t="shared" si="5"/>
        <v>0</v>
      </c>
    </row>
    <row r="9" spans="1:24">
      <c r="A9" s="2067" t="s">
        <v>580</v>
      </c>
      <c r="B9" s="2052">
        <v>0</v>
      </c>
      <c r="C9" s="2053">
        <v>2</v>
      </c>
      <c r="D9" s="2051" t="s">
        <v>393</v>
      </c>
      <c r="E9" s="2054">
        <f t="shared" si="1"/>
        <v>0</v>
      </c>
      <c r="F9" s="2055">
        <f t="shared" si="1"/>
        <v>0</v>
      </c>
      <c r="G9" s="2055">
        <f t="shared" si="1"/>
        <v>0</v>
      </c>
      <c r="H9" s="2055">
        <f t="shared" si="1"/>
        <v>0</v>
      </c>
      <c r="I9" s="2055">
        <f t="shared" si="1"/>
        <v>0</v>
      </c>
      <c r="J9" s="2055">
        <f t="shared" si="1"/>
        <v>0</v>
      </c>
      <c r="K9" s="2055">
        <f t="shared" si="1"/>
        <v>0</v>
      </c>
      <c r="L9" s="2055">
        <f t="shared" si="1"/>
        <v>0</v>
      </c>
      <c r="M9" s="2055">
        <f t="shared" si="1"/>
        <v>0</v>
      </c>
      <c r="N9" s="2055">
        <f t="shared" si="1"/>
        <v>0</v>
      </c>
      <c r="O9" s="2055">
        <f t="shared" si="1"/>
        <v>0</v>
      </c>
      <c r="P9" s="2056">
        <f t="shared" si="1"/>
        <v>0</v>
      </c>
      <c r="Q9" s="2927">
        <f t="shared" si="2"/>
        <v>0</v>
      </c>
      <c r="R9" s="2926">
        <f ca="1"/>
        <v>0</v>
      </c>
      <c r="T9" s="2824">
        <f t="shared" si="3"/>
        <v>0</v>
      </c>
      <c r="U9" s="2819">
        <f t="shared" si="4"/>
        <v>0</v>
      </c>
      <c r="V9" s="2819">
        <f t="shared" si="5"/>
        <v>0</v>
      </c>
      <c r="W9" s="2819">
        <f t="shared" si="5"/>
        <v>0</v>
      </c>
      <c r="X9" s="2819">
        <f t="shared" si="5"/>
        <v>0</v>
      </c>
    </row>
    <row r="10" spans="1:24">
      <c r="A10" s="2067" t="s">
        <v>581</v>
      </c>
      <c r="B10" s="2052">
        <v>0</v>
      </c>
      <c r="C10" s="2053">
        <v>6</v>
      </c>
      <c r="D10" s="2051" t="s">
        <v>393</v>
      </c>
      <c r="E10" s="2054">
        <f t="shared" si="1"/>
        <v>0</v>
      </c>
      <c r="F10" s="2055">
        <f t="shared" si="1"/>
        <v>0</v>
      </c>
      <c r="G10" s="2055">
        <f t="shared" si="1"/>
        <v>0</v>
      </c>
      <c r="H10" s="2055">
        <f t="shared" si="1"/>
        <v>0</v>
      </c>
      <c r="I10" s="2055">
        <f t="shared" si="1"/>
        <v>0</v>
      </c>
      <c r="J10" s="2055">
        <f t="shared" si="1"/>
        <v>0</v>
      </c>
      <c r="K10" s="2055">
        <f t="shared" si="1"/>
        <v>0</v>
      </c>
      <c r="L10" s="2055">
        <f t="shared" si="1"/>
        <v>0</v>
      </c>
      <c r="M10" s="2055">
        <f t="shared" si="1"/>
        <v>0</v>
      </c>
      <c r="N10" s="2055">
        <f t="shared" si="1"/>
        <v>0</v>
      </c>
      <c r="O10" s="2055">
        <f t="shared" si="1"/>
        <v>0</v>
      </c>
      <c r="P10" s="2055">
        <f t="shared" si="1"/>
        <v>0</v>
      </c>
      <c r="Q10" s="2927">
        <f t="shared" si="2"/>
        <v>0</v>
      </c>
      <c r="R10" s="2926">
        <f ca="1"/>
        <v>0</v>
      </c>
      <c r="T10" s="2824">
        <f t="shared" si="3"/>
        <v>0</v>
      </c>
      <c r="U10" s="2819">
        <f t="shared" si="4"/>
        <v>0</v>
      </c>
      <c r="V10" s="2819">
        <f t="shared" si="5"/>
        <v>0</v>
      </c>
      <c r="W10" s="2819">
        <f t="shared" si="5"/>
        <v>0</v>
      </c>
      <c r="X10" s="2819">
        <f t="shared" si="5"/>
        <v>0</v>
      </c>
    </row>
    <row r="11" spans="1:24">
      <c r="A11" s="2067" t="s">
        <v>1311</v>
      </c>
      <c r="B11" s="2052">
        <v>0</v>
      </c>
      <c r="C11" s="2053">
        <v>12</v>
      </c>
      <c r="D11" s="2051" t="s">
        <v>588</v>
      </c>
      <c r="E11" s="2054">
        <f t="shared" si="1"/>
        <v>0</v>
      </c>
      <c r="F11" s="2055">
        <f t="shared" si="1"/>
        <v>0</v>
      </c>
      <c r="G11" s="2055">
        <f t="shared" si="1"/>
        <v>0</v>
      </c>
      <c r="H11" s="2055">
        <f t="shared" si="1"/>
        <v>0</v>
      </c>
      <c r="I11" s="2055">
        <f t="shared" si="1"/>
        <v>0</v>
      </c>
      <c r="J11" s="2055">
        <f t="shared" si="1"/>
        <v>0</v>
      </c>
      <c r="K11" s="2055">
        <f t="shared" si="1"/>
        <v>0</v>
      </c>
      <c r="L11" s="2055">
        <f t="shared" si="1"/>
        <v>0</v>
      </c>
      <c r="M11" s="2055">
        <f t="shared" si="1"/>
        <v>0</v>
      </c>
      <c r="N11" s="2055">
        <f t="shared" si="1"/>
        <v>0</v>
      </c>
      <c r="O11" s="2055">
        <f t="shared" si="1"/>
        <v>0</v>
      </c>
      <c r="P11" s="2056">
        <f t="shared" si="1"/>
        <v>0</v>
      </c>
      <c r="Q11" s="2927">
        <f t="shared" si="2"/>
        <v>0</v>
      </c>
      <c r="R11" s="2926">
        <f ca="1"/>
        <v>0</v>
      </c>
      <c r="T11" s="2824">
        <f t="shared" si="3"/>
        <v>0</v>
      </c>
      <c r="U11" s="2819">
        <f t="shared" si="4"/>
        <v>0</v>
      </c>
      <c r="V11" s="2819">
        <f t="shared" si="5"/>
        <v>0</v>
      </c>
      <c r="W11" s="2819">
        <f t="shared" si="5"/>
        <v>0</v>
      </c>
      <c r="X11" s="2819">
        <f t="shared" si="5"/>
        <v>0</v>
      </c>
    </row>
    <row r="12" spans="1:24">
      <c r="A12" s="2067" t="s">
        <v>582</v>
      </c>
      <c r="B12" s="2052">
        <v>0</v>
      </c>
      <c r="C12" s="2053">
        <v>12</v>
      </c>
      <c r="D12" s="2051" t="s">
        <v>588</v>
      </c>
      <c r="E12" s="2054">
        <f t="shared" si="1"/>
        <v>0</v>
      </c>
      <c r="F12" s="2055">
        <f t="shared" si="1"/>
        <v>0</v>
      </c>
      <c r="G12" s="2055">
        <f t="shared" si="1"/>
        <v>0</v>
      </c>
      <c r="H12" s="2055">
        <f t="shared" si="1"/>
        <v>0</v>
      </c>
      <c r="I12" s="2055">
        <f t="shared" si="1"/>
        <v>0</v>
      </c>
      <c r="J12" s="2055">
        <f t="shared" si="1"/>
        <v>0</v>
      </c>
      <c r="K12" s="2055">
        <f t="shared" si="1"/>
        <v>0</v>
      </c>
      <c r="L12" s="2055">
        <f t="shared" si="1"/>
        <v>0</v>
      </c>
      <c r="M12" s="2055">
        <f t="shared" si="1"/>
        <v>0</v>
      </c>
      <c r="N12" s="2055">
        <f t="shared" si="1"/>
        <v>0</v>
      </c>
      <c r="O12" s="2055">
        <f t="shared" si="1"/>
        <v>0</v>
      </c>
      <c r="P12" s="2056">
        <f t="shared" si="1"/>
        <v>0</v>
      </c>
      <c r="Q12" s="2927">
        <f t="shared" si="2"/>
        <v>0</v>
      </c>
      <c r="R12" s="2926">
        <f ca="1"/>
        <v>0</v>
      </c>
      <c r="T12" s="2824">
        <f t="shared" si="3"/>
        <v>0</v>
      </c>
      <c r="U12" s="2819">
        <f t="shared" si="4"/>
        <v>0</v>
      </c>
      <c r="V12" s="2819">
        <f t="shared" si="5"/>
        <v>0</v>
      </c>
      <c r="W12" s="2819">
        <f t="shared" si="5"/>
        <v>0</v>
      </c>
      <c r="X12" s="2819">
        <f t="shared" si="5"/>
        <v>0</v>
      </c>
    </row>
    <row r="13" spans="1:24">
      <c r="A13" s="2067" t="s">
        <v>583</v>
      </c>
      <c r="B13" s="2052">
        <v>0</v>
      </c>
      <c r="C13" s="2053">
        <v>12</v>
      </c>
      <c r="D13" s="2051" t="s">
        <v>588</v>
      </c>
      <c r="E13" s="2054">
        <f t="shared" si="1"/>
        <v>0</v>
      </c>
      <c r="F13" s="2055">
        <f t="shared" si="1"/>
        <v>0</v>
      </c>
      <c r="G13" s="2055">
        <f t="shared" si="1"/>
        <v>0</v>
      </c>
      <c r="H13" s="2055">
        <f t="shared" si="1"/>
        <v>0</v>
      </c>
      <c r="I13" s="2055">
        <f t="shared" si="1"/>
        <v>0</v>
      </c>
      <c r="J13" s="2055">
        <f t="shared" si="1"/>
        <v>0</v>
      </c>
      <c r="K13" s="2055">
        <f t="shared" si="1"/>
        <v>0</v>
      </c>
      <c r="L13" s="2055">
        <f t="shared" si="1"/>
        <v>0</v>
      </c>
      <c r="M13" s="2055">
        <f t="shared" si="1"/>
        <v>0</v>
      </c>
      <c r="N13" s="2055">
        <f t="shared" si="1"/>
        <v>0</v>
      </c>
      <c r="O13" s="2055">
        <f t="shared" si="1"/>
        <v>0</v>
      </c>
      <c r="P13" s="2056">
        <f t="shared" si="1"/>
        <v>0</v>
      </c>
      <c r="Q13" s="2927">
        <f t="shared" si="2"/>
        <v>0</v>
      </c>
      <c r="R13" s="2926">
        <f ca="1"/>
        <v>0</v>
      </c>
      <c r="T13" s="2824">
        <f t="shared" si="3"/>
        <v>0</v>
      </c>
      <c r="U13" s="2819">
        <f t="shared" si="4"/>
        <v>0</v>
      </c>
      <c r="V13" s="2819">
        <f t="shared" si="5"/>
        <v>0</v>
      </c>
      <c r="W13" s="2819">
        <f t="shared" si="5"/>
        <v>0</v>
      </c>
      <c r="X13" s="2819">
        <f t="shared" si="5"/>
        <v>0</v>
      </c>
    </row>
    <row r="14" spans="1:24">
      <c r="A14" s="2067" t="s">
        <v>595</v>
      </c>
      <c r="B14" s="2052">
        <v>0</v>
      </c>
      <c r="C14" s="2053">
        <v>12</v>
      </c>
      <c r="D14" s="2051" t="s">
        <v>588</v>
      </c>
      <c r="E14" s="2054">
        <f t="shared" si="1"/>
        <v>0</v>
      </c>
      <c r="F14" s="2055">
        <f t="shared" si="1"/>
        <v>0</v>
      </c>
      <c r="G14" s="2055">
        <f t="shared" si="1"/>
        <v>0</v>
      </c>
      <c r="H14" s="2055">
        <f t="shared" si="1"/>
        <v>0</v>
      </c>
      <c r="I14" s="2055">
        <f t="shared" si="1"/>
        <v>0</v>
      </c>
      <c r="J14" s="2055">
        <f t="shared" si="1"/>
        <v>0</v>
      </c>
      <c r="K14" s="2055">
        <f t="shared" si="1"/>
        <v>0</v>
      </c>
      <c r="L14" s="2055">
        <f t="shared" si="1"/>
        <v>0</v>
      </c>
      <c r="M14" s="2055">
        <f t="shared" si="1"/>
        <v>0</v>
      </c>
      <c r="N14" s="2055">
        <f t="shared" si="1"/>
        <v>0</v>
      </c>
      <c r="O14" s="2055">
        <f t="shared" si="1"/>
        <v>0</v>
      </c>
      <c r="P14" s="2056">
        <f t="shared" si="1"/>
        <v>0</v>
      </c>
      <c r="Q14" s="2927">
        <f t="shared" si="2"/>
        <v>0</v>
      </c>
      <c r="R14" s="2926">
        <f ca="1"/>
        <v>0</v>
      </c>
      <c r="T14" s="2824">
        <f t="shared" si="3"/>
        <v>0</v>
      </c>
      <c r="U14" s="2819">
        <f t="shared" si="4"/>
        <v>0</v>
      </c>
      <c r="V14" s="2819">
        <f t="shared" si="5"/>
        <v>0</v>
      </c>
      <c r="W14" s="2819">
        <f t="shared" si="5"/>
        <v>0</v>
      </c>
      <c r="X14" s="2819">
        <f t="shared" si="5"/>
        <v>0</v>
      </c>
    </row>
    <row r="15" spans="1:24">
      <c r="A15" s="2067" t="s">
        <v>584</v>
      </c>
      <c r="B15" s="2052">
        <v>0</v>
      </c>
      <c r="C15" s="2053">
        <v>2</v>
      </c>
      <c r="D15" s="2051" t="s">
        <v>588</v>
      </c>
      <c r="E15" s="2054">
        <f t="shared" si="1"/>
        <v>0</v>
      </c>
      <c r="F15" s="2055">
        <f t="shared" si="1"/>
        <v>0</v>
      </c>
      <c r="G15" s="2055">
        <f t="shared" si="1"/>
        <v>0</v>
      </c>
      <c r="H15" s="2055">
        <f t="shared" si="1"/>
        <v>0</v>
      </c>
      <c r="I15" s="2055">
        <f t="shared" si="1"/>
        <v>0</v>
      </c>
      <c r="J15" s="2055">
        <f t="shared" si="1"/>
        <v>0</v>
      </c>
      <c r="K15" s="2055">
        <f t="shared" si="1"/>
        <v>0</v>
      </c>
      <c r="L15" s="2055">
        <f t="shared" si="1"/>
        <v>0</v>
      </c>
      <c r="M15" s="2055">
        <f t="shared" si="1"/>
        <v>0</v>
      </c>
      <c r="N15" s="2055">
        <f t="shared" si="1"/>
        <v>0</v>
      </c>
      <c r="O15" s="2055">
        <f t="shared" si="1"/>
        <v>0</v>
      </c>
      <c r="P15" s="2056">
        <f t="shared" si="1"/>
        <v>0</v>
      </c>
      <c r="Q15" s="2927">
        <f>SUM(E15:P15)</f>
        <v>0</v>
      </c>
      <c r="R15" s="2926">
        <f ca="1"/>
        <v>0</v>
      </c>
      <c r="T15" s="2824">
        <f t="shared" si="3"/>
        <v>0</v>
      </c>
      <c r="U15" s="2819">
        <f t="shared" si="4"/>
        <v>0</v>
      </c>
      <c r="V15" s="2819">
        <f t="shared" si="5"/>
        <v>0</v>
      </c>
      <c r="W15" s="2819">
        <f t="shared" si="5"/>
        <v>0</v>
      </c>
      <c r="X15" s="2819">
        <f t="shared" si="5"/>
        <v>0</v>
      </c>
    </row>
    <row r="16" spans="1:24">
      <c r="A16" s="2067" t="s">
        <v>596</v>
      </c>
      <c r="B16" s="2052">
        <v>0</v>
      </c>
      <c r="C16" s="2053">
        <v>12</v>
      </c>
      <c r="D16" s="2051" t="s">
        <v>588</v>
      </c>
      <c r="E16" s="2054">
        <f t="shared" ref="E16:P27" si="6">IF(AND($C16=1,E$2=5),$B16,IF(AND($C16=1,E$2=12),-$B16))
+IF(NOT(MOD(E$2,12/$C16)),$B16,0)    *    IF(OR($D16="Não",E$3),1,0)</f>
        <v>0</v>
      </c>
      <c r="F16" s="2055">
        <f t="shared" si="6"/>
        <v>0</v>
      </c>
      <c r="G16" s="2055">
        <f t="shared" si="6"/>
        <v>0</v>
      </c>
      <c r="H16" s="2055">
        <f t="shared" si="6"/>
        <v>0</v>
      </c>
      <c r="I16" s="2055">
        <f t="shared" si="6"/>
        <v>0</v>
      </c>
      <c r="J16" s="2055">
        <f t="shared" si="6"/>
        <v>0</v>
      </c>
      <c r="K16" s="2055">
        <f t="shared" si="6"/>
        <v>0</v>
      </c>
      <c r="L16" s="2055">
        <f t="shared" si="6"/>
        <v>0</v>
      </c>
      <c r="M16" s="2055">
        <f t="shared" si="6"/>
        <v>0</v>
      </c>
      <c r="N16" s="2055">
        <f t="shared" si="6"/>
        <v>0</v>
      </c>
      <c r="O16" s="2055">
        <f t="shared" si="6"/>
        <v>0</v>
      </c>
      <c r="P16" s="2056">
        <f t="shared" si="6"/>
        <v>0</v>
      </c>
      <c r="Q16" s="2927">
        <f>SUM(E16:P16)</f>
        <v>0</v>
      </c>
      <c r="R16" s="2926">
        <f ca="1"/>
        <v>0</v>
      </c>
      <c r="T16" s="2824">
        <f t="shared" si="3"/>
        <v>0</v>
      </c>
      <c r="U16" s="2819">
        <f t="shared" si="4"/>
        <v>0</v>
      </c>
      <c r="V16" s="2819">
        <f t="shared" si="5"/>
        <v>0</v>
      </c>
      <c r="W16" s="2819">
        <f t="shared" si="5"/>
        <v>0</v>
      </c>
      <c r="X16" s="2819">
        <f t="shared" si="5"/>
        <v>0</v>
      </c>
    </row>
    <row r="17" spans="1:24">
      <c r="A17" s="2067" t="s">
        <v>597</v>
      </c>
      <c r="B17" s="2052">
        <v>0</v>
      </c>
      <c r="C17" s="2053">
        <v>12</v>
      </c>
      <c r="D17" s="2051" t="s">
        <v>588</v>
      </c>
      <c r="E17" s="2054">
        <f t="shared" si="6"/>
        <v>0</v>
      </c>
      <c r="F17" s="2055">
        <f t="shared" si="6"/>
        <v>0</v>
      </c>
      <c r="G17" s="2055">
        <f t="shared" si="6"/>
        <v>0</v>
      </c>
      <c r="H17" s="2055">
        <f t="shared" si="6"/>
        <v>0</v>
      </c>
      <c r="I17" s="2055">
        <f t="shared" si="6"/>
        <v>0</v>
      </c>
      <c r="J17" s="2055">
        <f t="shared" si="6"/>
        <v>0</v>
      </c>
      <c r="K17" s="2055">
        <f t="shared" si="6"/>
        <v>0</v>
      </c>
      <c r="L17" s="2055">
        <f t="shared" si="6"/>
        <v>0</v>
      </c>
      <c r="M17" s="2055">
        <f t="shared" si="6"/>
        <v>0</v>
      </c>
      <c r="N17" s="2055">
        <f t="shared" si="6"/>
        <v>0</v>
      </c>
      <c r="O17" s="2055">
        <f t="shared" si="6"/>
        <v>0</v>
      </c>
      <c r="P17" s="2056">
        <f t="shared" si="6"/>
        <v>0</v>
      </c>
      <c r="Q17" s="2927">
        <f t="shared" si="2"/>
        <v>0</v>
      </c>
      <c r="R17" s="2926">
        <f ca="1"/>
        <v>0</v>
      </c>
      <c r="T17" s="2824">
        <f t="shared" si="3"/>
        <v>0</v>
      </c>
      <c r="U17" s="2819">
        <f t="shared" si="4"/>
        <v>0</v>
      </c>
      <c r="V17" s="2819">
        <f t="shared" si="5"/>
        <v>0</v>
      </c>
      <c r="W17" s="2819">
        <f t="shared" si="5"/>
        <v>0</v>
      </c>
      <c r="X17" s="2819">
        <f t="shared" si="5"/>
        <v>0</v>
      </c>
    </row>
    <row r="18" spans="1:24">
      <c r="A18" s="2067" t="s">
        <v>601</v>
      </c>
      <c r="B18" s="2052">
        <v>0</v>
      </c>
      <c r="C18" s="2053">
        <v>12</v>
      </c>
      <c r="D18" s="2051" t="s">
        <v>588</v>
      </c>
      <c r="E18" s="2054">
        <f t="shared" si="6"/>
        <v>0</v>
      </c>
      <c r="F18" s="2055">
        <f t="shared" si="6"/>
        <v>0</v>
      </c>
      <c r="G18" s="2055">
        <f t="shared" si="6"/>
        <v>0</v>
      </c>
      <c r="H18" s="2055">
        <f t="shared" si="6"/>
        <v>0</v>
      </c>
      <c r="I18" s="2055">
        <f t="shared" si="6"/>
        <v>0</v>
      </c>
      <c r="J18" s="2055">
        <f t="shared" si="6"/>
        <v>0</v>
      </c>
      <c r="K18" s="2055">
        <f t="shared" si="6"/>
        <v>0</v>
      </c>
      <c r="L18" s="2055">
        <f t="shared" si="6"/>
        <v>0</v>
      </c>
      <c r="M18" s="2055">
        <f t="shared" si="6"/>
        <v>0</v>
      </c>
      <c r="N18" s="2055">
        <f t="shared" si="6"/>
        <v>0</v>
      </c>
      <c r="O18" s="2055">
        <f t="shared" si="6"/>
        <v>0</v>
      </c>
      <c r="P18" s="2056">
        <f t="shared" si="6"/>
        <v>0</v>
      </c>
      <c r="Q18" s="2927">
        <f t="shared" si="2"/>
        <v>0</v>
      </c>
      <c r="R18" s="2926">
        <f ca="1"/>
        <v>0</v>
      </c>
      <c r="T18" s="2824">
        <f t="shared" si="3"/>
        <v>0</v>
      </c>
      <c r="U18" s="2819">
        <f t="shared" si="4"/>
        <v>0</v>
      </c>
      <c r="V18" s="2819">
        <f t="shared" si="5"/>
        <v>0</v>
      </c>
      <c r="W18" s="2819">
        <f t="shared" si="5"/>
        <v>0</v>
      </c>
      <c r="X18" s="2819">
        <f t="shared" si="5"/>
        <v>0</v>
      </c>
    </row>
    <row r="19" spans="1:24">
      <c r="A19" s="2067" t="s">
        <v>598</v>
      </c>
      <c r="B19" s="2052">
        <v>0</v>
      </c>
      <c r="C19" s="2053">
        <v>12</v>
      </c>
      <c r="D19" s="2051" t="s">
        <v>588</v>
      </c>
      <c r="E19" s="2054">
        <f t="shared" si="6"/>
        <v>0</v>
      </c>
      <c r="F19" s="2055">
        <f t="shared" si="6"/>
        <v>0</v>
      </c>
      <c r="G19" s="2055">
        <f t="shared" si="6"/>
        <v>0</v>
      </c>
      <c r="H19" s="2055">
        <f t="shared" si="6"/>
        <v>0</v>
      </c>
      <c r="I19" s="2055">
        <f t="shared" si="6"/>
        <v>0</v>
      </c>
      <c r="J19" s="2055">
        <f t="shared" si="6"/>
        <v>0</v>
      </c>
      <c r="K19" s="2055">
        <f t="shared" si="6"/>
        <v>0</v>
      </c>
      <c r="L19" s="2055">
        <f t="shared" si="6"/>
        <v>0</v>
      </c>
      <c r="M19" s="2055">
        <f t="shared" si="6"/>
        <v>0</v>
      </c>
      <c r="N19" s="2055">
        <f t="shared" si="6"/>
        <v>0</v>
      </c>
      <c r="O19" s="2055">
        <f t="shared" si="6"/>
        <v>0</v>
      </c>
      <c r="P19" s="2056">
        <f t="shared" si="6"/>
        <v>0</v>
      </c>
      <c r="Q19" s="2927">
        <f t="shared" si="2"/>
        <v>0</v>
      </c>
      <c r="R19" s="2926">
        <f ca="1"/>
        <v>0</v>
      </c>
      <c r="T19" s="2824">
        <f t="shared" si="3"/>
        <v>0</v>
      </c>
      <c r="U19" s="2819">
        <f t="shared" si="4"/>
        <v>0</v>
      </c>
      <c r="V19" s="2819">
        <f t="shared" si="5"/>
        <v>0</v>
      </c>
      <c r="W19" s="2819">
        <f t="shared" si="5"/>
        <v>0</v>
      </c>
      <c r="X19" s="2819">
        <f t="shared" si="5"/>
        <v>0</v>
      </c>
    </row>
    <row r="20" spans="1:24">
      <c r="A20" s="2067" t="s">
        <v>599</v>
      </c>
      <c r="B20" s="2052">
        <v>0</v>
      </c>
      <c r="C20" s="2053">
        <v>12</v>
      </c>
      <c r="D20" s="2051" t="s">
        <v>588</v>
      </c>
      <c r="E20" s="2054">
        <f t="shared" si="6"/>
        <v>0</v>
      </c>
      <c r="F20" s="2055">
        <f t="shared" si="6"/>
        <v>0</v>
      </c>
      <c r="G20" s="2055">
        <f t="shared" si="6"/>
        <v>0</v>
      </c>
      <c r="H20" s="2055">
        <f t="shared" si="6"/>
        <v>0</v>
      </c>
      <c r="I20" s="2055">
        <f t="shared" si="6"/>
        <v>0</v>
      </c>
      <c r="J20" s="2055">
        <f t="shared" si="6"/>
        <v>0</v>
      </c>
      <c r="K20" s="2055">
        <f t="shared" si="6"/>
        <v>0</v>
      </c>
      <c r="L20" s="2055">
        <f t="shared" si="6"/>
        <v>0</v>
      </c>
      <c r="M20" s="2055">
        <f t="shared" si="6"/>
        <v>0</v>
      </c>
      <c r="N20" s="2055">
        <f t="shared" si="6"/>
        <v>0</v>
      </c>
      <c r="O20" s="2055">
        <f t="shared" si="6"/>
        <v>0</v>
      </c>
      <c r="P20" s="2056">
        <f t="shared" si="6"/>
        <v>0</v>
      </c>
      <c r="Q20" s="2927">
        <f t="shared" si="2"/>
        <v>0</v>
      </c>
      <c r="R20" s="2926">
        <f ca="1"/>
        <v>0</v>
      </c>
      <c r="T20" s="2824">
        <f t="shared" si="3"/>
        <v>0</v>
      </c>
      <c r="U20" s="2819">
        <f t="shared" si="4"/>
        <v>0</v>
      </c>
      <c r="V20" s="2819">
        <f t="shared" si="5"/>
        <v>0</v>
      </c>
      <c r="W20" s="2819">
        <f t="shared" si="5"/>
        <v>0</v>
      </c>
      <c r="X20" s="2819">
        <f t="shared" si="5"/>
        <v>0</v>
      </c>
    </row>
    <row r="21" spans="1:24">
      <c r="A21" s="2067" t="s">
        <v>600</v>
      </c>
      <c r="B21" s="2052">
        <v>0</v>
      </c>
      <c r="C21" s="2053">
        <v>12</v>
      </c>
      <c r="D21" s="2051" t="s">
        <v>588</v>
      </c>
      <c r="E21" s="2054">
        <f t="shared" si="6"/>
        <v>0</v>
      </c>
      <c r="F21" s="2055">
        <f t="shared" si="6"/>
        <v>0</v>
      </c>
      <c r="G21" s="2055">
        <f t="shared" si="6"/>
        <v>0</v>
      </c>
      <c r="H21" s="2055">
        <f t="shared" si="6"/>
        <v>0</v>
      </c>
      <c r="I21" s="2055">
        <f t="shared" si="6"/>
        <v>0</v>
      </c>
      <c r="J21" s="2055">
        <f t="shared" si="6"/>
        <v>0</v>
      </c>
      <c r="K21" s="2055">
        <f t="shared" si="6"/>
        <v>0</v>
      </c>
      <c r="L21" s="2055">
        <f t="shared" si="6"/>
        <v>0</v>
      </c>
      <c r="M21" s="2055">
        <f t="shared" si="6"/>
        <v>0</v>
      </c>
      <c r="N21" s="2055">
        <f t="shared" si="6"/>
        <v>0</v>
      </c>
      <c r="O21" s="2055">
        <f t="shared" si="6"/>
        <v>0</v>
      </c>
      <c r="P21" s="2056">
        <f t="shared" si="6"/>
        <v>0</v>
      </c>
      <c r="Q21" s="2927">
        <f t="shared" si="2"/>
        <v>0</v>
      </c>
      <c r="R21" s="2926">
        <f ca="1"/>
        <v>0</v>
      </c>
      <c r="T21" s="2824">
        <f t="shared" si="3"/>
        <v>0</v>
      </c>
      <c r="U21" s="2819">
        <f t="shared" si="4"/>
        <v>0</v>
      </c>
      <c r="V21" s="2819">
        <f t="shared" si="5"/>
        <v>0</v>
      </c>
      <c r="W21" s="2819">
        <f t="shared" si="5"/>
        <v>0</v>
      </c>
      <c r="X21" s="2819">
        <f t="shared" si="5"/>
        <v>0</v>
      </c>
    </row>
    <row r="22" spans="1:24">
      <c r="A22" s="2067" t="s">
        <v>1256</v>
      </c>
      <c r="B22" s="2972">
        <f ca="1">'Despesas de Marketing'!F7/C22</f>
        <v>11.999999999999998</v>
      </c>
      <c r="C22" s="2053">
        <v>12</v>
      </c>
      <c r="D22" s="2051" t="s">
        <v>393</v>
      </c>
      <c r="E22" s="2054">
        <f t="shared" ca="1" si="6"/>
        <v>11.999999999999998</v>
      </c>
      <c r="F22" s="2055">
        <f t="shared" ca="1" si="6"/>
        <v>11.999999999999998</v>
      </c>
      <c r="G22" s="2055">
        <f t="shared" ca="1" si="6"/>
        <v>11.999999999999998</v>
      </c>
      <c r="H22" s="2055">
        <f t="shared" ca="1" si="6"/>
        <v>11.999999999999998</v>
      </c>
      <c r="I22" s="2055">
        <f t="shared" ca="1" si="6"/>
        <v>11.999999999999998</v>
      </c>
      <c r="J22" s="2055">
        <f t="shared" ca="1" si="6"/>
        <v>11.999999999999998</v>
      </c>
      <c r="K22" s="2055">
        <f t="shared" ca="1" si="6"/>
        <v>11.999999999999998</v>
      </c>
      <c r="L22" s="2055">
        <f t="shared" ca="1" si="6"/>
        <v>11.999999999999998</v>
      </c>
      <c r="M22" s="2055">
        <f t="shared" ca="1" si="6"/>
        <v>11.999999999999998</v>
      </c>
      <c r="N22" s="2055">
        <f t="shared" ca="1" si="6"/>
        <v>11.999999999999998</v>
      </c>
      <c r="O22" s="2055">
        <f t="shared" ca="1" si="6"/>
        <v>11.999999999999998</v>
      </c>
      <c r="P22" s="2056">
        <f t="shared" ca="1" si="6"/>
        <v>11.999999999999998</v>
      </c>
      <c r="Q22" s="2927">
        <f ca="1">SUM(E22:P22)</f>
        <v>143.99999999999997</v>
      </c>
      <c r="R22" s="2926">
        <f ca="1"/>
        <v>0.45454545454545453</v>
      </c>
      <c r="T22" s="2824"/>
      <c r="U22" s="2978">
        <f ca="1">'Despesas de Marketing'!H7</f>
        <v>247.20000000000002</v>
      </c>
      <c r="V22" s="2978">
        <f ca="1">'Despesas de Marketing'!J7</f>
        <v>267.34679999999997</v>
      </c>
      <c r="W22" s="2978">
        <f ca="1">'Despesas de Marketing'!L7</f>
        <v>289.26669143999999</v>
      </c>
      <c r="X22" s="2978">
        <f ca="1">'Despesas de Marketing'!N7</f>
        <v>312.80140847519999</v>
      </c>
    </row>
    <row r="23" spans="1:24">
      <c r="A23" s="2067" t="s">
        <v>1257</v>
      </c>
      <c r="B23" s="2972">
        <f>'Despesas de Marketing'!C11</f>
        <v>0</v>
      </c>
      <c r="C23" s="2977">
        <f>'Despesas de Marketing'!B11</f>
        <v>1</v>
      </c>
      <c r="D23" s="2051" t="s">
        <v>393</v>
      </c>
      <c r="E23" s="2054">
        <f t="shared" si="6"/>
        <v>0</v>
      </c>
      <c r="F23" s="2055">
        <f t="shared" si="6"/>
        <v>0</v>
      </c>
      <c r="G23" s="2055">
        <f t="shared" si="6"/>
        <v>0</v>
      </c>
      <c r="H23" s="2055">
        <f t="shared" si="6"/>
        <v>0</v>
      </c>
      <c r="I23" s="2055">
        <f t="shared" si="6"/>
        <v>0</v>
      </c>
      <c r="J23" s="2055">
        <f t="shared" si="6"/>
        <v>0</v>
      </c>
      <c r="K23" s="2055">
        <f t="shared" si="6"/>
        <v>0</v>
      </c>
      <c r="L23" s="2055">
        <f t="shared" si="6"/>
        <v>0</v>
      </c>
      <c r="M23" s="2055">
        <f t="shared" si="6"/>
        <v>0</v>
      </c>
      <c r="N23" s="2055">
        <f t="shared" si="6"/>
        <v>0</v>
      </c>
      <c r="O23" s="2055">
        <f t="shared" si="6"/>
        <v>0</v>
      </c>
      <c r="P23" s="2056">
        <f t="shared" si="6"/>
        <v>0</v>
      </c>
      <c r="Q23" s="2927">
        <f t="shared" ref="Q23" si="7">SUM(E23:P23)</f>
        <v>0</v>
      </c>
      <c r="R23" s="2926">
        <f ca="1"/>
        <v>0</v>
      </c>
      <c r="T23" s="2824"/>
      <c r="U23" s="2978">
        <f>'Despesas de Marketing'!H11</f>
        <v>0</v>
      </c>
      <c r="V23" s="2978">
        <f>'Despesas de Marketing'!J11</f>
        <v>0</v>
      </c>
      <c r="W23" s="2978">
        <f>'Despesas de Marketing'!L11</f>
        <v>0</v>
      </c>
      <c r="X23" s="2978">
        <f>'Despesas de Marketing'!N11</f>
        <v>0</v>
      </c>
    </row>
    <row r="24" spans="1:24">
      <c r="A24" s="2067" t="s">
        <v>1258</v>
      </c>
      <c r="B24" s="2972">
        <f ca="1">+'Despesas de Marketing'!F8/C24</f>
        <v>11.999999999999998</v>
      </c>
      <c r="C24" s="2053">
        <v>12</v>
      </c>
      <c r="D24" s="2051" t="s">
        <v>393</v>
      </c>
      <c r="E24" s="2054">
        <f t="shared" ca="1" si="6"/>
        <v>11.999999999999998</v>
      </c>
      <c r="F24" s="2055">
        <f t="shared" ca="1" si="6"/>
        <v>11.999999999999998</v>
      </c>
      <c r="G24" s="2055">
        <f t="shared" ca="1" si="6"/>
        <v>11.999999999999998</v>
      </c>
      <c r="H24" s="2055">
        <f t="shared" ca="1" si="6"/>
        <v>11.999999999999998</v>
      </c>
      <c r="I24" s="2055">
        <f t="shared" ca="1" si="6"/>
        <v>11.999999999999998</v>
      </c>
      <c r="J24" s="2055">
        <f t="shared" ca="1" si="6"/>
        <v>11.999999999999998</v>
      </c>
      <c r="K24" s="2055">
        <f t="shared" ca="1" si="6"/>
        <v>11.999999999999998</v>
      </c>
      <c r="L24" s="2055">
        <f t="shared" ca="1" si="6"/>
        <v>11.999999999999998</v>
      </c>
      <c r="M24" s="2055">
        <f t="shared" ca="1" si="6"/>
        <v>11.999999999999998</v>
      </c>
      <c r="N24" s="2055">
        <f t="shared" ca="1" si="6"/>
        <v>11.999999999999998</v>
      </c>
      <c r="O24" s="2055">
        <f t="shared" ca="1" si="6"/>
        <v>11.999999999999998</v>
      </c>
      <c r="P24" s="2056">
        <f t="shared" ca="1" si="6"/>
        <v>11.999999999999998</v>
      </c>
      <c r="Q24" s="2927">
        <f t="shared" ca="1" si="2"/>
        <v>143.99999999999997</v>
      </c>
      <c r="R24" s="2926">
        <f ca="1"/>
        <v>0.45454545454545453</v>
      </c>
      <c r="T24" s="2824">
        <f t="shared" ca="1" si="3"/>
        <v>143.99999999999997</v>
      </c>
      <c r="U24" s="2978">
        <f ca="1">'Despesas de Marketing'!H8</f>
        <v>247.20000000000002</v>
      </c>
      <c r="V24" s="2978">
        <f ca="1">'Despesas de Marketing'!J8</f>
        <v>267.34679999999997</v>
      </c>
      <c r="W24" s="2978">
        <f ca="1">'Despesas de Marketing'!L8</f>
        <v>289.26669143999999</v>
      </c>
      <c r="X24" s="2978">
        <f ca="1">'Despesas de Marketing'!N8</f>
        <v>312.80140847519999</v>
      </c>
    </row>
    <row r="25" spans="1:24">
      <c r="A25" s="2067" t="s">
        <v>1259</v>
      </c>
      <c r="B25" s="2972">
        <f>'Despesas de Marketing'!C12</f>
        <v>0</v>
      </c>
      <c r="C25" s="2977">
        <f>'Despesas de Marketing'!B12</f>
        <v>12</v>
      </c>
      <c r="D25" s="2051" t="s">
        <v>393</v>
      </c>
      <c r="E25" s="2054">
        <f t="shared" si="6"/>
        <v>0</v>
      </c>
      <c r="F25" s="2055">
        <f t="shared" si="6"/>
        <v>0</v>
      </c>
      <c r="G25" s="2055">
        <f t="shared" si="6"/>
        <v>0</v>
      </c>
      <c r="H25" s="2055">
        <f t="shared" si="6"/>
        <v>0</v>
      </c>
      <c r="I25" s="2055">
        <f t="shared" si="6"/>
        <v>0</v>
      </c>
      <c r="J25" s="2055">
        <f t="shared" si="6"/>
        <v>0</v>
      </c>
      <c r="K25" s="2055">
        <f t="shared" si="6"/>
        <v>0</v>
      </c>
      <c r="L25" s="2055">
        <f t="shared" si="6"/>
        <v>0</v>
      </c>
      <c r="M25" s="2055">
        <f t="shared" si="6"/>
        <v>0</v>
      </c>
      <c r="N25" s="2055">
        <f t="shared" si="6"/>
        <v>0</v>
      </c>
      <c r="O25" s="2055">
        <f t="shared" si="6"/>
        <v>0</v>
      </c>
      <c r="P25" s="2056">
        <f t="shared" si="6"/>
        <v>0</v>
      </c>
      <c r="Q25" s="2927">
        <f t="shared" ref="Q25" si="8">SUM(E25:P25)</f>
        <v>0</v>
      </c>
      <c r="R25" s="2926">
        <f ca="1"/>
        <v>0</v>
      </c>
      <c r="T25" s="2824"/>
      <c r="U25" s="2978">
        <f>+'Despesas de Marketing'!H12</f>
        <v>0</v>
      </c>
      <c r="V25" s="2978">
        <f>+'Despesas de Marketing'!J12</f>
        <v>0</v>
      </c>
      <c r="W25" s="2978">
        <f>+'Despesas de Marketing'!L12</f>
        <v>0</v>
      </c>
      <c r="X25" s="2978">
        <f>+'Despesas de Marketing'!N12</f>
        <v>0</v>
      </c>
    </row>
    <row r="26" spans="1:24">
      <c r="A26" s="2067" t="s">
        <v>602</v>
      </c>
      <c r="B26" s="2052">
        <v>0</v>
      </c>
      <c r="C26" s="2053">
        <v>12</v>
      </c>
      <c r="D26" s="2051" t="s">
        <v>588</v>
      </c>
      <c r="E26" s="2054">
        <f t="shared" si="6"/>
        <v>0</v>
      </c>
      <c r="F26" s="2055">
        <f t="shared" si="6"/>
        <v>0</v>
      </c>
      <c r="G26" s="2055">
        <f t="shared" si="6"/>
        <v>0</v>
      </c>
      <c r="H26" s="2055">
        <f t="shared" si="6"/>
        <v>0</v>
      </c>
      <c r="I26" s="2055">
        <f t="shared" si="6"/>
        <v>0</v>
      </c>
      <c r="J26" s="2055">
        <f t="shared" si="6"/>
        <v>0</v>
      </c>
      <c r="K26" s="2055">
        <f t="shared" si="6"/>
        <v>0</v>
      </c>
      <c r="L26" s="2055">
        <f t="shared" si="6"/>
        <v>0</v>
      </c>
      <c r="M26" s="2055">
        <f t="shared" si="6"/>
        <v>0</v>
      </c>
      <c r="N26" s="2055">
        <f t="shared" si="6"/>
        <v>0</v>
      </c>
      <c r="O26" s="2055">
        <f t="shared" si="6"/>
        <v>0</v>
      </c>
      <c r="P26" s="2056">
        <f t="shared" si="6"/>
        <v>0</v>
      </c>
      <c r="Q26" s="2927">
        <f t="shared" si="2"/>
        <v>0</v>
      </c>
      <c r="R26" s="2926">
        <f ca="1"/>
        <v>0</v>
      </c>
      <c r="T26" s="2824">
        <f t="shared" si="3"/>
        <v>0</v>
      </c>
      <c r="U26" s="2819">
        <f t="shared" si="4"/>
        <v>0</v>
      </c>
      <c r="V26" s="2819">
        <f t="shared" si="5"/>
        <v>0</v>
      </c>
      <c r="W26" s="2819">
        <f t="shared" si="5"/>
        <v>0</v>
      </c>
      <c r="X26" s="2819">
        <f t="shared" si="5"/>
        <v>0</v>
      </c>
    </row>
    <row r="27" spans="1:24" ht="15.75" thickBot="1">
      <c r="A27" s="2067" t="s">
        <v>603</v>
      </c>
      <c r="B27" s="2052">
        <f ca="1">SUM(Q6:Q26)/C27*10%</f>
        <v>2.4</v>
      </c>
      <c r="C27" s="2053">
        <v>12</v>
      </c>
      <c r="D27" s="2051" t="s">
        <v>588</v>
      </c>
      <c r="E27" s="2054">
        <f t="shared" ca="1" si="6"/>
        <v>2.4</v>
      </c>
      <c r="F27" s="2055">
        <f t="shared" ca="1" si="6"/>
        <v>2.4</v>
      </c>
      <c r="G27" s="2055">
        <f t="shared" ca="1" si="6"/>
        <v>2.4</v>
      </c>
      <c r="H27" s="2055">
        <f t="shared" ca="1" si="6"/>
        <v>2.4</v>
      </c>
      <c r="I27" s="2055">
        <f t="shared" ca="1" si="6"/>
        <v>2.4</v>
      </c>
      <c r="J27" s="2055">
        <f t="shared" ca="1" si="6"/>
        <v>2.4</v>
      </c>
      <c r="K27" s="2055">
        <f t="shared" ca="1" si="6"/>
        <v>2.4</v>
      </c>
      <c r="L27" s="2055">
        <f t="shared" ca="1" si="6"/>
        <v>2.4</v>
      </c>
      <c r="M27" s="2055">
        <f t="shared" ca="1" si="6"/>
        <v>2.4</v>
      </c>
      <c r="N27" s="2055">
        <f t="shared" ca="1" si="6"/>
        <v>2.4</v>
      </c>
      <c r="O27" s="2055">
        <f t="shared" ca="1" si="6"/>
        <v>2.4</v>
      </c>
      <c r="P27" s="2056">
        <f t="shared" ca="1" si="6"/>
        <v>2.4</v>
      </c>
      <c r="Q27" s="2927">
        <f t="shared" ca="1" si="2"/>
        <v>28.799999999999994</v>
      </c>
      <c r="R27" s="2926">
        <f ca="1"/>
        <v>9.0909090909090898E-2</v>
      </c>
      <c r="T27" s="2824">
        <f t="shared" ca="1" si="3"/>
        <v>28.799999999999994</v>
      </c>
      <c r="U27" s="2819">
        <f t="shared" ca="1" si="4"/>
        <v>29.951999999999995</v>
      </c>
      <c r="V27" s="2819">
        <f t="shared" ca="1" si="5"/>
        <v>31.150079999999996</v>
      </c>
      <c r="W27" s="2819">
        <f t="shared" ca="1" si="5"/>
        <v>32.3960832</v>
      </c>
      <c r="X27" s="2819">
        <f t="shared" ca="1" si="5"/>
        <v>33.691926528000003</v>
      </c>
    </row>
    <row r="28" spans="1:24" ht="15.75" thickBot="1">
      <c r="A28" s="2057" t="s">
        <v>587</v>
      </c>
      <c r="B28" s="2058"/>
      <c r="C28" s="2059"/>
      <c r="D28" s="2060"/>
      <c r="E28" s="2061">
        <f t="shared" ref="E28:Q28" ca="1" si="9">SUM(E6:E27)</f>
        <v>26.399999999999995</v>
      </c>
      <c r="F28" s="2062">
        <f t="shared" ca="1" si="9"/>
        <v>26.399999999999995</v>
      </c>
      <c r="G28" s="2062">
        <f t="shared" ca="1" si="9"/>
        <v>26.399999999999995</v>
      </c>
      <c r="H28" s="2062">
        <f t="shared" ca="1" si="9"/>
        <v>26.399999999999995</v>
      </c>
      <c r="I28" s="2062">
        <f t="shared" ca="1" si="9"/>
        <v>26.399999999999995</v>
      </c>
      <c r="J28" s="2062">
        <f t="shared" ca="1" si="9"/>
        <v>26.399999999999995</v>
      </c>
      <c r="K28" s="2062">
        <f t="shared" ca="1" si="9"/>
        <v>26.399999999999995</v>
      </c>
      <c r="L28" s="2062">
        <f t="shared" ca="1" si="9"/>
        <v>26.399999999999995</v>
      </c>
      <c r="M28" s="2062">
        <f t="shared" ca="1" si="9"/>
        <v>26.399999999999995</v>
      </c>
      <c r="N28" s="2062">
        <f t="shared" ca="1" si="9"/>
        <v>26.399999999999995</v>
      </c>
      <c r="O28" s="2062">
        <f t="shared" ca="1" si="9"/>
        <v>26.399999999999995</v>
      </c>
      <c r="P28" s="2063">
        <f t="shared" ca="1" si="9"/>
        <v>26.399999999999995</v>
      </c>
      <c r="Q28" s="2928">
        <f t="shared" ca="1" si="9"/>
        <v>316.79999999999995</v>
      </c>
      <c r="R28" s="2929">
        <f ca="1">SUM(R6:R27)</f>
        <v>1</v>
      </c>
      <c r="T28" s="2825">
        <f ca="1">SUM(T6:T27)</f>
        <v>172.79999999999995</v>
      </c>
      <c r="U28" s="2820">
        <f ca="1">SUM(U6:U27)</f>
        <v>524.35199999999998</v>
      </c>
      <c r="V28" s="2821">
        <f ca="1">SUM(V6:V27)</f>
        <v>565.84367999999995</v>
      </c>
      <c r="W28" s="2822">
        <f ca="1">SUM(W6:W27)</f>
        <v>610.92946608</v>
      </c>
      <c r="X28" s="2822">
        <f ca="1">SUM(X6:X27)</f>
        <v>659.29474347839994</v>
      </c>
    </row>
    <row r="29" spans="1:24" ht="15.75" thickTop="1"/>
    <row r="30" spans="1:24" ht="15.75" thickBot="1"/>
    <row r="31" spans="1:24" ht="15.75" thickBot="1">
      <c r="A31" s="69" t="s">
        <v>605</v>
      </c>
      <c r="B31" s="63"/>
      <c r="C31" s="64"/>
      <c r="D31" s="356"/>
    </row>
    <row r="32" spans="1:24" ht="15.75" thickBot="1">
      <c r="A32" s="65"/>
      <c r="B32" s="66" t="s">
        <v>606</v>
      </c>
      <c r="C32" s="67">
        <v>2</v>
      </c>
      <c r="D32" s="356"/>
    </row>
    <row r="33" spans="1:4" ht="15.75" thickBot="1">
      <c r="A33" s="65"/>
      <c r="B33" s="66" t="s">
        <v>607</v>
      </c>
      <c r="C33" s="67">
        <v>0</v>
      </c>
      <c r="D33" s="356"/>
    </row>
  </sheetData>
  <sheetProtection sheet="1" objects="1" scenarios="1"/>
  <phoneticPr fontId="4" type="noConversion"/>
  <dataValidations xWindow="150" yWindow="524" count="5">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1 A6:A27" xr:uid="{00000000-0002-0000-1100-000000000000}"/>
    <dataValidation type="whole" allowBlank="1" showInputMessage="1" showErrorMessage="1" sqref="C32:C33" xr:uid="{00000000-0002-0000-1100-000001000000}">
      <formula1>0</formula1>
      <formula2>12</formula2>
    </dataValidation>
    <dataValidation allowBlank="1" showInputMessage="1" showErrorMessage="1" prompt="Tipo de IPC o inflacción anual prevista (entre el 0% y el 8%)" sqref="T6:X27" xr:uid="{00000000-0002-0000-1100-000002000000}"/>
    <dataValidation type="list" allowBlank="1" showInputMessage="1" showErrorMessage="1" sqref="C6:C27" xr:uid="{00000000-0002-0000-1100-000003000000}">
      <formula1>"12,6,4,3,2,1"</formula1>
    </dataValidation>
    <dataValidation type="list" allowBlank="1" showInputMessage="1" showErrorMessage="1" sqref="D6:D27" xr:uid="{00000000-0002-0000-1100-000004000000}">
      <formula1>"Sim,Não"</formula1>
    </dataValidation>
  </dataValidations>
  <printOptions horizontalCentered="1"/>
  <pageMargins left="0.43307086614173229" right="0.74803149606299213" top="0.70866141732283472" bottom="0.51181102362204722" header="0" footer="0"/>
  <pageSetup paperSize="9" orientation="landscape" horizontalDpi="300" r:id="rId1"/>
  <headerFooter alignWithMargins="0">
    <oddFooter>&amp;C&amp;"Tahoma,Normal"&amp;10&amp;A</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58">
    <tabColor indexed="50"/>
    <pageSetUpPr fitToPage="1"/>
  </sheetPr>
  <dimension ref="A1:K64"/>
  <sheetViews>
    <sheetView workbookViewId="0"/>
  </sheetViews>
  <sheetFormatPr baseColWidth="10" defaultColWidth="11" defaultRowHeight="15"/>
  <cols>
    <col min="1" max="1" width="26.25" style="36" customWidth="1"/>
    <col min="2" max="10" width="10" style="36" customWidth="1"/>
    <col min="11" max="11" width="10.875" style="36" customWidth="1"/>
    <col min="12" max="16384" width="11" style="36"/>
  </cols>
  <sheetData>
    <row r="1" spans="1:11" s="99" customFormat="1" ht="22.5">
      <c r="A1" s="68" t="s">
        <v>609</v>
      </c>
      <c r="B1" s="68"/>
      <c r="C1" s="68"/>
      <c r="D1" s="68"/>
      <c r="E1" s="68"/>
    </row>
    <row r="2" spans="1:11" s="99" customFormat="1" ht="22.5">
      <c r="A2" s="68" t="s">
        <v>617</v>
      </c>
      <c r="B2" s="68"/>
      <c r="C2" s="68"/>
      <c r="D2" s="68"/>
      <c r="E2" s="68"/>
    </row>
    <row r="3" spans="1:11" s="99" customFormat="1" ht="22.5">
      <c r="A3" s="68" t="str">
        <f>'Dados Básicos'!B9</f>
        <v>WWW, S.L.</v>
      </c>
      <c r="B3" s="68"/>
      <c r="C3" s="68"/>
      <c r="D3" s="68"/>
      <c r="E3" s="68"/>
    </row>
    <row r="4" spans="1:11" s="99" customFormat="1" ht="20.25" customHeight="1">
      <c r="A4" s="68"/>
      <c r="B4" s="68"/>
      <c r="C4" s="68"/>
      <c r="D4" s="68"/>
      <c r="E4" s="68"/>
    </row>
    <row r="5" spans="1:11" s="99" customFormat="1" ht="23.25" thickBot="1">
      <c r="A5" s="68" t="s">
        <v>616</v>
      </c>
      <c r="B5" s="68"/>
      <c r="C5" s="68"/>
    </row>
    <row r="6" spans="1:11" ht="44.25" customHeight="1" thickBot="1">
      <c r="A6" s="1789" t="s">
        <v>618</v>
      </c>
      <c r="B6" s="401" t="str">
        <f>+Parametros!B77</f>
        <v>Ano 0:  2026</v>
      </c>
      <c r="C6" s="410" t="str">
        <f>+Parametros!C77</f>
        <v>Ano 1:  2027</v>
      </c>
      <c r="D6" s="409"/>
      <c r="E6" s="410" t="str">
        <f>+Parametros!D77</f>
        <v>Ano 2:  2028</v>
      </c>
      <c r="F6" s="409"/>
      <c r="G6" s="410" t="str">
        <f>+Parametros!E77</f>
        <v>Ano 3:  2029</v>
      </c>
      <c r="H6" s="409"/>
      <c r="I6" s="410" t="str">
        <f>+Parametros!F77</f>
        <v>Ano 4:  2030</v>
      </c>
      <c r="J6" s="409"/>
      <c r="K6" s="568" t="s">
        <v>1175</v>
      </c>
    </row>
    <row r="7" spans="1:11" s="49" customFormat="1" ht="17.25" customHeight="1">
      <c r="A7" s="1374" t="s">
        <v>608</v>
      </c>
      <c r="B7" s="2828">
        <v>1</v>
      </c>
      <c r="C7" s="411">
        <v>0.03</v>
      </c>
      <c r="D7" s="3172">
        <f t="array" ref="D7:D14">B7:B14*(1+C7:C14)</f>
        <v>1.03</v>
      </c>
      <c r="E7" s="411">
        <f>C7</f>
        <v>0.03</v>
      </c>
      <c r="F7" s="3172">
        <f t="array" ref="F7:F14">D7:D14*(1+E7:E14)</f>
        <v>1.0609</v>
      </c>
      <c r="G7" s="411">
        <f t="shared" ref="G7:G14" si="0">E7</f>
        <v>0.03</v>
      </c>
      <c r="H7" s="3172">
        <f t="array" ref="H7:H14">F7:F14*(1+G7:G14)</f>
        <v>1.092727</v>
      </c>
      <c r="I7" s="411">
        <f>G7</f>
        <v>0.03</v>
      </c>
      <c r="J7" s="3172">
        <f t="array" ref="J7:J14">H7:H14*(1+I7:I14)</f>
        <v>1.1255088100000001</v>
      </c>
      <c r="K7" s="411">
        <v>0.02</v>
      </c>
    </row>
    <row r="8" spans="1:11" s="49" customFormat="1" ht="17.25" customHeight="1">
      <c r="A8" s="53"/>
      <c r="B8" s="2826"/>
      <c r="C8" s="412">
        <f t="shared" ref="C8:C14" si="1">C7</f>
        <v>0.03</v>
      </c>
      <c r="D8" s="3173">
        <v>0</v>
      </c>
      <c r="E8" s="412">
        <f t="shared" ref="E8:E14" si="2">E7</f>
        <v>0.03</v>
      </c>
      <c r="F8" s="3173">
        <v>0</v>
      </c>
      <c r="G8" s="412">
        <f t="shared" si="0"/>
        <v>0.03</v>
      </c>
      <c r="H8" s="3173">
        <v>0</v>
      </c>
      <c r="I8" s="412">
        <f t="shared" ref="I8:I14" si="3">I7</f>
        <v>0.03</v>
      </c>
      <c r="J8" s="3173">
        <v>0</v>
      </c>
      <c r="K8" s="412">
        <f t="shared" ref="K8:K14" si="4">K7</f>
        <v>0.02</v>
      </c>
    </row>
    <row r="9" spans="1:11" s="49" customFormat="1" ht="17.25" customHeight="1">
      <c r="A9" s="53"/>
      <c r="B9" s="2826"/>
      <c r="C9" s="412">
        <f t="shared" si="1"/>
        <v>0.03</v>
      </c>
      <c r="D9" s="3173">
        <v>0</v>
      </c>
      <c r="E9" s="412">
        <f t="shared" si="2"/>
        <v>0.03</v>
      </c>
      <c r="F9" s="3173">
        <v>0</v>
      </c>
      <c r="G9" s="412">
        <f t="shared" si="0"/>
        <v>0.03</v>
      </c>
      <c r="H9" s="3173">
        <v>0</v>
      </c>
      <c r="I9" s="412">
        <f t="shared" si="3"/>
        <v>0.03</v>
      </c>
      <c r="J9" s="3173">
        <v>0</v>
      </c>
      <c r="K9" s="412">
        <f t="shared" si="4"/>
        <v>0.02</v>
      </c>
    </row>
    <row r="10" spans="1:11" s="49" customFormat="1" ht="17.25" customHeight="1">
      <c r="A10" s="53"/>
      <c r="B10" s="2826"/>
      <c r="C10" s="412">
        <f t="shared" si="1"/>
        <v>0.03</v>
      </c>
      <c r="D10" s="3173">
        <v>0</v>
      </c>
      <c r="E10" s="412">
        <f t="shared" si="2"/>
        <v>0.03</v>
      </c>
      <c r="F10" s="3173">
        <v>0</v>
      </c>
      <c r="G10" s="412">
        <f t="shared" si="0"/>
        <v>0.03</v>
      </c>
      <c r="H10" s="3173">
        <v>0</v>
      </c>
      <c r="I10" s="412">
        <f t="shared" si="3"/>
        <v>0.03</v>
      </c>
      <c r="J10" s="3173">
        <v>0</v>
      </c>
      <c r="K10" s="412">
        <f t="shared" si="4"/>
        <v>0.02</v>
      </c>
    </row>
    <row r="11" spans="1:11" s="49" customFormat="1" ht="17.25" customHeight="1">
      <c r="A11" s="53"/>
      <c r="B11" s="2826"/>
      <c r="C11" s="412">
        <f t="shared" si="1"/>
        <v>0.03</v>
      </c>
      <c r="D11" s="3173">
        <v>0</v>
      </c>
      <c r="E11" s="412">
        <f t="shared" si="2"/>
        <v>0.03</v>
      </c>
      <c r="F11" s="3173">
        <v>0</v>
      </c>
      <c r="G11" s="412">
        <f t="shared" si="0"/>
        <v>0.03</v>
      </c>
      <c r="H11" s="3173">
        <v>0</v>
      </c>
      <c r="I11" s="412">
        <f t="shared" si="3"/>
        <v>0.03</v>
      </c>
      <c r="J11" s="3173">
        <v>0</v>
      </c>
      <c r="K11" s="412">
        <f t="shared" si="4"/>
        <v>0.02</v>
      </c>
    </row>
    <row r="12" spans="1:11" s="49" customFormat="1" ht="17.25" customHeight="1">
      <c r="A12" s="53"/>
      <c r="B12" s="2826"/>
      <c r="C12" s="412">
        <f t="shared" si="1"/>
        <v>0.03</v>
      </c>
      <c r="D12" s="3173">
        <v>0</v>
      </c>
      <c r="E12" s="412">
        <f t="shared" si="2"/>
        <v>0.03</v>
      </c>
      <c r="F12" s="3173">
        <v>0</v>
      </c>
      <c r="G12" s="412">
        <f t="shared" si="0"/>
        <v>0.03</v>
      </c>
      <c r="H12" s="3173">
        <v>0</v>
      </c>
      <c r="I12" s="412">
        <f t="shared" si="3"/>
        <v>0.03</v>
      </c>
      <c r="J12" s="3173">
        <v>0</v>
      </c>
      <c r="K12" s="412">
        <f t="shared" si="4"/>
        <v>0.02</v>
      </c>
    </row>
    <row r="13" spans="1:11" s="49" customFormat="1" ht="17.25" customHeight="1">
      <c r="A13" s="53"/>
      <c r="B13" s="2826"/>
      <c r="C13" s="412">
        <f t="shared" si="1"/>
        <v>0.03</v>
      </c>
      <c r="D13" s="3173">
        <v>0</v>
      </c>
      <c r="E13" s="412">
        <f t="shared" si="2"/>
        <v>0.03</v>
      </c>
      <c r="F13" s="3173">
        <v>0</v>
      </c>
      <c r="G13" s="412">
        <f t="shared" si="0"/>
        <v>0.03</v>
      </c>
      <c r="H13" s="3173">
        <v>0</v>
      </c>
      <c r="I13" s="412">
        <f t="shared" si="3"/>
        <v>0.03</v>
      </c>
      <c r="J13" s="3173">
        <v>0</v>
      </c>
      <c r="K13" s="412">
        <f t="shared" si="4"/>
        <v>0.02</v>
      </c>
    </row>
    <row r="14" spans="1:11" s="49" customFormat="1" ht="17.25" customHeight="1" thickBot="1">
      <c r="A14" s="54"/>
      <c r="B14" s="2827"/>
      <c r="C14" s="413">
        <f t="shared" si="1"/>
        <v>0.03</v>
      </c>
      <c r="D14" s="3174">
        <v>0</v>
      </c>
      <c r="E14" s="413">
        <f t="shared" si="2"/>
        <v>0.03</v>
      </c>
      <c r="F14" s="3174">
        <v>0</v>
      </c>
      <c r="G14" s="413">
        <f t="shared" si="0"/>
        <v>0.03</v>
      </c>
      <c r="H14" s="3174">
        <v>0</v>
      </c>
      <c r="I14" s="413">
        <f t="shared" si="3"/>
        <v>0.03</v>
      </c>
      <c r="J14" s="3174">
        <v>0</v>
      </c>
      <c r="K14" s="413">
        <f t="shared" si="4"/>
        <v>0.02</v>
      </c>
    </row>
    <row r="15" spans="1:11">
      <c r="A15" s="62" t="s">
        <v>610</v>
      </c>
    </row>
    <row r="17" spans="1:11" ht="26.25" thickBot="1">
      <c r="A17" s="68" t="s">
        <v>615</v>
      </c>
      <c r="H17" s="396"/>
    </row>
    <row r="18" spans="1:11" s="49" customFormat="1" ht="48" customHeight="1" thickBot="1">
      <c r="A18" s="397" t="str">
        <f t="array" ref="A18:C18">A6:C6</f>
        <v>Famílias de produtos
(produtos ou Serviços)</v>
      </c>
      <c r="B18" s="401" t="str">
        <v>Ano 0:  2026</v>
      </c>
      <c r="C18" s="410" t="str">
        <v>Ano 1:  2027</v>
      </c>
      <c r="D18" s="409"/>
      <c r="E18" s="410" t="str">
        <f>E6</f>
        <v>Ano 2:  2028</v>
      </c>
      <c r="F18" s="409"/>
      <c r="G18" s="410" t="str">
        <f>G6</f>
        <v>Ano 3:  2029</v>
      </c>
      <c r="H18" s="409"/>
      <c r="I18" s="410" t="str">
        <f>I6</f>
        <v>Ano 4:  2030</v>
      </c>
      <c r="J18" s="409"/>
    </row>
    <row r="19" spans="1:11" s="49" customFormat="1" ht="17.25" customHeight="1">
      <c r="A19" s="71" t="str">
        <f t="shared" ref="A19:A26" si="5">IF(A7="","",A7)</f>
        <v>produto 1</v>
      </c>
      <c r="B19" s="2828">
        <v>0.14000000000000001</v>
      </c>
      <c r="C19" s="411">
        <f>C7</f>
        <v>0.03</v>
      </c>
      <c r="D19" s="3172">
        <f t="array" ref="D19:D26">B19:B26*(1+C19:C26)</f>
        <v>0.14420000000000002</v>
      </c>
      <c r="E19" s="411">
        <f>C19</f>
        <v>0.03</v>
      </c>
      <c r="F19" s="3172">
        <f t="array" ref="F19:F26">D19:D26*(1+E19:E26)</f>
        <v>0.14852600000000002</v>
      </c>
      <c r="G19" s="411">
        <f>E19</f>
        <v>0.03</v>
      </c>
      <c r="H19" s="3172">
        <f t="array" ref="H19:H26">F19:F26*(1+G19:G26)</f>
        <v>0.15298178000000001</v>
      </c>
      <c r="I19" s="411">
        <f>G19</f>
        <v>0.03</v>
      </c>
      <c r="J19" s="416">
        <f t="array" ref="J19:J26">H19:H26*(1+I19:I26)</f>
        <v>0.15757123340000001</v>
      </c>
    </row>
    <row r="20" spans="1:11" s="49" customFormat="1" ht="17.25" customHeight="1">
      <c r="A20" s="1375" t="str">
        <f t="shared" si="5"/>
        <v/>
      </c>
      <c r="B20" s="2826">
        <f t="shared" ref="B20:B26" si="6">B8*10%</f>
        <v>0</v>
      </c>
      <c r="C20" s="412">
        <f t="shared" ref="C20:C26" si="7">C19</f>
        <v>0.03</v>
      </c>
      <c r="D20" s="3173">
        <v>0</v>
      </c>
      <c r="E20" s="412">
        <f t="shared" ref="E20:I26" si="8">E19</f>
        <v>0.03</v>
      </c>
      <c r="F20" s="3173">
        <v>0</v>
      </c>
      <c r="G20" s="412">
        <f t="shared" si="8"/>
        <v>0.03</v>
      </c>
      <c r="H20" s="3173">
        <v>0</v>
      </c>
      <c r="I20" s="412">
        <f t="shared" si="8"/>
        <v>0.03</v>
      </c>
      <c r="J20" s="414">
        <v>0</v>
      </c>
    </row>
    <row r="21" spans="1:11" s="49" customFormat="1" ht="17.25" customHeight="1">
      <c r="A21" s="1375" t="str">
        <f t="shared" si="5"/>
        <v/>
      </c>
      <c r="B21" s="2826">
        <f t="shared" si="6"/>
        <v>0</v>
      </c>
      <c r="C21" s="412">
        <f t="shared" si="7"/>
        <v>0.03</v>
      </c>
      <c r="D21" s="3173">
        <v>0</v>
      </c>
      <c r="E21" s="412">
        <f t="shared" si="8"/>
        <v>0.03</v>
      </c>
      <c r="F21" s="3173">
        <v>0</v>
      </c>
      <c r="G21" s="412">
        <f t="shared" si="8"/>
        <v>0.03</v>
      </c>
      <c r="H21" s="3173">
        <v>0</v>
      </c>
      <c r="I21" s="412">
        <f t="shared" si="8"/>
        <v>0.03</v>
      </c>
      <c r="J21" s="414">
        <v>0</v>
      </c>
    </row>
    <row r="22" spans="1:11" s="49" customFormat="1" ht="17.25" customHeight="1">
      <c r="A22" s="1375" t="str">
        <f t="shared" si="5"/>
        <v/>
      </c>
      <c r="B22" s="2826">
        <f t="shared" si="6"/>
        <v>0</v>
      </c>
      <c r="C22" s="412">
        <f t="shared" si="7"/>
        <v>0.03</v>
      </c>
      <c r="D22" s="3173">
        <v>0</v>
      </c>
      <c r="E22" s="412">
        <f t="shared" si="8"/>
        <v>0.03</v>
      </c>
      <c r="F22" s="3173">
        <v>0</v>
      </c>
      <c r="G22" s="412">
        <f t="shared" si="8"/>
        <v>0.03</v>
      </c>
      <c r="H22" s="3173">
        <v>0</v>
      </c>
      <c r="I22" s="412">
        <f t="shared" si="8"/>
        <v>0.03</v>
      </c>
      <c r="J22" s="414">
        <v>0</v>
      </c>
    </row>
    <row r="23" spans="1:11" s="49" customFormat="1" ht="17.25" customHeight="1">
      <c r="A23" s="1375" t="str">
        <f t="shared" si="5"/>
        <v/>
      </c>
      <c r="B23" s="2826">
        <f t="shared" si="6"/>
        <v>0</v>
      </c>
      <c r="C23" s="412">
        <f t="shared" si="7"/>
        <v>0.03</v>
      </c>
      <c r="D23" s="3173">
        <v>0</v>
      </c>
      <c r="E23" s="412">
        <f t="shared" si="8"/>
        <v>0.03</v>
      </c>
      <c r="F23" s="3173">
        <v>0</v>
      </c>
      <c r="G23" s="412">
        <f t="shared" si="8"/>
        <v>0.03</v>
      </c>
      <c r="H23" s="3173">
        <v>0</v>
      </c>
      <c r="I23" s="412">
        <f t="shared" si="8"/>
        <v>0.03</v>
      </c>
      <c r="J23" s="414">
        <v>0</v>
      </c>
    </row>
    <row r="24" spans="1:11" s="49" customFormat="1" ht="17.25" customHeight="1">
      <c r="A24" s="1375" t="str">
        <f t="shared" si="5"/>
        <v/>
      </c>
      <c r="B24" s="2826">
        <f t="shared" si="6"/>
        <v>0</v>
      </c>
      <c r="C24" s="412">
        <f t="shared" si="7"/>
        <v>0.03</v>
      </c>
      <c r="D24" s="3173">
        <v>0</v>
      </c>
      <c r="E24" s="412">
        <f t="shared" si="8"/>
        <v>0.03</v>
      </c>
      <c r="F24" s="3173">
        <v>0</v>
      </c>
      <c r="G24" s="412">
        <f t="shared" si="8"/>
        <v>0.03</v>
      </c>
      <c r="H24" s="3173">
        <v>0</v>
      </c>
      <c r="I24" s="412">
        <f t="shared" si="8"/>
        <v>0.03</v>
      </c>
      <c r="J24" s="414">
        <v>0</v>
      </c>
    </row>
    <row r="25" spans="1:11" s="49" customFormat="1" ht="17.25" customHeight="1">
      <c r="A25" s="1375" t="str">
        <f t="shared" si="5"/>
        <v/>
      </c>
      <c r="B25" s="2826">
        <f t="shared" si="6"/>
        <v>0</v>
      </c>
      <c r="C25" s="412">
        <f t="shared" si="7"/>
        <v>0.03</v>
      </c>
      <c r="D25" s="3173">
        <v>0</v>
      </c>
      <c r="E25" s="412">
        <f t="shared" si="8"/>
        <v>0.03</v>
      </c>
      <c r="F25" s="3173">
        <v>0</v>
      </c>
      <c r="G25" s="412">
        <f t="shared" si="8"/>
        <v>0.03</v>
      </c>
      <c r="H25" s="3173">
        <v>0</v>
      </c>
      <c r="I25" s="412">
        <f t="shared" si="8"/>
        <v>0.03</v>
      </c>
      <c r="J25" s="414">
        <v>0</v>
      </c>
    </row>
    <row r="26" spans="1:11" s="49" customFormat="1" ht="17.25" customHeight="1" thickBot="1">
      <c r="A26" s="72" t="str">
        <f t="shared" si="5"/>
        <v/>
      </c>
      <c r="B26" s="2827">
        <f t="shared" si="6"/>
        <v>0</v>
      </c>
      <c r="C26" s="413">
        <f t="shared" si="7"/>
        <v>0.03</v>
      </c>
      <c r="D26" s="3174">
        <v>0</v>
      </c>
      <c r="E26" s="413">
        <f t="shared" si="8"/>
        <v>0.03</v>
      </c>
      <c r="F26" s="3174">
        <v>0</v>
      </c>
      <c r="G26" s="413">
        <f t="shared" si="8"/>
        <v>0.03</v>
      </c>
      <c r="H26" s="3174">
        <v>0</v>
      </c>
      <c r="I26" s="413">
        <f t="shared" si="8"/>
        <v>0.03</v>
      </c>
      <c r="J26" s="415">
        <v>0</v>
      </c>
    </row>
    <row r="27" spans="1:11">
      <c r="A27" s="62" t="s">
        <v>611</v>
      </c>
    </row>
    <row r="28" spans="1:11">
      <c r="A28" s="62"/>
    </row>
    <row r="30" spans="1:11" ht="20.25" thickBot="1">
      <c r="A30" s="406" t="s">
        <v>619</v>
      </c>
    </row>
    <row r="31" spans="1:11" ht="32.25" customHeight="1" thickBot="1">
      <c r="A31" s="398" t="s">
        <v>6</v>
      </c>
      <c r="B31" s="407" t="str">
        <f>B6</f>
        <v>Ano 0:  2026</v>
      </c>
      <c r="C31" s="408"/>
      <c r="D31" s="407" t="str">
        <f>C6</f>
        <v>Ano 1:  2027</v>
      </c>
      <c r="E31" s="408"/>
      <c r="F31" s="407" t="str">
        <f>E6</f>
        <v>Ano 2:  2028</v>
      </c>
      <c r="G31" s="408"/>
      <c r="H31" s="407" t="str">
        <f>G6</f>
        <v>Ano 3:  2029</v>
      </c>
      <c r="I31" s="408"/>
      <c r="J31" s="407" t="str">
        <f>I6</f>
        <v>Ano 4:  2030</v>
      </c>
      <c r="K31" s="408"/>
    </row>
    <row r="32" spans="1:11" ht="30.75" thickBot="1">
      <c r="A32" s="399" t="s">
        <v>618</v>
      </c>
      <c r="B32" s="400" t="s">
        <v>613</v>
      </c>
      <c r="C32" s="400" t="s">
        <v>614</v>
      </c>
      <c r="D32" s="400" t="str">
        <f t="array" ref="D32:E32">$B32:$C32</f>
        <v>C.V.
Unitário</v>
      </c>
      <c r="E32" s="400" t="str">
        <v>márgem</v>
      </c>
      <c r="F32" s="400" t="str">
        <f t="array" ref="F32:G32">$B32:$C32</f>
        <v>C.V.
Unitário</v>
      </c>
      <c r="G32" s="400" t="str">
        <v>márgem</v>
      </c>
      <c r="H32" s="400" t="str">
        <f t="array" ref="H32:I32">$B32:$C32</f>
        <v>C.V.
Unitário</v>
      </c>
      <c r="I32" s="400" t="str">
        <v>márgem</v>
      </c>
      <c r="J32" s="400" t="str">
        <f t="array" ref="J32:K32">$B32:$C32</f>
        <v>C.V.
Unitário</v>
      </c>
      <c r="K32" s="400" t="str">
        <v>márgem</v>
      </c>
    </row>
    <row r="33" spans="1:11">
      <c r="A33" s="1376" t="str">
        <f t="array" ref="A33:A40">productos</f>
        <v>produto 1</v>
      </c>
      <c r="B33" s="402">
        <f t="array" ref="B33:B40">IF(B7:B14=0,"",B19:B26/B7:B14)</f>
        <v>0.14000000000000001</v>
      </c>
      <c r="C33" s="402">
        <f t="array" ref="C33:C40">IF(B33:B40="","",1-B33:B40)</f>
        <v>0.86</v>
      </c>
      <c r="D33" s="402">
        <f t="array" ref="D33:D40">IF(D7:D14=0,"",D19:D26/D7:D14)</f>
        <v>0.14000000000000001</v>
      </c>
      <c r="E33" s="402">
        <f t="array" ref="E33:E40">IF(D33:D40="","",1-D33:D40)</f>
        <v>0.86</v>
      </c>
      <c r="F33" s="402">
        <f t="array" ref="F33:F40">IF(F7:F14=0,"",F19:F26/F7:F14)</f>
        <v>0.14000000000000001</v>
      </c>
      <c r="G33" s="402">
        <f t="array" ref="G33:G40">IF(F33:F40="","",1-F33:F40)</f>
        <v>0.86</v>
      </c>
      <c r="H33" s="402">
        <f t="array" ref="H33:H40">IF(H7:H14=0,"",H19:H26/H7:H14)</f>
        <v>0.14000000000000001</v>
      </c>
      <c r="I33" s="402">
        <f t="array" ref="I33:I40">IF(H33:H40="","",1-H33:H40)</f>
        <v>0.86</v>
      </c>
      <c r="J33" s="402">
        <f t="array" ref="J33:J40">IF(J7:J14=0,"",J19:J26/J7:J14)</f>
        <v>0.13999999999999999</v>
      </c>
      <c r="K33" s="402">
        <f t="array" ref="K33:K40">IF(J33:J40="","",1-J33:J40)</f>
        <v>0.86</v>
      </c>
    </row>
    <row r="34" spans="1:11">
      <c r="A34" s="1377" t="str">
        <v/>
      </c>
      <c r="B34" s="402" t="str">
        <v/>
      </c>
      <c r="C34" s="402" t="str">
        <v/>
      </c>
      <c r="D34" s="402" t="str">
        <v/>
      </c>
      <c r="E34" s="402" t="str">
        <v/>
      </c>
      <c r="F34" s="402" t="str">
        <v/>
      </c>
      <c r="G34" s="402" t="str">
        <v/>
      </c>
      <c r="H34" s="402" t="str">
        <v/>
      </c>
      <c r="I34" s="402" t="str">
        <v/>
      </c>
      <c r="J34" s="402" t="str">
        <v/>
      </c>
      <c r="K34" s="402" t="str">
        <v/>
      </c>
    </row>
    <row r="35" spans="1:11">
      <c r="A35" s="1377" t="str">
        <v/>
      </c>
      <c r="B35" s="402" t="str">
        <v/>
      </c>
      <c r="C35" s="402" t="str">
        <v/>
      </c>
      <c r="D35" s="402" t="str">
        <v/>
      </c>
      <c r="E35" s="402" t="str">
        <v/>
      </c>
      <c r="F35" s="402" t="str">
        <v/>
      </c>
      <c r="G35" s="402" t="str">
        <v/>
      </c>
      <c r="H35" s="402" t="str">
        <v/>
      </c>
      <c r="I35" s="402" t="str">
        <v/>
      </c>
      <c r="J35" s="402" t="str">
        <v/>
      </c>
      <c r="K35" s="402" t="str">
        <v/>
      </c>
    </row>
    <row r="36" spans="1:11">
      <c r="A36" s="1377" t="str">
        <v/>
      </c>
      <c r="B36" s="402" t="str">
        <v/>
      </c>
      <c r="C36" s="402" t="str">
        <v/>
      </c>
      <c r="D36" s="402" t="str">
        <v/>
      </c>
      <c r="E36" s="402" t="str">
        <v/>
      </c>
      <c r="F36" s="402" t="str">
        <v/>
      </c>
      <c r="G36" s="402" t="str">
        <v/>
      </c>
      <c r="H36" s="402" t="str">
        <v/>
      </c>
      <c r="I36" s="402" t="str">
        <v/>
      </c>
      <c r="J36" s="402" t="str">
        <v/>
      </c>
      <c r="K36" s="402" t="str">
        <v/>
      </c>
    </row>
    <row r="37" spans="1:11">
      <c r="A37" s="1377" t="str">
        <v/>
      </c>
      <c r="B37" s="402" t="str">
        <v/>
      </c>
      <c r="C37" s="402" t="str">
        <v/>
      </c>
      <c r="D37" s="402" t="str">
        <v/>
      </c>
      <c r="E37" s="402" t="str">
        <v/>
      </c>
      <c r="F37" s="402" t="str">
        <v/>
      </c>
      <c r="G37" s="402" t="str">
        <v/>
      </c>
      <c r="H37" s="402" t="str">
        <v/>
      </c>
      <c r="I37" s="402" t="str">
        <v/>
      </c>
      <c r="J37" s="402" t="str">
        <v/>
      </c>
      <c r="K37" s="402" t="str">
        <v/>
      </c>
    </row>
    <row r="38" spans="1:11">
      <c r="A38" s="1377" t="str">
        <v/>
      </c>
      <c r="B38" s="402" t="str">
        <v/>
      </c>
      <c r="C38" s="402" t="str">
        <v/>
      </c>
      <c r="D38" s="402" t="str">
        <v/>
      </c>
      <c r="E38" s="402" t="str">
        <v/>
      </c>
      <c r="F38" s="402" t="str">
        <v/>
      </c>
      <c r="G38" s="402" t="str">
        <v/>
      </c>
      <c r="H38" s="402" t="str">
        <v/>
      </c>
      <c r="I38" s="402" t="str">
        <v/>
      </c>
      <c r="J38" s="402" t="str">
        <v/>
      </c>
      <c r="K38" s="402" t="str">
        <v/>
      </c>
    </row>
    <row r="39" spans="1:11">
      <c r="A39" s="1377" t="str">
        <v/>
      </c>
      <c r="B39" s="402" t="str">
        <v/>
      </c>
      <c r="C39" s="403" t="str">
        <v/>
      </c>
      <c r="D39" s="402" t="str">
        <v/>
      </c>
      <c r="E39" s="403" t="str">
        <v/>
      </c>
      <c r="F39" s="402" t="str">
        <v/>
      </c>
      <c r="G39" s="403" t="str">
        <v/>
      </c>
      <c r="H39" s="402" t="str">
        <v/>
      </c>
      <c r="I39" s="403" t="str">
        <v/>
      </c>
      <c r="J39" s="402" t="str">
        <v/>
      </c>
      <c r="K39" s="403" t="str">
        <v/>
      </c>
    </row>
    <row r="40" spans="1:11" ht="15.75" thickBot="1">
      <c r="A40" s="1378" t="str">
        <v/>
      </c>
      <c r="B40" s="404" t="str">
        <v/>
      </c>
      <c r="C40" s="405" t="str">
        <v/>
      </c>
      <c r="D40" s="404" t="str">
        <v/>
      </c>
      <c r="E40" s="405" t="str">
        <v/>
      </c>
      <c r="F40" s="404" t="str">
        <v/>
      </c>
      <c r="G40" s="405" t="str">
        <v/>
      </c>
      <c r="H40" s="404" t="str">
        <v/>
      </c>
      <c r="I40" s="405" t="str">
        <v/>
      </c>
      <c r="J40" s="404" t="str">
        <v/>
      </c>
      <c r="K40" s="405" t="str">
        <v/>
      </c>
    </row>
    <row r="43" spans="1:11" s="21" customFormat="1" ht="26.25" thickBot="1">
      <c r="A43" s="303" t="s">
        <v>621</v>
      </c>
      <c r="B43" s="557"/>
      <c r="C43" s="554"/>
      <c r="D43" s="558"/>
      <c r="F43" s="554"/>
      <c r="G43" s="554"/>
      <c r="H43" s="554"/>
      <c r="I43" s="559"/>
    </row>
    <row r="44" spans="1:11" s="35" customFormat="1" ht="19.5" customHeight="1" thickBot="1">
      <c r="A44" s="174" t="s">
        <v>622</v>
      </c>
      <c r="B44" s="566" t="s">
        <v>18</v>
      </c>
      <c r="C44" s="2834">
        <v>30</v>
      </c>
      <c r="D44" s="2834">
        <v>60</v>
      </c>
      <c r="E44" s="2834">
        <v>90</v>
      </c>
      <c r="F44" s="2834">
        <v>120</v>
      </c>
      <c r="G44" s="2834">
        <v>150</v>
      </c>
      <c r="H44" s="2834">
        <v>180</v>
      </c>
      <c r="I44" s="566" t="s">
        <v>612</v>
      </c>
      <c r="J44" s="566" t="s">
        <v>730</v>
      </c>
    </row>
    <row r="45" spans="1:11" s="21" customFormat="1">
      <c r="A45" s="1376" t="str">
        <f t="array" ref="A45:A52">productos</f>
        <v>produto 1</v>
      </c>
      <c r="B45" s="1783">
        <f t="shared" ref="B45:B52" si="9">IF(SUM(C45:H45)&gt;1,"ERROR",1-SUM(C45:H45))</f>
        <v>1</v>
      </c>
      <c r="C45" s="1784">
        <v>0</v>
      </c>
      <c r="D45" s="1784">
        <v>0</v>
      </c>
      <c r="E45" s="1784">
        <v>0</v>
      </c>
      <c r="F45" s="1784">
        <v>0</v>
      </c>
      <c r="G45" s="1784">
        <v>0</v>
      </c>
      <c r="H45" s="1784">
        <v>0</v>
      </c>
      <c r="I45" s="1785">
        <f t="shared" ref="I45:I52" si="10">SUM(B45:H45)</f>
        <v>1</v>
      </c>
      <c r="J45" s="1986">
        <f t="array" ref="J45">SUM($C$44:$H$44*C45:H45)</f>
        <v>0</v>
      </c>
      <c r="K45" s="1782" t="str">
        <f t="shared" ref="K45:K52" si="11">IF(I45&lt;&gt;1,"ERROR EN PORCENTAJES","")</f>
        <v/>
      </c>
    </row>
    <row r="46" spans="1:11" s="21" customFormat="1">
      <c r="A46" s="1377" t="str">
        <v/>
      </c>
      <c r="B46" s="1783">
        <f t="shared" si="9"/>
        <v>1</v>
      </c>
      <c r="C46" s="1784">
        <v>0</v>
      </c>
      <c r="D46" s="1784">
        <v>0</v>
      </c>
      <c r="E46" s="1784">
        <v>0</v>
      </c>
      <c r="F46" s="1784">
        <v>0</v>
      </c>
      <c r="G46" s="1784">
        <v>0</v>
      </c>
      <c r="H46" s="1784">
        <v>0</v>
      </c>
      <c r="I46" s="1785">
        <f t="shared" si="10"/>
        <v>1</v>
      </c>
      <c r="J46" s="1986">
        <f t="array" ref="J46">SUM($C$44:$H$44*C46:H46)</f>
        <v>0</v>
      </c>
      <c r="K46" s="1782" t="str">
        <f t="shared" si="11"/>
        <v/>
      </c>
    </row>
    <row r="47" spans="1:11" s="21" customFormat="1">
      <c r="A47" s="1377" t="str">
        <v/>
      </c>
      <c r="B47" s="1783">
        <f t="shared" si="9"/>
        <v>1</v>
      </c>
      <c r="C47" s="1784">
        <v>0</v>
      </c>
      <c r="D47" s="1784">
        <v>0</v>
      </c>
      <c r="E47" s="1784">
        <v>0</v>
      </c>
      <c r="F47" s="1784">
        <v>0</v>
      </c>
      <c r="G47" s="1784">
        <v>0</v>
      </c>
      <c r="H47" s="1784">
        <v>0</v>
      </c>
      <c r="I47" s="1785">
        <f t="shared" si="10"/>
        <v>1</v>
      </c>
      <c r="J47" s="1986">
        <f t="array" ref="J47">SUM($C$44:$H$44*C47:H47)</f>
        <v>0</v>
      </c>
      <c r="K47" s="1782" t="str">
        <f t="shared" si="11"/>
        <v/>
      </c>
    </row>
    <row r="48" spans="1:11" s="21" customFormat="1">
      <c r="A48" s="1377" t="str">
        <v/>
      </c>
      <c r="B48" s="1783">
        <f t="shared" si="9"/>
        <v>1</v>
      </c>
      <c r="C48" s="1784">
        <v>0</v>
      </c>
      <c r="D48" s="1784">
        <v>0</v>
      </c>
      <c r="E48" s="1784">
        <v>0</v>
      </c>
      <c r="F48" s="1784">
        <v>0</v>
      </c>
      <c r="G48" s="1784">
        <v>0</v>
      </c>
      <c r="H48" s="1784">
        <v>0</v>
      </c>
      <c r="I48" s="1785">
        <f t="shared" si="10"/>
        <v>1</v>
      </c>
      <c r="J48" s="1986">
        <f t="array" ref="J48">SUM($C$44:$H$44*C48:H48)</f>
        <v>0</v>
      </c>
      <c r="K48" s="1782" t="str">
        <f t="shared" si="11"/>
        <v/>
      </c>
    </row>
    <row r="49" spans="1:11" s="21" customFormat="1">
      <c r="A49" s="1377" t="str">
        <v/>
      </c>
      <c r="B49" s="1783">
        <f t="shared" si="9"/>
        <v>1</v>
      </c>
      <c r="C49" s="1784">
        <v>0</v>
      </c>
      <c r="D49" s="1784">
        <v>0</v>
      </c>
      <c r="E49" s="1784">
        <v>0</v>
      </c>
      <c r="F49" s="1784">
        <v>0</v>
      </c>
      <c r="G49" s="1784">
        <v>0</v>
      </c>
      <c r="H49" s="1784">
        <v>0</v>
      </c>
      <c r="I49" s="1785">
        <f t="shared" si="10"/>
        <v>1</v>
      </c>
      <c r="J49" s="1986">
        <f t="array" ref="J49">SUM($C$44:$H$44*C49:H49)</f>
        <v>0</v>
      </c>
      <c r="K49" s="1782" t="str">
        <f t="shared" si="11"/>
        <v/>
      </c>
    </row>
    <row r="50" spans="1:11" s="21" customFormat="1">
      <c r="A50" s="1377" t="str">
        <v/>
      </c>
      <c r="B50" s="1783">
        <f t="shared" si="9"/>
        <v>1</v>
      </c>
      <c r="C50" s="1784">
        <v>0</v>
      </c>
      <c r="D50" s="1784">
        <v>0</v>
      </c>
      <c r="E50" s="1784">
        <v>0</v>
      </c>
      <c r="F50" s="1784">
        <v>0</v>
      </c>
      <c r="G50" s="1784">
        <v>0</v>
      </c>
      <c r="H50" s="1784">
        <v>0</v>
      </c>
      <c r="I50" s="1785">
        <f t="shared" si="10"/>
        <v>1</v>
      </c>
      <c r="J50" s="1986">
        <f t="array" ref="J50">SUM($C$44:$H$44*C50:H50)</f>
        <v>0</v>
      </c>
      <c r="K50" s="1782" t="str">
        <f t="shared" si="11"/>
        <v/>
      </c>
    </row>
    <row r="51" spans="1:11" s="21" customFormat="1">
      <c r="A51" s="1377" t="str">
        <v/>
      </c>
      <c r="B51" s="1783">
        <f t="shared" si="9"/>
        <v>1</v>
      </c>
      <c r="C51" s="1784">
        <v>0</v>
      </c>
      <c r="D51" s="1784">
        <v>0</v>
      </c>
      <c r="E51" s="1784">
        <v>0</v>
      </c>
      <c r="F51" s="1784">
        <v>0</v>
      </c>
      <c r="G51" s="1784">
        <v>0</v>
      </c>
      <c r="H51" s="1784">
        <v>0</v>
      </c>
      <c r="I51" s="1785">
        <f t="shared" si="10"/>
        <v>1</v>
      </c>
      <c r="J51" s="1986">
        <f t="array" ref="J51">SUM($C$44:$H$44*C51:H51)</f>
        <v>0</v>
      </c>
      <c r="K51" s="1782" t="str">
        <f t="shared" si="11"/>
        <v/>
      </c>
    </row>
    <row r="52" spans="1:11" s="21" customFormat="1" ht="15.75" thickBot="1">
      <c r="A52" s="1378" t="str">
        <v/>
      </c>
      <c r="B52" s="1786">
        <f t="shared" si="9"/>
        <v>1</v>
      </c>
      <c r="C52" s="1787">
        <v>0</v>
      </c>
      <c r="D52" s="1787">
        <v>0</v>
      </c>
      <c r="E52" s="1787">
        <v>0</v>
      </c>
      <c r="F52" s="1787">
        <v>0</v>
      </c>
      <c r="G52" s="1787">
        <v>0</v>
      </c>
      <c r="H52" s="1787">
        <v>0</v>
      </c>
      <c r="I52" s="1788">
        <f t="shared" si="10"/>
        <v>1</v>
      </c>
      <c r="J52" s="1987">
        <f t="array" ref="J52">SUM($C$44:$H$44*C52:H52)</f>
        <v>0</v>
      </c>
      <c r="K52" s="1782" t="str">
        <f t="shared" si="11"/>
        <v/>
      </c>
    </row>
    <row r="53" spans="1:11" s="21" customFormat="1">
      <c r="K53" s="35"/>
    </row>
    <row r="54" spans="1:11" s="21" customFormat="1">
      <c r="K54" s="35"/>
    </row>
    <row r="55" spans="1:11" s="21" customFormat="1" ht="26.25" thickBot="1">
      <c r="A55" s="303" t="s">
        <v>620</v>
      </c>
      <c r="B55" s="557"/>
      <c r="C55" s="554"/>
      <c r="D55" s="558"/>
      <c r="E55" s="285"/>
      <c r="F55" s="554"/>
      <c r="G55" s="554"/>
      <c r="H55" s="554"/>
      <c r="I55" s="559"/>
      <c r="J55" s="559"/>
      <c r="K55" s="35"/>
    </row>
    <row r="56" spans="1:11" s="35" customFormat="1" ht="19.5" customHeight="1" thickBot="1">
      <c r="A56" s="174" t="str">
        <f t="array" ref="A56:J56">A44:J44</f>
        <v>Produtos</v>
      </c>
      <c r="B56" s="566" t="str">
        <v>% contado</v>
      </c>
      <c r="C56" s="567">
        <v>30</v>
      </c>
      <c r="D56" s="567">
        <v>60</v>
      </c>
      <c r="E56" s="567">
        <v>90</v>
      </c>
      <c r="F56" s="567">
        <v>120</v>
      </c>
      <c r="G56" s="567">
        <v>150</v>
      </c>
      <c r="H56" s="567">
        <v>180</v>
      </c>
      <c r="I56" s="566" t="str">
        <v>Totais</v>
      </c>
      <c r="J56" s="566" t="str">
        <v>dias meia</v>
      </c>
    </row>
    <row r="57" spans="1:11" s="35" customFormat="1">
      <c r="A57" s="1376" t="str">
        <f t="array" ref="A57:A64">productos</f>
        <v>produto 1</v>
      </c>
      <c r="B57" s="1783">
        <f t="shared" ref="B57:B64" si="12">IF(SUM(C57:H57)&gt;1,"ERROR",1-SUM(C57:H57))</f>
        <v>1</v>
      </c>
      <c r="C57" s="1784">
        <v>0</v>
      </c>
      <c r="D57" s="1784">
        <v>0</v>
      </c>
      <c r="E57" s="1784">
        <v>0</v>
      </c>
      <c r="F57" s="1784">
        <v>0</v>
      </c>
      <c r="G57" s="1784">
        <v>0</v>
      </c>
      <c r="H57" s="1784">
        <v>0</v>
      </c>
      <c r="I57" s="1785">
        <f t="shared" ref="I57:I64" si="13">SUM(B57:H57)</f>
        <v>1</v>
      </c>
      <c r="J57" s="1986">
        <f t="array" ref="J57">SUM($C$56:$H$56*C57:H57)</f>
        <v>0</v>
      </c>
      <c r="K57" s="1782" t="str">
        <f t="shared" ref="K57:K64" si="14">IF(I57&lt;&gt;1,"ERROR EN PORCENTAJES","")</f>
        <v/>
      </c>
    </row>
    <row r="58" spans="1:11" s="35" customFormat="1">
      <c r="A58" s="1377" t="str">
        <v/>
      </c>
      <c r="B58" s="1783">
        <f t="shared" si="12"/>
        <v>1</v>
      </c>
      <c r="C58" s="1784">
        <v>0</v>
      </c>
      <c r="D58" s="1784">
        <v>0</v>
      </c>
      <c r="E58" s="1784">
        <v>0</v>
      </c>
      <c r="F58" s="1784">
        <v>0</v>
      </c>
      <c r="G58" s="1784">
        <v>0</v>
      </c>
      <c r="H58" s="1784">
        <v>0</v>
      </c>
      <c r="I58" s="1785">
        <f t="shared" si="13"/>
        <v>1</v>
      </c>
      <c r="J58" s="1986">
        <f t="array" ref="J58">SUM($C$56:$H$56*C58:H58)</f>
        <v>0</v>
      </c>
      <c r="K58" s="1782" t="str">
        <f t="shared" si="14"/>
        <v/>
      </c>
    </row>
    <row r="59" spans="1:11" s="35" customFormat="1">
      <c r="A59" s="1377" t="str">
        <v/>
      </c>
      <c r="B59" s="1783">
        <f t="shared" si="12"/>
        <v>1</v>
      </c>
      <c r="C59" s="1784">
        <v>0</v>
      </c>
      <c r="D59" s="1784">
        <v>0</v>
      </c>
      <c r="E59" s="1784">
        <v>0</v>
      </c>
      <c r="F59" s="1784">
        <v>0</v>
      </c>
      <c r="G59" s="1784">
        <v>0</v>
      </c>
      <c r="H59" s="1784">
        <v>0</v>
      </c>
      <c r="I59" s="1785">
        <f t="shared" si="13"/>
        <v>1</v>
      </c>
      <c r="J59" s="1986">
        <f t="array" ref="J59">SUM($C$56:$H$56*C59:H59)</f>
        <v>0</v>
      </c>
      <c r="K59" s="1782" t="str">
        <f t="shared" si="14"/>
        <v/>
      </c>
    </row>
    <row r="60" spans="1:11" s="35" customFormat="1">
      <c r="A60" s="1377" t="str">
        <v/>
      </c>
      <c r="B60" s="1783">
        <f t="shared" si="12"/>
        <v>1</v>
      </c>
      <c r="C60" s="1784">
        <v>0</v>
      </c>
      <c r="D60" s="1784">
        <v>0</v>
      </c>
      <c r="E60" s="1784">
        <v>0</v>
      </c>
      <c r="F60" s="1784">
        <v>0</v>
      </c>
      <c r="G60" s="1784">
        <v>0</v>
      </c>
      <c r="H60" s="1784">
        <v>0</v>
      </c>
      <c r="I60" s="1785">
        <f t="shared" si="13"/>
        <v>1</v>
      </c>
      <c r="J60" s="1986">
        <f t="array" ref="J60">SUM($C$56:$H$56*C60:H60)</f>
        <v>0</v>
      </c>
      <c r="K60" s="1782" t="str">
        <f t="shared" si="14"/>
        <v/>
      </c>
    </row>
    <row r="61" spans="1:11" s="35" customFormat="1">
      <c r="A61" s="1377" t="str">
        <v/>
      </c>
      <c r="B61" s="1783">
        <f t="shared" si="12"/>
        <v>1</v>
      </c>
      <c r="C61" s="1784">
        <v>0</v>
      </c>
      <c r="D61" s="1784">
        <v>0</v>
      </c>
      <c r="E61" s="1784">
        <v>0</v>
      </c>
      <c r="F61" s="1784">
        <v>0</v>
      </c>
      <c r="G61" s="1784">
        <v>0</v>
      </c>
      <c r="H61" s="1784">
        <v>0</v>
      </c>
      <c r="I61" s="1785">
        <f t="shared" si="13"/>
        <v>1</v>
      </c>
      <c r="J61" s="1986">
        <f t="array" ref="J61">SUM($C$56:$H$56*C61:H61)</f>
        <v>0</v>
      </c>
      <c r="K61" s="1782" t="str">
        <f t="shared" si="14"/>
        <v/>
      </c>
    </row>
    <row r="62" spans="1:11" s="35" customFormat="1">
      <c r="A62" s="1377" t="str">
        <v/>
      </c>
      <c r="B62" s="1783">
        <f t="shared" si="12"/>
        <v>1</v>
      </c>
      <c r="C62" s="1784">
        <v>0</v>
      </c>
      <c r="D62" s="1784">
        <v>0</v>
      </c>
      <c r="E62" s="1784">
        <v>0</v>
      </c>
      <c r="F62" s="1784">
        <v>0</v>
      </c>
      <c r="G62" s="1784">
        <v>0</v>
      </c>
      <c r="H62" s="1784">
        <v>0</v>
      </c>
      <c r="I62" s="1785">
        <f t="shared" si="13"/>
        <v>1</v>
      </c>
      <c r="J62" s="1986">
        <f t="array" ref="J62">SUM($C$56:$H$56*C62:H62)</f>
        <v>0</v>
      </c>
      <c r="K62" s="1782" t="str">
        <f t="shared" si="14"/>
        <v/>
      </c>
    </row>
    <row r="63" spans="1:11" s="35" customFormat="1">
      <c r="A63" s="1377" t="str">
        <v/>
      </c>
      <c r="B63" s="1783">
        <f t="shared" si="12"/>
        <v>1</v>
      </c>
      <c r="C63" s="1784">
        <v>0</v>
      </c>
      <c r="D63" s="1784">
        <v>0</v>
      </c>
      <c r="E63" s="1784">
        <v>0</v>
      </c>
      <c r="F63" s="1784">
        <v>0</v>
      </c>
      <c r="G63" s="1784">
        <v>0</v>
      </c>
      <c r="H63" s="1784">
        <v>0</v>
      </c>
      <c r="I63" s="1785">
        <f t="shared" si="13"/>
        <v>1</v>
      </c>
      <c r="J63" s="1986">
        <f t="array" ref="J63">SUM($C$56:$H$56*C63:H63)</f>
        <v>0</v>
      </c>
      <c r="K63" s="1782" t="str">
        <f t="shared" si="14"/>
        <v/>
      </c>
    </row>
    <row r="64" spans="1:11" s="35" customFormat="1" ht="15.75" thickBot="1">
      <c r="A64" s="1378" t="str">
        <v/>
      </c>
      <c r="B64" s="1786">
        <f t="shared" si="12"/>
        <v>1</v>
      </c>
      <c r="C64" s="1787">
        <v>0</v>
      </c>
      <c r="D64" s="1787">
        <v>0</v>
      </c>
      <c r="E64" s="1787">
        <v>0</v>
      </c>
      <c r="F64" s="1787">
        <v>0</v>
      </c>
      <c r="G64" s="1787">
        <v>0</v>
      </c>
      <c r="H64" s="1787">
        <v>0</v>
      </c>
      <c r="I64" s="1788">
        <f t="shared" si="13"/>
        <v>1</v>
      </c>
      <c r="J64" s="1987">
        <f t="array" ref="J64">SUM($C$56:$H$56*C64:H64)</f>
        <v>0</v>
      </c>
      <c r="K64" s="1782" t="str">
        <f t="shared" si="14"/>
        <v/>
      </c>
    </row>
  </sheetData>
  <sheetProtection sheet="1" objects="1" scenarios="1"/>
  <phoneticPr fontId="4" type="noConversion"/>
  <conditionalFormatting sqref="B44">
    <cfRule type="cellIs" dxfId="31" priority="2" stopIfTrue="1" operator="equal">
      <formula>"ERROR"</formula>
    </cfRule>
  </conditionalFormatting>
  <conditionalFormatting sqref="B33:K40">
    <cfRule type="expression" dxfId="30" priority="1" stopIfTrue="1">
      <formula>$A33=""</formula>
    </cfRule>
  </conditionalFormatting>
  <dataValidations xWindow="647" yWindow="492" count="2">
    <dataValidation type="decimal" allowBlank="1" showInputMessage="1" showErrorMessage="1" sqref="C45:H52 L7:M14 F15:Q15 C57:H64" xr:uid="{00000000-0002-0000-1200-000000000000}">
      <formula1>0</formula1>
      <formula2>1</formula2>
    </dataValidation>
    <dataValidation type="textLength" allowBlank="1" showInputMessage="1" showErrorMessage="1" prompt="Nombre del producto o servicio o de la familia (una por linea)_x000a_O bien Ventas globales si se estiman conjuntamente las ventas." sqref="A7:A14" xr:uid="{00000000-0002-0000-1200-000001000000}">
      <formula1>0</formula1>
      <formula2>32</formula2>
    </dataValidation>
  </dataValidations>
  <printOptions horizontalCentered="1"/>
  <pageMargins left="0.35433070866141736" right="0.75" top="0.48" bottom="0.35433070866141736" header="0" footer="0"/>
  <pageSetup paperSize="9" scale="66" orientation="portrait" horizontalDpi="300" r:id="rId1"/>
  <headerFooter alignWithMargins="0">
    <oddFooter>&amp;C&amp;"Tahoma,Normal"&amp;10&amp;A</oddFooter>
  </headerFooter>
  <rowBreaks count="1" manualBreakCount="1">
    <brk id="16"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5">
    <tabColor indexed="26"/>
    <pageSetUpPr fitToPage="1"/>
  </sheetPr>
  <dimension ref="A1"/>
  <sheetViews>
    <sheetView workbookViewId="0"/>
  </sheetViews>
  <sheetFormatPr baseColWidth="10" defaultRowHeight="15.75"/>
  <sheetData/>
  <sheetProtection sheet="1" objects="1" scenarios="1"/>
  <phoneticPr fontId="4" type="noConversion"/>
  <pageMargins left="0.78740157480314965" right="0.78740157480314965" top="0.59055118110236227" bottom="0.68" header="0" footer="0"/>
  <pageSetup paperSize="9" scale="72" orientation="portrait" r:id="rId1"/>
  <headerFooter alignWithMargins="0">
    <oddHeader>&amp;C&amp;F  &amp;A</oddHead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5">
    <tabColor indexed="43"/>
  </sheetPr>
  <dimension ref="A1:J95"/>
  <sheetViews>
    <sheetView workbookViewId="0"/>
  </sheetViews>
  <sheetFormatPr baseColWidth="10" defaultColWidth="11" defaultRowHeight="15"/>
  <cols>
    <col min="1" max="1" width="25" style="21" customWidth="1"/>
    <col min="2" max="8" width="11" style="21"/>
    <col min="9" max="9" width="7.875" style="21" customWidth="1"/>
    <col min="10" max="16384" width="11" style="21"/>
  </cols>
  <sheetData>
    <row r="1" spans="1:10" ht="22.5">
      <c r="A1" s="461" t="str">
        <f>'Dados Básicos'!$B$9</f>
        <v>WWW, S.L.</v>
      </c>
    </row>
    <row r="4" spans="1:10" ht="25.5">
      <c r="A4" s="334" t="str">
        <f>CONCATENATE("Política de Cobranças por Vendas para o ",Parametros!$B$77)</f>
        <v>Política de Cobranças por Vendas para o Ano 0:  2026</v>
      </c>
      <c r="B4" s="557"/>
      <c r="C4" s="554"/>
      <c r="D4" s="558"/>
      <c r="F4" s="554"/>
      <c r="G4" s="554"/>
      <c r="H4" s="554"/>
      <c r="I4" s="559"/>
    </row>
    <row r="5" spans="1:10" ht="7.5" customHeight="1" thickBot="1">
      <c r="A5" s="287"/>
      <c r="B5" s="289"/>
      <c r="C5" s="88"/>
      <c r="D5" s="88"/>
      <c r="E5" s="88"/>
      <c r="F5" s="88"/>
      <c r="G5" s="88"/>
      <c r="H5" s="88"/>
      <c r="I5" s="88"/>
    </row>
    <row r="6" spans="1:10" s="35" customFormat="1" ht="19.5" customHeight="1" thickBot="1">
      <c r="A6" s="174" t="str">
        <f t="array" ref="A6:J6">'Preços-CV'!A44:J44</f>
        <v>Produtos</v>
      </c>
      <c r="B6" s="566" t="str">
        <v>% contado</v>
      </c>
      <c r="C6" s="567">
        <v>30</v>
      </c>
      <c r="D6" s="567">
        <v>60</v>
      </c>
      <c r="E6" s="567">
        <v>90</v>
      </c>
      <c r="F6" s="567">
        <v>120</v>
      </c>
      <c r="G6" s="567">
        <v>150</v>
      </c>
      <c r="H6" s="567">
        <v>180</v>
      </c>
      <c r="I6" s="566" t="str">
        <v>Totais</v>
      </c>
      <c r="J6" s="566" t="str">
        <v>dias meia</v>
      </c>
    </row>
    <row r="7" spans="1:10">
      <c r="A7" s="1376" t="str">
        <f t="array" ref="A7:A14">productos</f>
        <v>produto 1</v>
      </c>
      <c r="B7" s="555">
        <f>IF(SUM(C7:H7)&gt;1,"ERROR",1-SUM(C7:H7))</f>
        <v>1</v>
      </c>
      <c r="C7" s="556">
        <f>'Preços-CV'!C45</f>
        <v>0</v>
      </c>
      <c r="D7" s="556">
        <f>'Preços-CV'!D45</f>
        <v>0</v>
      </c>
      <c r="E7" s="556">
        <f>'Preços-CV'!E45</f>
        <v>0</v>
      </c>
      <c r="F7" s="556">
        <f>'Preços-CV'!F45</f>
        <v>0</v>
      </c>
      <c r="G7" s="556">
        <f>'Preços-CV'!G45</f>
        <v>0</v>
      </c>
      <c r="H7" s="556">
        <f>'Preços-CV'!H45</f>
        <v>0</v>
      </c>
      <c r="I7" s="562">
        <f t="shared" ref="I7:I14" si="0">SUM(B7:H7)</f>
        <v>1</v>
      </c>
      <c r="J7" s="1986">
        <f t="array" ref="J7">SUM($C$6:$H$6*C7:H7)</f>
        <v>0</v>
      </c>
    </row>
    <row r="8" spans="1:10">
      <c r="A8" s="1377" t="str">
        <v/>
      </c>
      <c r="B8" s="555">
        <f t="shared" ref="B8:B14" si="1">IF(SUM(C8:H8)&gt;1,"ERROR",1-SUM(C8:H8))</f>
        <v>1</v>
      </c>
      <c r="C8" s="556">
        <f>'Preços-CV'!C46</f>
        <v>0</v>
      </c>
      <c r="D8" s="556">
        <f>'Preços-CV'!D46</f>
        <v>0</v>
      </c>
      <c r="E8" s="556">
        <f>'Preços-CV'!E46</f>
        <v>0</v>
      </c>
      <c r="F8" s="556">
        <f>'Preços-CV'!F46</f>
        <v>0</v>
      </c>
      <c r="G8" s="556">
        <f>'Preços-CV'!G46</f>
        <v>0</v>
      </c>
      <c r="H8" s="556">
        <f>'Preços-CV'!H46</f>
        <v>0</v>
      </c>
      <c r="I8" s="562">
        <f t="shared" si="0"/>
        <v>1</v>
      </c>
      <c r="J8" s="1986">
        <f t="array" ref="J8">SUM($C$6:$H$6*C8:H8)</f>
        <v>0</v>
      </c>
    </row>
    <row r="9" spans="1:10">
      <c r="A9" s="1377" t="str">
        <v/>
      </c>
      <c r="B9" s="555">
        <f t="shared" si="1"/>
        <v>1</v>
      </c>
      <c r="C9" s="556">
        <f>'Preços-CV'!C47</f>
        <v>0</v>
      </c>
      <c r="D9" s="556">
        <f>'Preços-CV'!D47</f>
        <v>0</v>
      </c>
      <c r="E9" s="556">
        <f>'Preços-CV'!E47</f>
        <v>0</v>
      </c>
      <c r="F9" s="556">
        <f>'Preços-CV'!F47</f>
        <v>0</v>
      </c>
      <c r="G9" s="556">
        <f>'Preços-CV'!G47</f>
        <v>0</v>
      </c>
      <c r="H9" s="556">
        <f>'Preços-CV'!H47</f>
        <v>0</v>
      </c>
      <c r="I9" s="562">
        <f t="shared" si="0"/>
        <v>1</v>
      </c>
      <c r="J9" s="1986">
        <f t="array" ref="J9">SUM($C$6:$H$6*C9:H9)</f>
        <v>0</v>
      </c>
    </row>
    <row r="10" spans="1:10">
      <c r="A10" s="1377" t="str">
        <v/>
      </c>
      <c r="B10" s="555">
        <f t="shared" si="1"/>
        <v>1</v>
      </c>
      <c r="C10" s="556">
        <f>'Preços-CV'!C48</f>
        <v>0</v>
      </c>
      <c r="D10" s="556">
        <f>'Preços-CV'!D48</f>
        <v>0</v>
      </c>
      <c r="E10" s="556">
        <f>'Preços-CV'!E48</f>
        <v>0</v>
      </c>
      <c r="F10" s="556">
        <f>'Preços-CV'!F48</f>
        <v>0</v>
      </c>
      <c r="G10" s="556">
        <f>'Preços-CV'!G48</f>
        <v>0</v>
      </c>
      <c r="H10" s="556">
        <f>'Preços-CV'!H48</f>
        <v>0</v>
      </c>
      <c r="I10" s="562">
        <f t="shared" si="0"/>
        <v>1</v>
      </c>
      <c r="J10" s="1986">
        <f t="array" ref="J10">SUM($C$6:$H$6*C10:H10)</f>
        <v>0</v>
      </c>
    </row>
    <row r="11" spans="1:10">
      <c r="A11" s="1377" t="str">
        <v/>
      </c>
      <c r="B11" s="555">
        <f t="shared" si="1"/>
        <v>1</v>
      </c>
      <c r="C11" s="556">
        <f>'Preços-CV'!C49</f>
        <v>0</v>
      </c>
      <c r="D11" s="556">
        <f>'Preços-CV'!D49</f>
        <v>0</v>
      </c>
      <c r="E11" s="556">
        <f>'Preços-CV'!E49</f>
        <v>0</v>
      </c>
      <c r="F11" s="556">
        <f>'Preços-CV'!F49</f>
        <v>0</v>
      </c>
      <c r="G11" s="556">
        <f>'Preços-CV'!G49</f>
        <v>0</v>
      </c>
      <c r="H11" s="556">
        <f>'Preços-CV'!H49</f>
        <v>0</v>
      </c>
      <c r="I11" s="562">
        <f t="shared" si="0"/>
        <v>1</v>
      </c>
      <c r="J11" s="1986">
        <f t="array" ref="J11">SUM($C$6:$H$6*C11:H11)</f>
        <v>0</v>
      </c>
    </row>
    <row r="12" spans="1:10">
      <c r="A12" s="1377" t="str">
        <v/>
      </c>
      <c r="B12" s="555">
        <f t="shared" si="1"/>
        <v>1</v>
      </c>
      <c r="C12" s="556">
        <f>'Preços-CV'!C50</f>
        <v>0</v>
      </c>
      <c r="D12" s="556">
        <f>'Preços-CV'!D50</f>
        <v>0</v>
      </c>
      <c r="E12" s="556">
        <f>'Preços-CV'!E50</f>
        <v>0</v>
      </c>
      <c r="F12" s="556">
        <f>'Preços-CV'!F50</f>
        <v>0</v>
      </c>
      <c r="G12" s="556">
        <f>'Preços-CV'!G50</f>
        <v>0</v>
      </c>
      <c r="H12" s="556">
        <f>'Preços-CV'!H50</f>
        <v>0</v>
      </c>
      <c r="I12" s="562">
        <f t="shared" si="0"/>
        <v>1</v>
      </c>
      <c r="J12" s="1986">
        <f t="array" ref="J12">SUM($C$6:$H$6*C12:H12)</f>
        <v>0</v>
      </c>
    </row>
    <row r="13" spans="1:10">
      <c r="A13" s="1377" t="str">
        <v/>
      </c>
      <c r="B13" s="555">
        <f t="shared" si="1"/>
        <v>1</v>
      </c>
      <c r="C13" s="556">
        <f>'Preços-CV'!C51</f>
        <v>0</v>
      </c>
      <c r="D13" s="556">
        <f>'Preços-CV'!D51</f>
        <v>0</v>
      </c>
      <c r="E13" s="556">
        <f>'Preços-CV'!E51</f>
        <v>0</v>
      </c>
      <c r="F13" s="556">
        <f>'Preços-CV'!F51</f>
        <v>0</v>
      </c>
      <c r="G13" s="556">
        <f>'Preços-CV'!G51</f>
        <v>0</v>
      </c>
      <c r="H13" s="556">
        <f>'Preços-CV'!H51</f>
        <v>0</v>
      </c>
      <c r="I13" s="562">
        <f t="shared" si="0"/>
        <v>1</v>
      </c>
      <c r="J13" s="1986">
        <f t="array" ref="J13">SUM($C$6:$H$6*C13:H13)</f>
        <v>0</v>
      </c>
    </row>
    <row r="14" spans="1:10" ht="15.75" thickBot="1">
      <c r="A14" s="1378" t="str">
        <v/>
      </c>
      <c r="B14" s="563">
        <f t="shared" si="1"/>
        <v>1</v>
      </c>
      <c r="C14" s="564">
        <f>'Preços-CV'!C52</f>
        <v>0</v>
      </c>
      <c r="D14" s="564">
        <f>'Preços-CV'!D52</f>
        <v>0</v>
      </c>
      <c r="E14" s="564">
        <f>'Preços-CV'!E52</f>
        <v>0</v>
      </c>
      <c r="F14" s="564">
        <f>'Preços-CV'!F52</f>
        <v>0</v>
      </c>
      <c r="G14" s="564">
        <f>'Preços-CV'!G52</f>
        <v>0</v>
      </c>
      <c r="H14" s="564">
        <f>'Preços-CV'!H52</f>
        <v>0</v>
      </c>
      <c r="I14" s="565">
        <f t="shared" si="0"/>
        <v>1</v>
      </c>
      <c r="J14" s="1986">
        <f t="array" ref="J14">SUM($C$6:$H$6*C14:H14)</f>
        <v>0</v>
      </c>
    </row>
    <row r="17" spans="1:10" ht="23.25" thickBot="1">
      <c r="A17" s="334" t="s">
        <v>733</v>
      </c>
    </row>
    <row r="18" spans="1:10" s="35" customFormat="1" ht="27" customHeight="1" thickBot="1">
      <c r="A18" s="174" t="s">
        <v>734</v>
      </c>
      <c r="B18" s="2085" t="s">
        <v>57</v>
      </c>
      <c r="C18" s="2086" t="str">
        <f>CONCATENATE(Parametros!B75,"
 ( ",C6," días )")</f>
        <v>janeiro
 ( 30 días )</v>
      </c>
      <c r="D18" s="2086" t="str">
        <f>CONCATENATE(Parametros!C75,"
 ( ",D6," días )")</f>
        <v>fevereiro
 ( 60 días )</v>
      </c>
      <c r="E18" s="2086" t="str">
        <f>CONCATENATE(Parametros!D75,"
 ( ",E6," días )")</f>
        <v>março
 ( 90 días )</v>
      </c>
      <c r="F18" s="2086" t="str">
        <f>CONCATENATE(Parametros!E75,"
 ( ",F6," días )")</f>
        <v>abril
 ( 120 días )</v>
      </c>
      <c r="G18" s="2086" t="str">
        <f>CONCATENATE(Parametros!F75,"
 ( ",G6," días )")</f>
        <v>maio
 ( 150 días )</v>
      </c>
      <c r="H18" s="2086" t="str">
        <f>CONCATENATE(Parametros!G75,"
 ( ",H6," días )")</f>
        <v>junho
 ( 180 días )</v>
      </c>
      <c r="I18" s="566" t="s">
        <v>612</v>
      </c>
    </row>
    <row r="19" spans="1:10" ht="16.5" thickTop="1" thickBot="1">
      <c r="A19" s="2087" t="s">
        <v>28</v>
      </c>
      <c r="B19" s="2088" t="str">
        <f>IF(SUM(H7:H14)&lt;&gt;0,180,IF(SUM(G7:G14)&lt;&gt;0,150,IF(SUM(F7:F14)&lt;&gt;0,120,IF(SUM(E7:E14)&lt;&gt;0,90,IF(SUM(D7:D14)&lt;&gt;0,60,IF(SUM(C7:C14)&lt;&gt;0,30,"CONTADO"))))))</f>
        <v>CONTADO</v>
      </c>
      <c r="C19" s="2089">
        <f>1-SUM(D19:H19)</f>
        <v>1</v>
      </c>
      <c r="D19" s="2090">
        <f>IF($B19=180,1/6,IF($B19=150,1/5,IF($B19=120,1/4,IF($B19=90,1/3,IF($B19=60,1/2,0)))))</f>
        <v>0</v>
      </c>
      <c r="E19" s="2090">
        <f>IF($B19=180,1/6,IF($B19=150,1/5,IF($B19=120,1/4,IF($B19=90,1/3,0))))</f>
        <v>0</v>
      </c>
      <c r="F19" s="2090">
        <f>IF($B19=180,1/6,IF($B19=150,1/5,IF($B19=120,1/4,0)))</f>
        <v>0</v>
      </c>
      <c r="G19" s="2090">
        <f>IF($B19=180,1/6,IF($B19=150,1/5,0))</f>
        <v>0</v>
      </c>
      <c r="H19" s="2090">
        <f>IF(B19=180,1/6,0)</f>
        <v>0</v>
      </c>
      <c r="I19" s="565">
        <f>SUM(C19:H19)</f>
        <v>1</v>
      </c>
      <c r="J19" s="560" t="str">
        <f>IF(I19&lt;&gt;1,"ERROR EN PORCENTAJES","")</f>
        <v/>
      </c>
    </row>
    <row r="21" spans="1:10" ht="25.5">
      <c r="A21" s="334" t="str">
        <f>CONCATENATE("Política de Cobranças por Vendas para o ",Parametros!$B$78)</f>
        <v>Política de Cobranças por Vendas para o Ano 1:  2027</v>
      </c>
      <c r="B21" s="557"/>
      <c r="C21" s="554"/>
      <c r="D21" s="558"/>
      <c r="E21" s="285"/>
      <c r="F21" s="554"/>
      <c r="G21" s="554"/>
      <c r="H21" s="554"/>
      <c r="I21" s="559"/>
    </row>
    <row r="22" spans="1:10" ht="7.5" customHeight="1" thickBot="1">
      <c r="A22" s="287"/>
      <c r="B22" s="289"/>
      <c r="C22" s="88"/>
      <c r="D22" s="88"/>
      <c r="E22" s="88"/>
      <c r="F22" s="88"/>
      <c r="G22" s="88"/>
      <c r="H22" s="88"/>
      <c r="I22" s="88"/>
    </row>
    <row r="23" spans="1:10" s="35" customFormat="1" ht="19.5" customHeight="1" thickBot="1">
      <c r="A23" s="174" t="str">
        <f t="array" ref="A23:J23">A$6:J$6</f>
        <v>Produtos</v>
      </c>
      <c r="B23" s="566" t="str">
        <v>% contado</v>
      </c>
      <c r="C23" s="2834">
        <v>30</v>
      </c>
      <c r="D23" s="2834">
        <v>60</v>
      </c>
      <c r="E23" s="2834">
        <v>90</v>
      </c>
      <c r="F23" s="2834">
        <v>120</v>
      </c>
      <c r="G23" s="2834">
        <v>150</v>
      </c>
      <c r="H23" s="2834">
        <v>180</v>
      </c>
      <c r="I23" s="566" t="str">
        <v>Totais</v>
      </c>
      <c r="J23" s="566" t="str">
        <v>dias meia</v>
      </c>
    </row>
    <row r="24" spans="1:10">
      <c r="A24" s="1376" t="str">
        <f t="array" ref="A24:A31">productos</f>
        <v>produto 1</v>
      </c>
      <c r="B24" s="555">
        <f>IF(SUM(C24:H24)&gt;1,"ERROR",1-SUM(C24:H24))</f>
        <v>1</v>
      </c>
      <c r="C24" s="556">
        <f t="shared" ref="C24:H31" si="2">C7</f>
        <v>0</v>
      </c>
      <c r="D24" s="556">
        <f t="shared" si="2"/>
        <v>0</v>
      </c>
      <c r="E24" s="556">
        <f t="shared" si="2"/>
        <v>0</v>
      </c>
      <c r="F24" s="556">
        <f t="shared" si="2"/>
        <v>0</v>
      </c>
      <c r="G24" s="556">
        <f t="shared" si="2"/>
        <v>0</v>
      </c>
      <c r="H24" s="556">
        <f t="shared" si="2"/>
        <v>0</v>
      </c>
      <c r="I24" s="562">
        <f t="shared" ref="I24:I31" si="3">SUM(B24:H24)</f>
        <v>1</v>
      </c>
      <c r="J24" s="1986">
        <f t="array" ref="J24">SUM($C$6:$H$6*C24:H24)</f>
        <v>0</v>
      </c>
    </row>
    <row r="25" spans="1:10">
      <c r="A25" s="1377" t="str">
        <v/>
      </c>
      <c r="B25" s="555">
        <f t="shared" ref="B25:B31" si="4">IF(SUM(C25:H25)&gt;1,"ERROR",1-SUM(C25:H25))</f>
        <v>1</v>
      </c>
      <c r="C25" s="556">
        <f t="shared" si="2"/>
        <v>0</v>
      </c>
      <c r="D25" s="556">
        <f t="shared" si="2"/>
        <v>0</v>
      </c>
      <c r="E25" s="556">
        <f t="shared" si="2"/>
        <v>0</v>
      </c>
      <c r="F25" s="556">
        <f t="shared" si="2"/>
        <v>0</v>
      </c>
      <c r="G25" s="556">
        <f t="shared" si="2"/>
        <v>0</v>
      </c>
      <c r="H25" s="556">
        <f t="shared" si="2"/>
        <v>0</v>
      </c>
      <c r="I25" s="562">
        <f t="shared" si="3"/>
        <v>1</v>
      </c>
      <c r="J25" s="1986">
        <f t="array" ref="J25">SUM($C$6:$H$6*C25:H25)</f>
        <v>0</v>
      </c>
    </row>
    <row r="26" spans="1:10">
      <c r="A26" s="1377" t="str">
        <v/>
      </c>
      <c r="B26" s="555">
        <f t="shared" si="4"/>
        <v>1</v>
      </c>
      <c r="C26" s="556">
        <f t="shared" si="2"/>
        <v>0</v>
      </c>
      <c r="D26" s="556">
        <f t="shared" si="2"/>
        <v>0</v>
      </c>
      <c r="E26" s="556">
        <f t="shared" si="2"/>
        <v>0</v>
      </c>
      <c r="F26" s="556">
        <f t="shared" si="2"/>
        <v>0</v>
      </c>
      <c r="G26" s="556">
        <f t="shared" si="2"/>
        <v>0</v>
      </c>
      <c r="H26" s="556">
        <f t="shared" si="2"/>
        <v>0</v>
      </c>
      <c r="I26" s="562">
        <f t="shared" si="3"/>
        <v>1</v>
      </c>
      <c r="J26" s="1986">
        <f t="array" ref="J26">SUM($C$6:$H$6*C26:H26)</f>
        <v>0</v>
      </c>
    </row>
    <row r="27" spans="1:10">
      <c r="A27" s="1377" t="str">
        <v/>
      </c>
      <c r="B27" s="555">
        <f t="shared" si="4"/>
        <v>1</v>
      </c>
      <c r="C27" s="556">
        <f t="shared" si="2"/>
        <v>0</v>
      </c>
      <c r="D27" s="556">
        <f t="shared" si="2"/>
        <v>0</v>
      </c>
      <c r="E27" s="556">
        <f t="shared" si="2"/>
        <v>0</v>
      </c>
      <c r="F27" s="556">
        <f t="shared" si="2"/>
        <v>0</v>
      </c>
      <c r="G27" s="556">
        <f t="shared" si="2"/>
        <v>0</v>
      </c>
      <c r="H27" s="556">
        <f t="shared" si="2"/>
        <v>0</v>
      </c>
      <c r="I27" s="562">
        <f t="shared" si="3"/>
        <v>1</v>
      </c>
      <c r="J27" s="1986">
        <f t="array" ref="J27">SUM($C$6:$H$6*C27:H27)</f>
        <v>0</v>
      </c>
    </row>
    <row r="28" spans="1:10">
      <c r="A28" s="1377" t="str">
        <v/>
      </c>
      <c r="B28" s="555">
        <f t="shared" si="4"/>
        <v>1</v>
      </c>
      <c r="C28" s="556">
        <f t="shared" si="2"/>
        <v>0</v>
      </c>
      <c r="D28" s="556">
        <f t="shared" si="2"/>
        <v>0</v>
      </c>
      <c r="E28" s="556">
        <f t="shared" si="2"/>
        <v>0</v>
      </c>
      <c r="F28" s="556">
        <f t="shared" si="2"/>
        <v>0</v>
      </c>
      <c r="G28" s="556">
        <f t="shared" si="2"/>
        <v>0</v>
      </c>
      <c r="H28" s="556">
        <f t="shared" si="2"/>
        <v>0</v>
      </c>
      <c r="I28" s="562">
        <f t="shared" si="3"/>
        <v>1</v>
      </c>
      <c r="J28" s="1986">
        <f t="array" ref="J28">SUM($C$6:$H$6*C28:H28)</f>
        <v>0</v>
      </c>
    </row>
    <row r="29" spans="1:10">
      <c r="A29" s="1377" t="str">
        <v/>
      </c>
      <c r="B29" s="555">
        <f t="shared" si="4"/>
        <v>1</v>
      </c>
      <c r="C29" s="556">
        <f t="shared" si="2"/>
        <v>0</v>
      </c>
      <c r="D29" s="556">
        <f t="shared" si="2"/>
        <v>0</v>
      </c>
      <c r="E29" s="556">
        <f t="shared" si="2"/>
        <v>0</v>
      </c>
      <c r="F29" s="556">
        <f t="shared" si="2"/>
        <v>0</v>
      </c>
      <c r="G29" s="556">
        <f t="shared" si="2"/>
        <v>0</v>
      </c>
      <c r="H29" s="556">
        <f t="shared" si="2"/>
        <v>0</v>
      </c>
      <c r="I29" s="562">
        <f t="shared" si="3"/>
        <v>1</v>
      </c>
      <c r="J29" s="1986">
        <f t="array" ref="J29">SUM($C$6:$H$6*C29:H29)</f>
        <v>0</v>
      </c>
    </row>
    <row r="30" spans="1:10">
      <c r="A30" s="1377" t="str">
        <v/>
      </c>
      <c r="B30" s="555">
        <f t="shared" si="4"/>
        <v>1</v>
      </c>
      <c r="C30" s="556">
        <f t="shared" si="2"/>
        <v>0</v>
      </c>
      <c r="D30" s="556">
        <f t="shared" si="2"/>
        <v>0</v>
      </c>
      <c r="E30" s="556">
        <f t="shared" si="2"/>
        <v>0</v>
      </c>
      <c r="F30" s="556">
        <f t="shared" si="2"/>
        <v>0</v>
      </c>
      <c r="G30" s="556">
        <f t="shared" si="2"/>
        <v>0</v>
      </c>
      <c r="H30" s="556">
        <f t="shared" si="2"/>
        <v>0</v>
      </c>
      <c r="I30" s="562">
        <f t="shared" si="3"/>
        <v>1</v>
      </c>
      <c r="J30" s="1986">
        <f t="array" ref="J30">SUM($C$6:$H$6*C30:H30)</f>
        <v>0</v>
      </c>
    </row>
    <row r="31" spans="1:10" ht="15.75" thickBot="1">
      <c r="A31" s="1378" t="str">
        <v/>
      </c>
      <c r="B31" s="563">
        <f t="shared" si="4"/>
        <v>1</v>
      </c>
      <c r="C31" s="564">
        <f t="shared" si="2"/>
        <v>0</v>
      </c>
      <c r="D31" s="564">
        <f t="shared" si="2"/>
        <v>0</v>
      </c>
      <c r="E31" s="564">
        <f t="shared" si="2"/>
        <v>0</v>
      </c>
      <c r="F31" s="564">
        <f t="shared" si="2"/>
        <v>0</v>
      </c>
      <c r="G31" s="564">
        <f t="shared" si="2"/>
        <v>0</v>
      </c>
      <c r="H31" s="564">
        <f t="shared" si="2"/>
        <v>0</v>
      </c>
      <c r="I31" s="565">
        <f t="shared" si="3"/>
        <v>1</v>
      </c>
      <c r="J31" s="1986">
        <f t="array" ref="J31">SUM($C$6:$H$6*C31:H31)</f>
        <v>0</v>
      </c>
    </row>
    <row r="36" spans="1:10" ht="25.5">
      <c r="A36" s="334" t="str">
        <f>CONCATENATE("Política de Cobranças por Vendas para o resto de anos ( ",Parametros!F65,", ",Parametros!G65," y ",Parametros!H65," )")</f>
        <v>Política de Cobranças por Vendas para o resto de anos ( 2028, 2029 y 2030 )</v>
      </c>
      <c r="B36" s="557"/>
      <c r="C36" s="554"/>
      <c r="D36" s="558"/>
      <c r="E36" s="285"/>
      <c r="F36" s="554"/>
      <c r="G36" s="554"/>
      <c r="H36" s="554"/>
      <c r="I36" s="559"/>
    </row>
    <row r="37" spans="1:10" ht="6" customHeight="1" thickBot="1">
      <c r="A37" s="287"/>
      <c r="B37" s="289"/>
      <c r="C37" s="88"/>
      <c r="D37" s="88"/>
      <c r="E37" s="88"/>
      <c r="F37" s="88"/>
      <c r="G37" s="88"/>
      <c r="H37" s="88"/>
      <c r="I37" s="88"/>
    </row>
    <row r="38" spans="1:10" s="35" customFormat="1" ht="19.5" customHeight="1" thickBot="1">
      <c r="A38" s="174" t="str">
        <f t="array" ref="A38:J38">A$6:J$6</f>
        <v>Produtos</v>
      </c>
      <c r="B38" s="566" t="str">
        <v>% contado</v>
      </c>
      <c r="C38" s="2834">
        <v>30</v>
      </c>
      <c r="D38" s="2834">
        <v>60</v>
      </c>
      <c r="E38" s="2834">
        <v>90</v>
      </c>
      <c r="F38" s="2834">
        <v>120</v>
      </c>
      <c r="G38" s="2834">
        <v>150</v>
      </c>
      <c r="H38" s="2834">
        <v>180</v>
      </c>
      <c r="I38" s="566" t="str">
        <v>Totais</v>
      </c>
      <c r="J38" s="566" t="str">
        <v>dias meia</v>
      </c>
    </row>
    <row r="39" spans="1:10">
      <c r="A39" s="1376" t="str">
        <f t="array" ref="A39:A46">productos</f>
        <v>produto 1</v>
      </c>
      <c r="B39" s="555">
        <f>IF(SUM(C39:H39)&gt;1,"ERROR",1-SUM(C39:H39))</f>
        <v>1</v>
      </c>
      <c r="C39" s="556">
        <f t="shared" ref="C39:H46" si="5">C24</f>
        <v>0</v>
      </c>
      <c r="D39" s="556">
        <f t="shared" si="5"/>
        <v>0</v>
      </c>
      <c r="E39" s="556">
        <f t="shared" si="5"/>
        <v>0</v>
      </c>
      <c r="F39" s="556">
        <f t="shared" si="5"/>
        <v>0</v>
      </c>
      <c r="G39" s="556">
        <f t="shared" si="5"/>
        <v>0</v>
      </c>
      <c r="H39" s="556">
        <f t="shared" si="5"/>
        <v>0</v>
      </c>
      <c r="I39" s="562">
        <f t="shared" ref="I39:I46" si="6">SUM(B39:H39)</f>
        <v>1</v>
      </c>
      <c r="J39" s="1986">
        <f t="array" ref="J39">SUM($C$6:$H$6*C39:H39)</f>
        <v>0</v>
      </c>
    </row>
    <row r="40" spans="1:10">
      <c r="A40" s="1377" t="str">
        <v/>
      </c>
      <c r="B40" s="555">
        <f t="shared" ref="B40:B46" si="7">IF(SUM(C40:H40)&gt;1,"ERROR",1-SUM(C40:H40))</f>
        <v>1</v>
      </c>
      <c r="C40" s="556">
        <f t="shared" si="5"/>
        <v>0</v>
      </c>
      <c r="D40" s="556">
        <f t="shared" si="5"/>
        <v>0</v>
      </c>
      <c r="E40" s="556">
        <f t="shared" si="5"/>
        <v>0</v>
      </c>
      <c r="F40" s="556">
        <f t="shared" si="5"/>
        <v>0</v>
      </c>
      <c r="G40" s="556">
        <f t="shared" si="5"/>
        <v>0</v>
      </c>
      <c r="H40" s="556">
        <f t="shared" si="5"/>
        <v>0</v>
      </c>
      <c r="I40" s="562">
        <f t="shared" si="6"/>
        <v>1</v>
      </c>
      <c r="J40" s="1986">
        <f t="array" ref="J40">SUM($C$6:$H$6*C40:H40)</f>
        <v>0</v>
      </c>
    </row>
    <row r="41" spans="1:10">
      <c r="A41" s="1377" t="str">
        <v/>
      </c>
      <c r="B41" s="555">
        <f t="shared" si="7"/>
        <v>1</v>
      </c>
      <c r="C41" s="556">
        <f t="shared" si="5"/>
        <v>0</v>
      </c>
      <c r="D41" s="556">
        <f t="shared" si="5"/>
        <v>0</v>
      </c>
      <c r="E41" s="556">
        <f t="shared" si="5"/>
        <v>0</v>
      </c>
      <c r="F41" s="556">
        <f t="shared" si="5"/>
        <v>0</v>
      </c>
      <c r="G41" s="556">
        <f t="shared" si="5"/>
        <v>0</v>
      </c>
      <c r="H41" s="556">
        <f t="shared" si="5"/>
        <v>0</v>
      </c>
      <c r="I41" s="562">
        <f t="shared" si="6"/>
        <v>1</v>
      </c>
      <c r="J41" s="1986">
        <f t="array" ref="J41">SUM($C$6:$H$6*C41:H41)</f>
        <v>0</v>
      </c>
    </row>
    <row r="42" spans="1:10">
      <c r="A42" s="1377" t="str">
        <v/>
      </c>
      <c r="B42" s="555">
        <f t="shared" si="7"/>
        <v>1</v>
      </c>
      <c r="C42" s="556">
        <f t="shared" si="5"/>
        <v>0</v>
      </c>
      <c r="D42" s="556">
        <f t="shared" si="5"/>
        <v>0</v>
      </c>
      <c r="E42" s="556">
        <f t="shared" si="5"/>
        <v>0</v>
      </c>
      <c r="F42" s="556">
        <f t="shared" si="5"/>
        <v>0</v>
      </c>
      <c r="G42" s="556">
        <f t="shared" si="5"/>
        <v>0</v>
      </c>
      <c r="H42" s="556">
        <f t="shared" si="5"/>
        <v>0</v>
      </c>
      <c r="I42" s="562">
        <f t="shared" si="6"/>
        <v>1</v>
      </c>
      <c r="J42" s="1986">
        <f t="array" ref="J42">SUM($C$6:$H$6*C42:H42)</f>
        <v>0</v>
      </c>
    </row>
    <row r="43" spans="1:10">
      <c r="A43" s="1377" t="str">
        <v/>
      </c>
      <c r="B43" s="555">
        <f t="shared" si="7"/>
        <v>1</v>
      </c>
      <c r="C43" s="556">
        <f t="shared" si="5"/>
        <v>0</v>
      </c>
      <c r="D43" s="556">
        <f t="shared" si="5"/>
        <v>0</v>
      </c>
      <c r="E43" s="556">
        <f t="shared" si="5"/>
        <v>0</v>
      </c>
      <c r="F43" s="556">
        <f t="shared" si="5"/>
        <v>0</v>
      </c>
      <c r="G43" s="556">
        <f t="shared" si="5"/>
        <v>0</v>
      </c>
      <c r="H43" s="556">
        <f t="shared" si="5"/>
        <v>0</v>
      </c>
      <c r="I43" s="562">
        <f t="shared" si="6"/>
        <v>1</v>
      </c>
      <c r="J43" s="1986">
        <f t="array" ref="J43">SUM($C$6:$H$6*C43:H43)</f>
        <v>0</v>
      </c>
    </row>
    <row r="44" spans="1:10">
      <c r="A44" s="1377" t="str">
        <v/>
      </c>
      <c r="B44" s="555">
        <f t="shared" si="7"/>
        <v>1</v>
      </c>
      <c r="C44" s="556">
        <f t="shared" si="5"/>
        <v>0</v>
      </c>
      <c r="D44" s="556">
        <f t="shared" si="5"/>
        <v>0</v>
      </c>
      <c r="E44" s="556">
        <f t="shared" si="5"/>
        <v>0</v>
      </c>
      <c r="F44" s="556">
        <f t="shared" si="5"/>
        <v>0</v>
      </c>
      <c r="G44" s="556">
        <f t="shared" si="5"/>
        <v>0</v>
      </c>
      <c r="H44" s="556">
        <f t="shared" si="5"/>
        <v>0</v>
      </c>
      <c r="I44" s="562">
        <f t="shared" si="6"/>
        <v>1</v>
      </c>
      <c r="J44" s="1986">
        <f t="array" ref="J44">SUM($C$6:$H$6*C44:H44)</f>
        <v>0</v>
      </c>
    </row>
    <row r="45" spans="1:10">
      <c r="A45" s="1377" t="str">
        <v/>
      </c>
      <c r="B45" s="555">
        <f t="shared" si="7"/>
        <v>1</v>
      </c>
      <c r="C45" s="556">
        <f t="shared" si="5"/>
        <v>0</v>
      </c>
      <c r="D45" s="556">
        <f t="shared" si="5"/>
        <v>0</v>
      </c>
      <c r="E45" s="556">
        <f t="shared" si="5"/>
        <v>0</v>
      </c>
      <c r="F45" s="556">
        <f t="shared" si="5"/>
        <v>0</v>
      </c>
      <c r="G45" s="556">
        <f t="shared" si="5"/>
        <v>0</v>
      </c>
      <c r="H45" s="556">
        <f t="shared" si="5"/>
        <v>0</v>
      </c>
      <c r="I45" s="562">
        <f t="shared" si="6"/>
        <v>1</v>
      </c>
      <c r="J45" s="1986">
        <f t="array" ref="J45">SUM($C$6:$H$6*C45:H45)</f>
        <v>0</v>
      </c>
    </row>
    <row r="46" spans="1:10" ht="15.75" thickBot="1">
      <c r="A46" s="1378" t="str">
        <v/>
      </c>
      <c r="B46" s="563">
        <f t="shared" si="7"/>
        <v>1</v>
      </c>
      <c r="C46" s="564">
        <f t="shared" si="5"/>
        <v>0</v>
      </c>
      <c r="D46" s="564">
        <f t="shared" si="5"/>
        <v>0</v>
      </c>
      <c r="E46" s="564">
        <f t="shared" si="5"/>
        <v>0</v>
      </c>
      <c r="F46" s="564">
        <f t="shared" si="5"/>
        <v>0</v>
      </c>
      <c r="G46" s="564">
        <f t="shared" si="5"/>
        <v>0</v>
      </c>
      <c r="H46" s="564">
        <f t="shared" si="5"/>
        <v>0</v>
      </c>
      <c r="I46" s="565">
        <f t="shared" si="6"/>
        <v>1</v>
      </c>
      <c r="J46" s="1986">
        <f t="array" ref="J46">SUM($C$6:$H$6*C46:H46)</f>
        <v>0</v>
      </c>
    </row>
    <row r="52" spans="1:10" ht="25.5">
      <c r="A52" s="334" t="str">
        <f>CONCATENATE("Política de Pagamentos por Compras e Custos Variáveis para o ",Parametros!$B$77)</f>
        <v>Política de Pagamentos por Compras e Custos Variáveis para o Ano 0:  2026</v>
      </c>
      <c r="B52" s="557"/>
      <c r="C52" s="554"/>
      <c r="D52" s="558"/>
      <c r="E52" s="285"/>
      <c r="F52" s="554"/>
      <c r="G52" s="554"/>
      <c r="H52" s="554"/>
      <c r="I52" s="559"/>
    </row>
    <row r="53" spans="1:10" ht="10.5" customHeight="1" thickBot="1">
      <c r="A53" s="561"/>
      <c r="B53" s="561"/>
      <c r="C53" s="561"/>
      <c r="D53" s="561"/>
      <c r="E53" s="561"/>
      <c r="F53" s="561"/>
      <c r="G53" s="561"/>
      <c r="H53" s="561"/>
      <c r="I53" s="561"/>
    </row>
    <row r="54" spans="1:10" s="35" customFormat="1" ht="19.5" customHeight="1" thickBot="1">
      <c r="A54" s="174" t="str">
        <f t="array" ref="A54:J54">A$6:J$6</f>
        <v>Produtos</v>
      </c>
      <c r="B54" s="566" t="str">
        <v>% contado</v>
      </c>
      <c r="C54" s="2834">
        <v>30</v>
      </c>
      <c r="D54" s="2834">
        <v>60</v>
      </c>
      <c r="E54" s="2834">
        <v>90</v>
      </c>
      <c r="F54" s="2834">
        <v>120</v>
      </c>
      <c r="G54" s="2834">
        <v>150</v>
      </c>
      <c r="H54" s="2834">
        <v>180</v>
      </c>
      <c r="I54" s="566" t="str">
        <v>Totais</v>
      </c>
      <c r="J54" s="566" t="str">
        <v>dias meia</v>
      </c>
    </row>
    <row r="55" spans="1:10">
      <c r="A55" s="1376" t="str">
        <f t="array" ref="A55:A62">productos</f>
        <v>produto 1</v>
      </c>
      <c r="B55" s="555">
        <f>IF(SUM(C55:H55)&gt;1,"ERROR",1-SUM(C55:H55))</f>
        <v>1</v>
      </c>
      <c r="C55" s="556">
        <f>'Preços-CV'!C57</f>
        <v>0</v>
      </c>
      <c r="D55" s="556">
        <f>'Preços-CV'!D57</f>
        <v>0</v>
      </c>
      <c r="E55" s="556">
        <f>'Preços-CV'!E57</f>
        <v>0</v>
      </c>
      <c r="F55" s="556">
        <f>'Preços-CV'!F57</f>
        <v>0</v>
      </c>
      <c r="G55" s="556">
        <f>'Preços-CV'!G57</f>
        <v>0</v>
      </c>
      <c r="H55" s="556">
        <f>'Preços-CV'!H57</f>
        <v>0</v>
      </c>
      <c r="I55" s="562">
        <f t="shared" ref="I55:I62" si="8">SUM(B55:H55)</f>
        <v>1</v>
      </c>
      <c r="J55" s="1986">
        <f t="array" ref="J55">SUM($C$6:$H$6*C55:H55)</f>
        <v>0</v>
      </c>
    </row>
    <row r="56" spans="1:10">
      <c r="A56" s="1377" t="str">
        <v/>
      </c>
      <c r="B56" s="555">
        <f t="shared" ref="B56:B62" si="9">IF(SUM(C56:H56)&gt;1,"ERROR",1-SUM(C56:H56))</f>
        <v>1</v>
      </c>
      <c r="C56" s="556">
        <f>'Preços-CV'!C58</f>
        <v>0</v>
      </c>
      <c r="D56" s="556">
        <f>'Preços-CV'!D58</f>
        <v>0</v>
      </c>
      <c r="E56" s="556">
        <f>'Preços-CV'!E58</f>
        <v>0</v>
      </c>
      <c r="F56" s="556">
        <f>'Preços-CV'!F58</f>
        <v>0</v>
      </c>
      <c r="G56" s="556">
        <f>'Preços-CV'!G58</f>
        <v>0</v>
      </c>
      <c r="H56" s="556">
        <f>'Preços-CV'!H58</f>
        <v>0</v>
      </c>
      <c r="I56" s="562">
        <f t="shared" si="8"/>
        <v>1</v>
      </c>
      <c r="J56" s="1986">
        <f t="array" ref="J56">SUM($C$6:$H$6*C56:H56)</f>
        <v>0</v>
      </c>
    </row>
    <row r="57" spans="1:10">
      <c r="A57" s="1377" t="str">
        <v/>
      </c>
      <c r="B57" s="555">
        <f t="shared" si="9"/>
        <v>1</v>
      </c>
      <c r="C57" s="556">
        <f>'Preços-CV'!C59</f>
        <v>0</v>
      </c>
      <c r="D57" s="556">
        <f>'Preços-CV'!D59</f>
        <v>0</v>
      </c>
      <c r="E57" s="556">
        <f>'Preços-CV'!E59</f>
        <v>0</v>
      </c>
      <c r="F57" s="556">
        <f>'Preços-CV'!F59</f>
        <v>0</v>
      </c>
      <c r="G57" s="556">
        <f>'Preços-CV'!G59</f>
        <v>0</v>
      </c>
      <c r="H57" s="556">
        <f>'Preços-CV'!H59</f>
        <v>0</v>
      </c>
      <c r="I57" s="562">
        <f t="shared" si="8"/>
        <v>1</v>
      </c>
      <c r="J57" s="1986">
        <f t="array" ref="J57">SUM($C$6:$H$6*C57:H57)</f>
        <v>0</v>
      </c>
    </row>
    <row r="58" spans="1:10">
      <c r="A58" s="1377" t="str">
        <v/>
      </c>
      <c r="B58" s="555">
        <f t="shared" si="9"/>
        <v>1</v>
      </c>
      <c r="C58" s="556">
        <f>'Preços-CV'!C60</f>
        <v>0</v>
      </c>
      <c r="D58" s="556">
        <f>'Preços-CV'!D60</f>
        <v>0</v>
      </c>
      <c r="E58" s="556">
        <f>'Preços-CV'!E60</f>
        <v>0</v>
      </c>
      <c r="F58" s="556">
        <f>'Preços-CV'!F60</f>
        <v>0</v>
      </c>
      <c r="G58" s="556">
        <f>'Preços-CV'!G60</f>
        <v>0</v>
      </c>
      <c r="H58" s="556">
        <f>'Preços-CV'!H60</f>
        <v>0</v>
      </c>
      <c r="I58" s="562">
        <f t="shared" si="8"/>
        <v>1</v>
      </c>
      <c r="J58" s="1986">
        <f t="array" ref="J58">SUM($C$6:$H$6*C58:H58)</f>
        <v>0</v>
      </c>
    </row>
    <row r="59" spans="1:10">
      <c r="A59" s="1377" t="str">
        <v/>
      </c>
      <c r="B59" s="555">
        <f t="shared" si="9"/>
        <v>1</v>
      </c>
      <c r="C59" s="556">
        <f>'Preços-CV'!C61</f>
        <v>0</v>
      </c>
      <c r="D59" s="556">
        <f>'Preços-CV'!D61</f>
        <v>0</v>
      </c>
      <c r="E59" s="556">
        <f>'Preços-CV'!E61</f>
        <v>0</v>
      </c>
      <c r="F59" s="556">
        <f>'Preços-CV'!F61</f>
        <v>0</v>
      </c>
      <c r="G59" s="556">
        <f>'Preços-CV'!G61</f>
        <v>0</v>
      </c>
      <c r="H59" s="556">
        <f>'Preços-CV'!H61</f>
        <v>0</v>
      </c>
      <c r="I59" s="562">
        <f t="shared" si="8"/>
        <v>1</v>
      </c>
      <c r="J59" s="1986">
        <f t="array" ref="J59">SUM($C$6:$H$6*C59:H59)</f>
        <v>0</v>
      </c>
    </row>
    <row r="60" spans="1:10">
      <c r="A60" s="1377" t="str">
        <v/>
      </c>
      <c r="B60" s="555">
        <f t="shared" si="9"/>
        <v>1</v>
      </c>
      <c r="C60" s="556">
        <f>'Preços-CV'!C62</f>
        <v>0</v>
      </c>
      <c r="D60" s="556">
        <f>'Preços-CV'!D62</f>
        <v>0</v>
      </c>
      <c r="E60" s="556">
        <f>'Preços-CV'!E62</f>
        <v>0</v>
      </c>
      <c r="F60" s="556">
        <f>'Preços-CV'!F62</f>
        <v>0</v>
      </c>
      <c r="G60" s="556">
        <f>'Preços-CV'!G62</f>
        <v>0</v>
      </c>
      <c r="H60" s="556">
        <f>'Preços-CV'!H62</f>
        <v>0</v>
      </c>
      <c r="I60" s="562">
        <f t="shared" si="8"/>
        <v>1</v>
      </c>
      <c r="J60" s="1986">
        <f t="array" ref="J60">SUM($C$6:$H$6*C60:H60)</f>
        <v>0</v>
      </c>
    </row>
    <row r="61" spans="1:10">
      <c r="A61" s="1377" t="str">
        <v/>
      </c>
      <c r="B61" s="555">
        <f t="shared" si="9"/>
        <v>1</v>
      </c>
      <c r="C61" s="556">
        <f>'Preços-CV'!C63</f>
        <v>0</v>
      </c>
      <c r="D61" s="556">
        <f>'Preços-CV'!D63</f>
        <v>0</v>
      </c>
      <c r="E61" s="556">
        <f>'Preços-CV'!E63</f>
        <v>0</v>
      </c>
      <c r="F61" s="556">
        <f>'Preços-CV'!F63</f>
        <v>0</v>
      </c>
      <c r="G61" s="556">
        <f>'Preços-CV'!G63</f>
        <v>0</v>
      </c>
      <c r="H61" s="556">
        <f>'Preços-CV'!H63</f>
        <v>0</v>
      </c>
      <c r="I61" s="562">
        <f t="shared" si="8"/>
        <v>1</v>
      </c>
      <c r="J61" s="1986">
        <f t="array" ref="J61">SUM($C$6:$H$6*C61:H61)</f>
        <v>0</v>
      </c>
    </row>
    <row r="62" spans="1:10" ht="15.75" thickBot="1">
      <c r="A62" s="1378" t="str">
        <v/>
      </c>
      <c r="B62" s="563">
        <f t="shared" si="9"/>
        <v>1</v>
      </c>
      <c r="C62" s="564">
        <f>'Preços-CV'!C64</f>
        <v>0</v>
      </c>
      <c r="D62" s="564">
        <f>'Preços-CV'!D64</f>
        <v>0</v>
      </c>
      <c r="E62" s="564">
        <f>'Preços-CV'!E64</f>
        <v>0</v>
      </c>
      <c r="F62" s="564">
        <f>'Preços-CV'!F64</f>
        <v>0</v>
      </c>
      <c r="G62" s="564">
        <f>'Preços-CV'!G64</f>
        <v>0</v>
      </c>
      <c r="H62" s="564">
        <f>'Preços-CV'!H64</f>
        <v>0</v>
      </c>
      <c r="I62" s="565">
        <f t="shared" si="8"/>
        <v>1</v>
      </c>
      <c r="J62" s="1986">
        <f t="array" ref="J62">SUM($C$6:$H$6*C62:H62)</f>
        <v>0</v>
      </c>
    </row>
    <row r="65" spans="1:10" ht="23.25" thickBot="1">
      <c r="A65" s="334" t="s">
        <v>731</v>
      </c>
    </row>
    <row r="66" spans="1:10" s="35" customFormat="1" ht="27" customHeight="1" thickBot="1">
      <c r="A66" s="174" t="s">
        <v>732</v>
      </c>
      <c r="B66" s="2085" t="s">
        <v>58</v>
      </c>
      <c r="C66" s="2086" t="str">
        <f t="array" ref="C66:I66">C18:I18</f>
        <v>janeiro
 ( 30 días )</v>
      </c>
      <c r="D66" s="2086" t="str">
        <v>fevereiro
 ( 60 días )</v>
      </c>
      <c r="E66" s="2086" t="str">
        <v>março
 ( 90 días )</v>
      </c>
      <c r="F66" s="2086" t="str">
        <v>abril
 ( 120 días )</v>
      </c>
      <c r="G66" s="2086" t="str">
        <v>maio
 ( 150 días )</v>
      </c>
      <c r="H66" s="2086" t="str">
        <v>junho
 ( 180 días )</v>
      </c>
      <c r="I66" s="566" t="str">
        <v>Totais</v>
      </c>
    </row>
    <row r="67" spans="1:10" ht="16.5" thickTop="1" thickBot="1">
      <c r="A67" s="2091" t="s">
        <v>29</v>
      </c>
      <c r="B67" s="2088" t="str">
        <f>IF(SUM(H55:H62)&lt;&gt;0,180,IF(SUM(G55:G62)&lt;&gt;0,150,IF(SUM(F55:F62)&lt;&gt;0,120,IF(SUM(E55:E62)&lt;&gt;0,90,IF(SUM(D55:D62)&lt;&gt;0,60,IF(SUM(C55:C62)&lt;&gt;0,30,"CONTADO"))))))</f>
        <v>CONTADO</v>
      </c>
      <c r="C67" s="2089">
        <f>1-SUM(D67:H67)</f>
        <v>1</v>
      </c>
      <c r="D67" s="2090">
        <f>IF($B67=180,1/6,IF($B67=150,1/5,IF($B67=120,1/4,IF($B67=90,1/3,IF($B67=60,1/2,0)))))</f>
        <v>0</v>
      </c>
      <c r="E67" s="2090">
        <f>IF($B67=180,1/6,IF($B67=150,1/5,IF($B67=120,1/4,IF($B67=90,1/3,0))))</f>
        <v>0</v>
      </c>
      <c r="F67" s="2090">
        <f>IF($B67=180,1/6,IF($B67=150,1/5,IF($B67=120,1/4,0)))</f>
        <v>0</v>
      </c>
      <c r="G67" s="2090">
        <f>IF($B67=180,1/6,IF($B67=150,1/5,0))</f>
        <v>0</v>
      </c>
      <c r="H67" s="2090">
        <f>IF(B67=180,1/6,0)</f>
        <v>0</v>
      </c>
      <c r="I67" s="565">
        <f>SUM(C67:H67)</f>
        <v>1</v>
      </c>
      <c r="J67" s="560" t="str">
        <f>IF(I67&lt;&gt;1,"ERROR EN PORCENTAJES","")</f>
        <v/>
      </c>
    </row>
    <row r="70" spans="1:10" ht="25.5">
      <c r="A70" s="334" t="str">
        <f>CONCATENATE("Política de Pagamentos por Compras e Custos Variáveis para o ",Parametros!$B$78)</f>
        <v>Política de Pagamentos por Compras e Custos Variáveis para o Ano 1:  2027</v>
      </c>
      <c r="B70" s="557"/>
      <c r="C70" s="554"/>
      <c r="D70" s="558"/>
      <c r="E70" s="285"/>
      <c r="F70" s="554"/>
      <c r="G70" s="554"/>
      <c r="H70" s="554"/>
      <c r="I70" s="559"/>
    </row>
    <row r="71" spans="1:10" ht="6" customHeight="1" thickBot="1">
      <c r="A71" s="561"/>
      <c r="B71" s="561"/>
      <c r="C71" s="561"/>
      <c r="D71" s="561"/>
      <c r="E71" s="561"/>
      <c r="F71" s="561"/>
      <c r="G71" s="561"/>
      <c r="H71" s="561"/>
      <c r="I71" s="561"/>
    </row>
    <row r="72" spans="1:10" s="35" customFormat="1" ht="19.5" customHeight="1" thickBot="1">
      <c r="A72" s="174" t="str">
        <f t="array" ref="A72:J72">A$6:J$6</f>
        <v>Produtos</v>
      </c>
      <c r="B72" s="566" t="str">
        <v>% contado</v>
      </c>
      <c r="C72" s="2834">
        <v>30</v>
      </c>
      <c r="D72" s="2834">
        <v>60</v>
      </c>
      <c r="E72" s="2834">
        <v>90</v>
      </c>
      <c r="F72" s="2834">
        <v>120</v>
      </c>
      <c r="G72" s="2834">
        <v>150</v>
      </c>
      <c r="H72" s="2834">
        <v>180</v>
      </c>
      <c r="I72" s="566" t="str">
        <v>Totais</v>
      </c>
      <c r="J72" s="566" t="str">
        <v>dias meia</v>
      </c>
    </row>
    <row r="73" spans="1:10">
      <c r="A73" s="1376" t="str">
        <f t="array" ref="A73:A80">productos</f>
        <v>produto 1</v>
      </c>
      <c r="B73" s="555">
        <f>IF(SUM(C73:H73)&gt;1,"ERROR",1-SUM(C73:H73))</f>
        <v>1</v>
      </c>
      <c r="C73" s="556">
        <f t="shared" ref="C73:H80" si="10">C55</f>
        <v>0</v>
      </c>
      <c r="D73" s="556">
        <f t="shared" si="10"/>
        <v>0</v>
      </c>
      <c r="E73" s="556">
        <f t="shared" si="10"/>
        <v>0</v>
      </c>
      <c r="F73" s="556">
        <f t="shared" si="10"/>
        <v>0</v>
      </c>
      <c r="G73" s="556">
        <f t="shared" si="10"/>
        <v>0</v>
      </c>
      <c r="H73" s="556">
        <f t="shared" si="10"/>
        <v>0</v>
      </c>
      <c r="I73" s="562">
        <f t="shared" ref="I73:I80" si="11">SUM(B73:H73)</f>
        <v>1</v>
      </c>
      <c r="J73" s="1986">
        <f t="array" ref="J73">SUM($C$6:$H$6*C73:H73)</f>
        <v>0</v>
      </c>
    </row>
    <row r="74" spans="1:10">
      <c r="A74" s="1377" t="str">
        <v/>
      </c>
      <c r="B74" s="555">
        <f t="shared" ref="B74:B80" si="12">IF(SUM(C74:H74)&gt;1,"ERROR",1-SUM(C74:H74))</f>
        <v>1</v>
      </c>
      <c r="C74" s="556">
        <f t="shared" si="10"/>
        <v>0</v>
      </c>
      <c r="D74" s="556">
        <f t="shared" si="10"/>
        <v>0</v>
      </c>
      <c r="E74" s="556">
        <f t="shared" si="10"/>
        <v>0</v>
      </c>
      <c r="F74" s="556">
        <f t="shared" si="10"/>
        <v>0</v>
      </c>
      <c r="G74" s="556">
        <f t="shared" si="10"/>
        <v>0</v>
      </c>
      <c r="H74" s="556">
        <f t="shared" si="10"/>
        <v>0</v>
      </c>
      <c r="I74" s="562">
        <f t="shared" si="11"/>
        <v>1</v>
      </c>
      <c r="J74" s="1986">
        <f t="array" ref="J74">SUM($C$6:$H$6*C74:H74)</f>
        <v>0</v>
      </c>
    </row>
    <row r="75" spans="1:10">
      <c r="A75" s="1377" t="str">
        <v/>
      </c>
      <c r="B75" s="555">
        <f t="shared" si="12"/>
        <v>1</v>
      </c>
      <c r="C75" s="556">
        <f t="shared" si="10"/>
        <v>0</v>
      </c>
      <c r="D75" s="556">
        <f t="shared" si="10"/>
        <v>0</v>
      </c>
      <c r="E75" s="556">
        <f t="shared" si="10"/>
        <v>0</v>
      </c>
      <c r="F75" s="556">
        <f t="shared" si="10"/>
        <v>0</v>
      </c>
      <c r="G75" s="556">
        <f t="shared" si="10"/>
        <v>0</v>
      </c>
      <c r="H75" s="556">
        <f t="shared" si="10"/>
        <v>0</v>
      </c>
      <c r="I75" s="562">
        <f t="shared" si="11"/>
        <v>1</v>
      </c>
      <c r="J75" s="1986">
        <f t="array" ref="J75">SUM($C$6:$H$6*C75:H75)</f>
        <v>0</v>
      </c>
    </row>
    <row r="76" spans="1:10">
      <c r="A76" s="1377" t="str">
        <v/>
      </c>
      <c r="B76" s="555">
        <f t="shared" si="12"/>
        <v>1</v>
      </c>
      <c r="C76" s="556">
        <f t="shared" si="10"/>
        <v>0</v>
      </c>
      <c r="D76" s="556">
        <f t="shared" si="10"/>
        <v>0</v>
      </c>
      <c r="E76" s="556">
        <f t="shared" si="10"/>
        <v>0</v>
      </c>
      <c r="F76" s="556">
        <f t="shared" si="10"/>
        <v>0</v>
      </c>
      <c r="G76" s="556">
        <f t="shared" si="10"/>
        <v>0</v>
      </c>
      <c r="H76" s="556">
        <f t="shared" si="10"/>
        <v>0</v>
      </c>
      <c r="I76" s="562">
        <f t="shared" si="11"/>
        <v>1</v>
      </c>
      <c r="J76" s="1986">
        <f t="array" ref="J76">SUM($C$6:$H$6*C76:H76)</f>
        <v>0</v>
      </c>
    </row>
    <row r="77" spans="1:10">
      <c r="A77" s="1377" t="str">
        <v/>
      </c>
      <c r="B77" s="555">
        <f t="shared" si="12"/>
        <v>1</v>
      </c>
      <c r="C77" s="556">
        <f t="shared" si="10"/>
        <v>0</v>
      </c>
      <c r="D77" s="556">
        <f t="shared" si="10"/>
        <v>0</v>
      </c>
      <c r="E77" s="556">
        <f t="shared" si="10"/>
        <v>0</v>
      </c>
      <c r="F77" s="556">
        <f t="shared" si="10"/>
        <v>0</v>
      </c>
      <c r="G77" s="556">
        <f t="shared" si="10"/>
        <v>0</v>
      </c>
      <c r="H77" s="556">
        <f t="shared" si="10"/>
        <v>0</v>
      </c>
      <c r="I77" s="562">
        <f t="shared" si="11"/>
        <v>1</v>
      </c>
      <c r="J77" s="1986">
        <f t="array" ref="J77">SUM($C$6:$H$6*C77:H77)</f>
        <v>0</v>
      </c>
    </row>
    <row r="78" spans="1:10">
      <c r="A78" s="1377" t="str">
        <v/>
      </c>
      <c r="B78" s="555">
        <f t="shared" si="12"/>
        <v>1</v>
      </c>
      <c r="C78" s="556">
        <f t="shared" si="10"/>
        <v>0</v>
      </c>
      <c r="D78" s="556">
        <f t="shared" si="10"/>
        <v>0</v>
      </c>
      <c r="E78" s="556">
        <f t="shared" si="10"/>
        <v>0</v>
      </c>
      <c r="F78" s="556">
        <f t="shared" si="10"/>
        <v>0</v>
      </c>
      <c r="G78" s="556">
        <f t="shared" si="10"/>
        <v>0</v>
      </c>
      <c r="H78" s="556">
        <f t="shared" si="10"/>
        <v>0</v>
      </c>
      <c r="I78" s="562">
        <f t="shared" si="11"/>
        <v>1</v>
      </c>
      <c r="J78" s="1986">
        <f t="array" ref="J78">SUM($C$6:$H$6*C78:H78)</f>
        <v>0</v>
      </c>
    </row>
    <row r="79" spans="1:10">
      <c r="A79" s="1377" t="str">
        <v/>
      </c>
      <c r="B79" s="555">
        <f t="shared" si="12"/>
        <v>1</v>
      </c>
      <c r="C79" s="556">
        <f t="shared" si="10"/>
        <v>0</v>
      </c>
      <c r="D79" s="556">
        <f t="shared" si="10"/>
        <v>0</v>
      </c>
      <c r="E79" s="556">
        <f t="shared" si="10"/>
        <v>0</v>
      </c>
      <c r="F79" s="556">
        <f t="shared" si="10"/>
        <v>0</v>
      </c>
      <c r="G79" s="556">
        <f t="shared" si="10"/>
        <v>0</v>
      </c>
      <c r="H79" s="556">
        <f t="shared" si="10"/>
        <v>0</v>
      </c>
      <c r="I79" s="562">
        <f t="shared" si="11"/>
        <v>1</v>
      </c>
      <c r="J79" s="1986">
        <f t="array" ref="J79">SUM($C$6:$H$6*C79:H79)</f>
        <v>0</v>
      </c>
    </row>
    <row r="80" spans="1:10" ht="15.75" thickBot="1">
      <c r="A80" s="1378" t="str">
        <v/>
      </c>
      <c r="B80" s="563">
        <f t="shared" si="12"/>
        <v>1</v>
      </c>
      <c r="C80" s="564">
        <f t="shared" si="10"/>
        <v>0</v>
      </c>
      <c r="D80" s="564">
        <f t="shared" si="10"/>
        <v>0</v>
      </c>
      <c r="E80" s="564">
        <f t="shared" si="10"/>
        <v>0</v>
      </c>
      <c r="F80" s="564">
        <f t="shared" si="10"/>
        <v>0</v>
      </c>
      <c r="G80" s="564">
        <f t="shared" si="10"/>
        <v>0</v>
      </c>
      <c r="H80" s="564">
        <f t="shared" si="10"/>
        <v>0</v>
      </c>
      <c r="I80" s="565">
        <f t="shared" si="11"/>
        <v>1</v>
      </c>
      <c r="J80" s="1986">
        <f t="array" ref="J80">SUM($C$6:$H$6*C80:H80)</f>
        <v>0</v>
      </c>
    </row>
    <row r="83" spans="1:10">
      <c r="A83" s="1564"/>
    </row>
    <row r="85" spans="1:10" ht="25.5">
      <c r="A85" s="334" t="str">
        <f>CONCATENATE("Política de Pagamentos por Compras e Custos Variáveis para os anos (",Parametros!F65,", ",Parametros!G65," y ",Parametros!H65,")")</f>
        <v>Política de Pagamentos por Compras e Custos Variáveis para os anos (2028, 2029 y 2030)</v>
      </c>
      <c r="B85" s="557"/>
      <c r="C85" s="554"/>
      <c r="D85" s="558"/>
      <c r="E85" s="285"/>
      <c r="F85" s="554"/>
      <c r="G85" s="554"/>
      <c r="H85" s="554"/>
      <c r="I85" s="559"/>
    </row>
    <row r="86" spans="1:10" ht="15.75" thickBot="1">
      <c r="A86" s="561"/>
      <c r="B86" s="561"/>
      <c r="C86" s="561"/>
      <c r="D86" s="561"/>
      <c r="E86" s="561"/>
      <c r="F86" s="561"/>
      <c r="G86" s="561"/>
      <c r="H86" s="561"/>
      <c r="I86" s="561"/>
    </row>
    <row r="87" spans="1:10" s="35" customFormat="1" ht="19.5" customHeight="1" thickBot="1">
      <c r="A87" s="174" t="str">
        <f t="array" ref="A87:J87">A$6:J$6</f>
        <v>Produtos</v>
      </c>
      <c r="B87" s="566" t="str">
        <v>% contado</v>
      </c>
      <c r="C87" s="2834">
        <v>30</v>
      </c>
      <c r="D87" s="2834">
        <v>60</v>
      </c>
      <c r="E87" s="2834">
        <v>90</v>
      </c>
      <c r="F87" s="2834">
        <v>120</v>
      </c>
      <c r="G87" s="2834">
        <v>150</v>
      </c>
      <c r="H87" s="2834">
        <v>180</v>
      </c>
      <c r="I87" s="566" t="str">
        <v>Totais</v>
      </c>
      <c r="J87" s="566" t="str">
        <v>dias meia</v>
      </c>
    </row>
    <row r="88" spans="1:10">
      <c r="A88" s="1376" t="str">
        <f t="array" ref="A88:A95">productos</f>
        <v>produto 1</v>
      </c>
      <c r="B88" s="555">
        <f>IF(SUM(C88:H88)&gt;1,"ERROR",1-SUM(C88:H88))</f>
        <v>1</v>
      </c>
      <c r="C88" s="556">
        <f t="shared" ref="C88:H95" si="13">C73</f>
        <v>0</v>
      </c>
      <c r="D88" s="556">
        <f t="shared" si="13"/>
        <v>0</v>
      </c>
      <c r="E88" s="556">
        <f t="shared" si="13"/>
        <v>0</v>
      </c>
      <c r="F88" s="556">
        <f t="shared" si="13"/>
        <v>0</v>
      </c>
      <c r="G88" s="556">
        <f t="shared" si="13"/>
        <v>0</v>
      </c>
      <c r="H88" s="556">
        <f t="shared" si="13"/>
        <v>0</v>
      </c>
      <c r="I88" s="562">
        <f t="shared" ref="I88:I95" si="14">SUM(B88:H88)</f>
        <v>1</v>
      </c>
      <c r="J88" s="1986">
        <f t="array" ref="J88">SUM($C$6:$H$6*C88:H88)</f>
        <v>0</v>
      </c>
    </row>
    <row r="89" spans="1:10">
      <c r="A89" s="1377" t="str">
        <v/>
      </c>
      <c r="B89" s="555">
        <f t="shared" ref="B89:B95" si="15">IF(SUM(C89:H89)&gt;1,"ERROR",1-SUM(C89:H89))</f>
        <v>1</v>
      </c>
      <c r="C89" s="556">
        <f t="shared" si="13"/>
        <v>0</v>
      </c>
      <c r="D89" s="556">
        <f t="shared" si="13"/>
        <v>0</v>
      </c>
      <c r="E89" s="556">
        <f t="shared" si="13"/>
        <v>0</v>
      </c>
      <c r="F89" s="556">
        <f t="shared" si="13"/>
        <v>0</v>
      </c>
      <c r="G89" s="556">
        <f t="shared" si="13"/>
        <v>0</v>
      </c>
      <c r="H89" s="556">
        <f t="shared" si="13"/>
        <v>0</v>
      </c>
      <c r="I89" s="562">
        <f t="shared" si="14"/>
        <v>1</v>
      </c>
      <c r="J89" s="1986">
        <f t="array" ref="J89">SUM($C$6:$H$6*C89:H89)</f>
        <v>0</v>
      </c>
    </row>
    <row r="90" spans="1:10">
      <c r="A90" s="1377" t="str">
        <v/>
      </c>
      <c r="B90" s="555">
        <f t="shared" si="15"/>
        <v>1</v>
      </c>
      <c r="C90" s="556">
        <f t="shared" si="13"/>
        <v>0</v>
      </c>
      <c r="D90" s="556">
        <f t="shared" si="13"/>
        <v>0</v>
      </c>
      <c r="E90" s="556">
        <f t="shared" si="13"/>
        <v>0</v>
      </c>
      <c r="F90" s="556">
        <f t="shared" si="13"/>
        <v>0</v>
      </c>
      <c r="G90" s="556">
        <f t="shared" si="13"/>
        <v>0</v>
      </c>
      <c r="H90" s="556">
        <f t="shared" si="13"/>
        <v>0</v>
      </c>
      <c r="I90" s="562">
        <f t="shared" si="14"/>
        <v>1</v>
      </c>
      <c r="J90" s="1986">
        <f t="array" ref="J90">SUM($C$6:$H$6*C90:H90)</f>
        <v>0</v>
      </c>
    </row>
    <row r="91" spans="1:10">
      <c r="A91" s="1377" t="str">
        <v/>
      </c>
      <c r="B91" s="555">
        <f t="shared" si="15"/>
        <v>1</v>
      </c>
      <c r="C91" s="556">
        <f t="shared" si="13"/>
        <v>0</v>
      </c>
      <c r="D91" s="556">
        <f t="shared" si="13"/>
        <v>0</v>
      </c>
      <c r="E91" s="556">
        <f t="shared" si="13"/>
        <v>0</v>
      </c>
      <c r="F91" s="556">
        <f t="shared" si="13"/>
        <v>0</v>
      </c>
      <c r="G91" s="556">
        <f t="shared" si="13"/>
        <v>0</v>
      </c>
      <c r="H91" s="556">
        <f t="shared" si="13"/>
        <v>0</v>
      </c>
      <c r="I91" s="562">
        <f t="shared" si="14"/>
        <v>1</v>
      </c>
      <c r="J91" s="1986">
        <f t="array" ref="J91">SUM($C$6:$H$6*C91:H91)</f>
        <v>0</v>
      </c>
    </row>
    <row r="92" spans="1:10">
      <c r="A92" s="1377" t="str">
        <v/>
      </c>
      <c r="B92" s="555">
        <f t="shared" si="15"/>
        <v>1</v>
      </c>
      <c r="C92" s="556">
        <f t="shared" si="13"/>
        <v>0</v>
      </c>
      <c r="D92" s="556">
        <f t="shared" si="13"/>
        <v>0</v>
      </c>
      <c r="E92" s="556">
        <f t="shared" si="13"/>
        <v>0</v>
      </c>
      <c r="F92" s="556">
        <f t="shared" si="13"/>
        <v>0</v>
      </c>
      <c r="G92" s="556">
        <f t="shared" si="13"/>
        <v>0</v>
      </c>
      <c r="H92" s="556">
        <f t="shared" si="13"/>
        <v>0</v>
      </c>
      <c r="I92" s="562">
        <f t="shared" si="14"/>
        <v>1</v>
      </c>
      <c r="J92" s="1986">
        <f t="array" ref="J92">SUM($C$6:$H$6*C92:H92)</f>
        <v>0</v>
      </c>
    </row>
    <row r="93" spans="1:10">
      <c r="A93" s="1377" t="str">
        <v/>
      </c>
      <c r="B93" s="555">
        <f t="shared" si="15"/>
        <v>1</v>
      </c>
      <c r="C93" s="556">
        <f t="shared" si="13"/>
        <v>0</v>
      </c>
      <c r="D93" s="556">
        <f t="shared" si="13"/>
        <v>0</v>
      </c>
      <c r="E93" s="556">
        <f t="shared" si="13"/>
        <v>0</v>
      </c>
      <c r="F93" s="556">
        <f t="shared" si="13"/>
        <v>0</v>
      </c>
      <c r="G93" s="556">
        <f t="shared" si="13"/>
        <v>0</v>
      </c>
      <c r="H93" s="556">
        <f t="shared" si="13"/>
        <v>0</v>
      </c>
      <c r="I93" s="562">
        <f t="shared" si="14"/>
        <v>1</v>
      </c>
      <c r="J93" s="1986">
        <f t="array" ref="J93">SUM($C$6:$H$6*C93:H93)</f>
        <v>0</v>
      </c>
    </row>
    <row r="94" spans="1:10">
      <c r="A94" s="1377" t="str">
        <v/>
      </c>
      <c r="B94" s="555">
        <f t="shared" si="15"/>
        <v>1</v>
      </c>
      <c r="C94" s="556">
        <f t="shared" si="13"/>
        <v>0</v>
      </c>
      <c r="D94" s="556">
        <f t="shared" si="13"/>
        <v>0</v>
      </c>
      <c r="E94" s="556">
        <f t="shared" si="13"/>
        <v>0</v>
      </c>
      <c r="F94" s="556">
        <f t="shared" si="13"/>
        <v>0</v>
      </c>
      <c r="G94" s="556">
        <f t="shared" si="13"/>
        <v>0</v>
      </c>
      <c r="H94" s="556">
        <f t="shared" si="13"/>
        <v>0</v>
      </c>
      <c r="I94" s="562">
        <f t="shared" si="14"/>
        <v>1</v>
      </c>
      <c r="J94" s="1986">
        <f t="array" ref="J94">SUM($C$6:$H$6*C94:H94)</f>
        <v>0</v>
      </c>
    </row>
    <row r="95" spans="1:10" ht="15.75" thickBot="1">
      <c r="A95" s="1378" t="str">
        <v/>
      </c>
      <c r="B95" s="563">
        <f t="shared" si="15"/>
        <v>1</v>
      </c>
      <c r="C95" s="564">
        <f t="shared" si="13"/>
        <v>0</v>
      </c>
      <c r="D95" s="564">
        <f t="shared" si="13"/>
        <v>0</v>
      </c>
      <c r="E95" s="564">
        <f t="shared" si="13"/>
        <v>0</v>
      </c>
      <c r="F95" s="564">
        <f t="shared" si="13"/>
        <v>0</v>
      </c>
      <c r="G95" s="564">
        <f t="shared" si="13"/>
        <v>0</v>
      </c>
      <c r="H95" s="564">
        <f t="shared" si="13"/>
        <v>0</v>
      </c>
      <c r="I95" s="565">
        <f t="shared" si="14"/>
        <v>1</v>
      </c>
      <c r="J95" s="1986">
        <f t="array" ref="J95">SUM($C$6:$H$6*C95:H95)</f>
        <v>0</v>
      </c>
    </row>
  </sheetData>
  <sheetProtection sheet="1" objects="1" scenarios="1"/>
  <phoneticPr fontId="4" type="noConversion"/>
  <dataValidations disablePrompts="1" count="1">
    <dataValidation type="decimal" allowBlank="1" showInputMessage="1" showErrorMessage="1" sqref="C67:H67 C55:H62 C73:H80 C88:H95 C39:H46 C24:H31 C7:H14 C19:H19" xr:uid="{00000000-0002-0000-1300-000000000000}">
      <formula1>0</formula1>
      <formula2>1</formula2>
    </dataValidation>
  </dataValidations>
  <printOptions horizontalCentered="1"/>
  <pageMargins left="0.51181102362204722" right="0.31496062992125984" top="0.86614173228346458" bottom="2.0078740157480315" header="0" footer="0"/>
  <pageSetup paperSize="9" scale="73" fitToHeight="2" orientation="portrait" horizontalDpi="300" r:id="rId1"/>
  <headerFooter alignWithMargins="0"/>
  <rowBreaks count="1" manualBreakCount="1">
    <brk id="49" max="9"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21">
    <tabColor indexed="50"/>
    <pageSetUpPr fitToPage="1"/>
  </sheetPr>
  <dimension ref="A1:Q79"/>
  <sheetViews>
    <sheetView workbookViewId="0"/>
  </sheetViews>
  <sheetFormatPr baseColWidth="10" defaultColWidth="11" defaultRowHeight="12.75"/>
  <cols>
    <col min="1" max="1" width="23.75" style="239" customWidth="1"/>
    <col min="2" max="2" width="13" style="62" customWidth="1"/>
    <col min="3" max="3" width="9.25" style="62" bestFit="1" customWidth="1"/>
    <col min="4" max="4" width="11" style="62"/>
    <col min="5" max="5" width="10.375" style="62" customWidth="1"/>
    <col min="6" max="6" width="10.125" style="62" bestFit="1" customWidth="1"/>
    <col min="7" max="7" width="10.125" style="62" customWidth="1"/>
    <col min="8" max="8" width="9.25" style="62" customWidth="1"/>
    <col min="9" max="9" width="10.625" style="62" customWidth="1"/>
    <col min="10" max="10" width="11.75" style="62" customWidth="1"/>
    <col min="11" max="11" width="10" style="62" customWidth="1"/>
    <col min="12" max="13" width="10.5" style="62" customWidth="1"/>
    <col min="14" max="14" width="10.5" style="239" customWidth="1"/>
    <col min="15" max="16384" width="11" style="62"/>
  </cols>
  <sheetData>
    <row r="1" spans="1:17" ht="22.5">
      <c r="A1" s="68" t="s">
        <v>624</v>
      </c>
      <c r="F1" s="3137"/>
      <c r="G1" s="3137"/>
      <c r="H1" s="3137"/>
      <c r="I1" s="3137"/>
      <c r="J1" s="3137"/>
      <c r="K1" s="3137"/>
      <c r="L1" s="3137"/>
      <c r="M1" s="3137"/>
      <c r="N1" s="3138"/>
    </row>
    <row r="2" spans="1:17" ht="22.5">
      <c r="A2" s="68" t="str">
        <f>'Dados Básicos'!B9</f>
        <v>WWW, S.L.</v>
      </c>
      <c r="F2" s="3137"/>
      <c r="G2" s="3137"/>
      <c r="H2" s="3137"/>
      <c r="I2" s="3137"/>
      <c r="J2" s="3137"/>
      <c r="K2" s="3137"/>
      <c r="L2" s="3137"/>
      <c r="M2" s="3137"/>
      <c r="N2" s="3138"/>
      <c r="Q2" s="3261" t="s">
        <v>1309</v>
      </c>
    </row>
    <row r="3" spans="1:17" ht="18" customHeight="1">
      <c r="A3" s="60"/>
      <c r="F3" s="3137"/>
      <c r="G3" s="3137"/>
      <c r="H3" s="3137"/>
      <c r="I3" s="3137"/>
      <c r="J3" s="3137"/>
      <c r="K3" s="3137"/>
      <c r="L3" s="3137"/>
      <c r="M3" s="3137"/>
      <c r="N3" s="3138"/>
      <c r="Q3" s="3262">
        <v>12</v>
      </c>
    </row>
    <row r="4" spans="1:17" ht="20.25" thickBot="1">
      <c r="A4" s="250" t="s">
        <v>623</v>
      </c>
      <c r="E4" s="2733" t="str">
        <f>Parametros!B$77</f>
        <v>Ano 0:  2026</v>
      </c>
      <c r="F4" s="245"/>
      <c r="Q4" s="3261" t="str">
        <f>IF(Q3+mes0&gt;13,"Rampa inicial lunga de mais","")</f>
        <v/>
      </c>
    </row>
    <row r="5" spans="1:17" ht="31.5" customHeight="1" thickBot="1">
      <c r="A5" s="249" t="s">
        <v>625</v>
      </c>
      <c r="B5" s="247" t="str">
        <f t="array" ref="B5:M5">CONCATENATE(meses," 
",Parametros!B$76:M$76)</f>
        <v>janeiro 
2026</v>
      </c>
      <c r="C5" s="247" t="str">
        <v>fevereiro 
2026</v>
      </c>
      <c r="D5" s="247" t="str">
        <v>março 
2026</v>
      </c>
      <c r="E5" s="247" t="str">
        <v>abril 
2026</v>
      </c>
      <c r="F5" s="247" t="str">
        <v>maio 
2026</v>
      </c>
      <c r="G5" s="247" t="str">
        <v>junho 
2026</v>
      </c>
      <c r="H5" s="247" t="str">
        <v>julho 
2026</v>
      </c>
      <c r="I5" s="247" t="str">
        <v>agosto 
2026</v>
      </c>
      <c r="J5" s="247" t="str">
        <v>setembro 
2026</v>
      </c>
      <c r="K5" s="247" t="str">
        <v>outubro 
2026</v>
      </c>
      <c r="L5" s="247" t="str">
        <v>novembro 
2026</v>
      </c>
      <c r="M5" s="248" t="str">
        <v>dezembro 
2026</v>
      </c>
      <c r="N5" s="246" t="str">
        <f>CONCATENATE("Totais  
",Parametros!D$65)</f>
        <v>Totais  
2026</v>
      </c>
      <c r="O5" s="3139"/>
      <c r="P5" s="3120" t="s">
        <v>1195</v>
      </c>
    </row>
    <row r="6" spans="1:17" ht="13.5" thickBot="1">
      <c r="A6" s="1541" t="str">
        <f t="array" ref="A6:A13">productos</f>
        <v>produto 1</v>
      </c>
      <c r="B6" s="243">
        <v>200</v>
      </c>
      <c r="C6" s="243">
        <f t="shared" ref="C6:M6" si="0">(COLUMN()&gt;mes0)*(MIN(MAX(0, $B6 + ( ($B19-$B6) + (C19-$N19/12) ) * ( COLUMN()-mes0-1 )/(mesesrampainicial-mes0)),C19))</f>
        <v>272.72727272727275</v>
      </c>
      <c r="D6" s="243">
        <f t="shared" si="0"/>
        <v>345.4545454545455</v>
      </c>
      <c r="E6" s="243">
        <f t="shared" si="0"/>
        <v>418.18181818181819</v>
      </c>
      <c r="F6" s="243">
        <f t="shared" si="0"/>
        <v>490.90909090909093</v>
      </c>
      <c r="G6" s="243">
        <f t="shared" si="0"/>
        <v>563.63636363636363</v>
      </c>
      <c r="H6" s="243">
        <f t="shared" si="0"/>
        <v>636.36363636363637</v>
      </c>
      <c r="I6" s="243">
        <f t="shared" si="0"/>
        <v>709.09090909090901</v>
      </c>
      <c r="J6" s="243">
        <f t="shared" si="0"/>
        <v>781.81818181818187</v>
      </c>
      <c r="K6" s="243">
        <f t="shared" si="0"/>
        <v>854.5454545454545</v>
      </c>
      <c r="L6" s="243">
        <f t="shared" si="0"/>
        <v>927.27272727272725</v>
      </c>
      <c r="M6" s="243">
        <f t="shared" si="0"/>
        <v>1000</v>
      </c>
      <c r="N6" s="941">
        <f t="shared" ref="N6:N13" ca="1" si="1">SUM(OFFSET(B6,0,mes0-1,1,13-mes0))</f>
        <v>7199.9999999999991</v>
      </c>
      <c r="O6" s="2538"/>
      <c r="P6" s="3121">
        <f ca="1">N6</f>
        <v>7199.9999999999991</v>
      </c>
    </row>
    <row r="7" spans="1:17">
      <c r="A7" s="1542" t="str">
        <v/>
      </c>
      <c r="B7" s="3154">
        <v>0</v>
      </c>
      <c r="C7" s="3154">
        <f t="shared" ref="C7:M7" si="2">(COLUMN()&gt;mes0)*(MIN(MAX(0, $B7 + ( ($B20-$B7) + (C20-$N20/12) ) * ( COLUMN()-mes0-1 )/($Q$3-mes0)),C20))</f>
        <v>0</v>
      </c>
      <c r="D7" s="3154">
        <f t="shared" si="2"/>
        <v>0</v>
      </c>
      <c r="E7" s="3154">
        <f t="shared" si="2"/>
        <v>0</v>
      </c>
      <c r="F7" s="3154">
        <f t="shared" si="2"/>
        <v>0</v>
      </c>
      <c r="G7" s="3154">
        <f t="shared" si="2"/>
        <v>0</v>
      </c>
      <c r="H7" s="3154">
        <f t="shared" si="2"/>
        <v>0</v>
      </c>
      <c r="I7" s="3154">
        <f t="shared" si="2"/>
        <v>0</v>
      </c>
      <c r="J7" s="3154">
        <f t="shared" si="2"/>
        <v>0</v>
      </c>
      <c r="K7" s="3154">
        <f t="shared" si="2"/>
        <v>0</v>
      </c>
      <c r="L7" s="3154">
        <f t="shared" si="2"/>
        <v>0</v>
      </c>
      <c r="M7" s="3154">
        <f t="shared" si="2"/>
        <v>0</v>
      </c>
      <c r="N7" s="3160">
        <f t="shared" ca="1" si="1"/>
        <v>0</v>
      </c>
      <c r="O7" s="2539"/>
    </row>
    <row r="8" spans="1:17">
      <c r="A8" s="1542" t="str">
        <v/>
      </c>
      <c r="B8" s="3154">
        <v>0</v>
      </c>
      <c r="C8" s="3154">
        <f t="shared" ref="C8:M8" si="3">(COLUMN()&gt;mes0)*(MIN(MAX(0, $B8 + ( ($B21-$B8) + (C21-$N21/12) ) * ( COLUMN()-mes0-1 )/($Q$3-mes0)),C21))</f>
        <v>0</v>
      </c>
      <c r="D8" s="3154">
        <f t="shared" si="3"/>
        <v>0</v>
      </c>
      <c r="E8" s="3154">
        <f t="shared" si="3"/>
        <v>0</v>
      </c>
      <c r="F8" s="3154">
        <f t="shared" si="3"/>
        <v>0</v>
      </c>
      <c r="G8" s="3154">
        <f t="shared" si="3"/>
        <v>0</v>
      </c>
      <c r="H8" s="3154">
        <f t="shared" si="3"/>
        <v>0</v>
      </c>
      <c r="I8" s="3154">
        <f t="shared" si="3"/>
        <v>0</v>
      </c>
      <c r="J8" s="3154">
        <f t="shared" si="3"/>
        <v>0</v>
      </c>
      <c r="K8" s="3154">
        <f t="shared" si="3"/>
        <v>0</v>
      </c>
      <c r="L8" s="3154">
        <f t="shared" si="3"/>
        <v>0</v>
      </c>
      <c r="M8" s="3154">
        <f t="shared" si="3"/>
        <v>0</v>
      </c>
      <c r="N8" s="3160">
        <f t="shared" ca="1" si="1"/>
        <v>0</v>
      </c>
      <c r="O8" s="2539"/>
    </row>
    <row r="9" spans="1:17">
      <c r="A9" s="1542" t="str">
        <v/>
      </c>
      <c r="B9" s="3154">
        <v>0</v>
      </c>
      <c r="C9" s="3154">
        <f t="shared" ref="C9:M9" si="4">(COLUMN()&gt;mes0)*(MIN(MAX(0, $B9 + ( ($B22-$B9) + (C22-$N22/12) ) * ( COLUMN()-mes0-1 )/($Q$3-mes0)),C22))</f>
        <v>0</v>
      </c>
      <c r="D9" s="3154">
        <f t="shared" si="4"/>
        <v>0</v>
      </c>
      <c r="E9" s="3154">
        <f t="shared" si="4"/>
        <v>0</v>
      </c>
      <c r="F9" s="3154">
        <f t="shared" si="4"/>
        <v>0</v>
      </c>
      <c r="G9" s="3154">
        <f t="shared" si="4"/>
        <v>0</v>
      </c>
      <c r="H9" s="3154">
        <f t="shared" si="4"/>
        <v>0</v>
      </c>
      <c r="I9" s="3154">
        <f t="shared" si="4"/>
        <v>0</v>
      </c>
      <c r="J9" s="3154">
        <f t="shared" si="4"/>
        <v>0</v>
      </c>
      <c r="K9" s="3154">
        <f t="shared" si="4"/>
        <v>0</v>
      </c>
      <c r="L9" s="3154">
        <f t="shared" si="4"/>
        <v>0</v>
      </c>
      <c r="M9" s="3154">
        <f t="shared" si="4"/>
        <v>0</v>
      </c>
      <c r="N9" s="3160">
        <f t="shared" ca="1" si="1"/>
        <v>0</v>
      </c>
      <c r="O9" s="2539"/>
    </row>
    <row r="10" spans="1:17">
      <c r="A10" s="1542" t="str">
        <v/>
      </c>
      <c r="B10" s="3155">
        <v>0</v>
      </c>
      <c r="C10" s="3154">
        <f t="shared" ref="C10:M10" si="5">(COLUMN()&gt;mes0)*(MIN(MAX(0, $B10 + ( ($B23-$B10) + (C23-$N23/12) ) * ( COLUMN()-mes0-1 )/($Q$3-mes0)),C23))</f>
        <v>0</v>
      </c>
      <c r="D10" s="3154">
        <f t="shared" si="5"/>
        <v>0</v>
      </c>
      <c r="E10" s="3154">
        <f t="shared" si="5"/>
        <v>0</v>
      </c>
      <c r="F10" s="3154">
        <f t="shared" si="5"/>
        <v>0</v>
      </c>
      <c r="G10" s="3154">
        <f t="shared" si="5"/>
        <v>0</v>
      </c>
      <c r="H10" s="3154">
        <f t="shared" si="5"/>
        <v>0</v>
      </c>
      <c r="I10" s="3154">
        <f t="shared" si="5"/>
        <v>0</v>
      </c>
      <c r="J10" s="3154">
        <f t="shared" si="5"/>
        <v>0</v>
      </c>
      <c r="K10" s="3154">
        <f t="shared" si="5"/>
        <v>0</v>
      </c>
      <c r="L10" s="3154">
        <f t="shared" si="5"/>
        <v>0</v>
      </c>
      <c r="M10" s="3156">
        <f t="shared" si="5"/>
        <v>0</v>
      </c>
      <c r="N10" s="3160">
        <f t="shared" ca="1" si="1"/>
        <v>0</v>
      </c>
      <c r="O10" s="2539"/>
    </row>
    <row r="11" spans="1:17">
      <c r="A11" s="1542" t="str">
        <v/>
      </c>
      <c r="B11" s="3155">
        <v>0</v>
      </c>
      <c r="C11" s="3154">
        <f t="shared" ref="C11:M11" si="6">(COLUMN()&gt;mes0)*(MIN(MAX(0, $B11 + ( ($B24-$B11) + (C24-$N24/12) ) * ( COLUMN()-mes0-1 )/($Q$3-mes0)),C24))</f>
        <v>0</v>
      </c>
      <c r="D11" s="3154">
        <f t="shared" si="6"/>
        <v>0</v>
      </c>
      <c r="E11" s="3154">
        <f t="shared" si="6"/>
        <v>0</v>
      </c>
      <c r="F11" s="3154">
        <f t="shared" si="6"/>
        <v>0</v>
      </c>
      <c r="G11" s="3154">
        <f t="shared" si="6"/>
        <v>0</v>
      </c>
      <c r="H11" s="3154">
        <f t="shared" si="6"/>
        <v>0</v>
      </c>
      <c r="I11" s="3154">
        <f t="shared" si="6"/>
        <v>0</v>
      </c>
      <c r="J11" s="3154">
        <f t="shared" si="6"/>
        <v>0</v>
      </c>
      <c r="K11" s="3154">
        <f t="shared" si="6"/>
        <v>0</v>
      </c>
      <c r="L11" s="3154">
        <f t="shared" si="6"/>
        <v>0</v>
      </c>
      <c r="M11" s="3156">
        <f t="shared" si="6"/>
        <v>0</v>
      </c>
      <c r="N11" s="3160">
        <f t="shared" ca="1" si="1"/>
        <v>0</v>
      </c>
      <c r="O11" s="2539"/>
    </row>
    <row r="12" spans="1:17">
      <c r="A12" s="1542" t="str">
        <v/>
      </c>
      <c r="B12" s="3155">
        <v>0</v>
      </c>
      <c r="C12" s="3154">
        <f t="shared" ref="C12:M12" si="7">(COLUMN()&gt;mes0)*(MIN(MAX(0, $B12 + ( ($B25-$B12) + (C25-$N25/12) ) * ( COLUMN()-mes0-1 )/($Q$3-mes0)),C25))</f>
        <v>0</v>
      </c>
      <c r="D12" s="3154">
        <f t="shared" si="7"/>
        <v>0</v>
      </c>
      <c r="E12" s="3154">
        <f t="shared" si="7"/>
        <v>0</v>
      </c>
      <c r="F12" s="3154">
        <f t="shared" si="7"/>
        <v>0</v>
      </c>
      <c r="G12" s="3154">
        <f t="shared" si="7"/>
        <v>0</v>
      </c>
      <c r="H12" s="3154">
        <f t="shared" si="7"/>
        <v>0</v>
      </c>
      <c r="I12" s="3154">
        <f t="shared" si="7"/>
        <v>0</v>
      </c>
      <c r="J12" s="3154">
        <f t="shared" si="7"/>
        <v>0</v>
      </c>
      <c r="K12" s="3154">
        <f t="shared" si="7"/>
        <v>0</v>
      </c>
      <c r="L12" s="3154">
        <f t="shared" si="7"/>
        <v>0</v>
      </c>
      <c r="M12" s="3156">
        <f t="shared" si="7"/>
        <v>0</v>
      </c>
      <c r="N12" s="3160">
        <f t="shared" ca="1" si="1"/>
        <v>0</v>
      </c>
      <c r="O12" s="2539"/>
    </row>
    <row r="13" spans="1:17" ht="13.5" thickBot="1">
      <c r="A13" s="1543" t="str">
        <v/>
      </c>
      <c r="B13" s="3157">
        <v>0</v>
      </c>
      <c r="C13" s="3158">
        <f t="shared" ref="C13:M13" si="8">(COLUMN()&gt;mes0)*(MIN(MAX(0, $B13 + ( ($B26-$B13) + (C26-$N26/12) ) * ( COLUMN()-mes0-1 )/($Q$3-mes0)),C26))</f>
        <v>0</v>
      </c>
      <c r="D13" s="3158">
        <f t="shared" si="8"/>
        <v>0</v>
      </c>
      <c r="E13" s="3158">
        <f t="shared" si="8"/>
        <v>0</v>
      </c>
      <c r="F13" s="3158">
        <f t="shared" si="8"/>
        <v>0</v>
      </c>
      <c r="G13" s="3158">
        <f t="shared" si="8"/>
        <v>0</v>
      </c>
      <c r="H13" s="3158">
        <f t="shared" si="8"/>
        <v>0</v>
      </c>
      <c r="I13" s="3158">
        <f t="shared" si="8"/>
        <v>0</v>
      </c>
      <c r="J13" s="3158">
        <f t="shared" si="8"/>
        <v>0</v>
      </c>
      <c r="K13" s="3158">
        <f t="shared" si="8"/>
        <v>0</v>
      </c>
      <c r="L13" s="3158">
        <f t="shared" si="8"/>
        <v>0</v>
      </c>
      <c r="M13" s="3159">
        <f t="shared" si="8"/>
        <v>0</v>
      </c>
      <c r="N13" s="3161">
        <f t="shared" ca="1" si="1"/>
        <v>0</v>
      </c>
      <c r="O13" s="2540"/>
    </row>
    <row r="14" spans="1:17" ht="13.5" thickBot="1">
      <c r="A14" s="105" t="s">
        <v>4</v>
      </c>
      <c r="B14" s="938">
        <f t="shared" ref="B14:M14" si="9">SUM(B6:B13)</f>
        <v>200</v>
      </c>
      <c r="C14" s="939">
        <f t="shared" si="9"/>
        <v>272.72727272727275</v>
      </c>
      <c r="D14" s="939">
        <f t="shared" si="9"/>
        <v>345.4545454545455</v>
      </c>
      <c r="E14" s="939">
        <f t="shared" si="9"/>
        <v>418.18181818181819</v>
      </c>
      <c r="F14" s="939">
        <f t="shared" si="9"/>
        <v>490.90909090909093</v>
      </c>
      <c r="G14" s="939">
        <f t="shared" si="9"/>
        <v>563.63636363636363</v>
      </c>
      <c r="H14" s="939">
        <f t="shared" si="9"/>
        <v>636.36363636363637</v>
      </c>
      <c r="I14" s="939">
        <f t="shared" si="9"/>
        <v>709.09090909090901</v>
      </c>
      <c r="J14" s="939">
        <f t="shared" si="9"/>
        <v>781.81818181818187</v>
      </c>
      <c r="K14" s="939">
        <f t="shared" si="9"/>
        <v>854.5454545454545</v>
      </c>
      <c r="L14" s="939">
        <f t="shared" si="9"/>
        <v>927.27272727272725</v>
      </c>
      <c r="M14" s="940">
        <f t="shared" si="9"/>
        <v>1000</v>
      </c>
      <c r="N14" s="437">
        <f>SUM(B14:M14)</f>
        <v>7199.9999999999991</v>
      </c>
    </row>
    <row r="15" spans="1:17" ht="15">
      <c r="A15" s="220"/>
    </row>
    <row r="16" spans="1:17" ht="15">
      <c r="A16" s="220"/>
    </row>
    <row r="17" spans="1:16" ht="20.25" thickBot="1">
      <c r="A17" s="250" t="str">
        <f>A4</f>
        <v>Previsões de Vendas da empresa</v>
      </c>
      <c r="E17" s="2733" t="str">
        <f>Parametros!C$77</f>
        <v>Ano 1:  2027</v>
      </c>
      <c r="F17" s="244"/>
    </row>
    <row r="18" spans="1:16" ht="31.5" customHeight="1" thickBot="1">
      <c r="A18" s="249" t="s">
        <v>625</v>
      </c>
      <c r="B18" s="247" t="str">
        <f t="array" ref="B18:M18">CONCATENATE(meses," 
",Parametros!B$76:M$76+1)</f>
        <v>janeiro 
2027</v>
      </c>
      <c r="C18" s="247" t="str">
        <v>fevereiro 
2027</v>
      </c>
      <c r="D18" s="247" t="str">
        <v>março 
2027</v>
      </c>
      <c r="E18" s="247" t="str">
        <v>abril 
2027</v>
      </c>
      <c r="F18" s="247" t="str">
        <v>maio 
2027</v>
      </c>
      <c r="G18" s="247" t="str">
        <v>junho 
2027</v>
      </c>
      <c r="H18" s="247" t="str">
        <v>julho 
2027</v>
      </c>
      <c r="I18" s="247" t="str">
        <v>agosto 
2027</v>
      </c>
      <c r="J18" s="247" t="str">
        <v>setembro 
2027</v>
      </c>
      <c r="K18" s="247" t="str">
        <v>outubro 
2027</v>
      </c>
      <c r="L18" s="247" t="str">
        <v>novembro 
2027</v>
      </c>
      <c r="M18" s="248" t="str">
        <v>dezembro 
2027</v>
      </c>
      <c r="N18" s="246" t="str">
        <f>CONCATENATE("Totais  
",Parametros!E$65)</f>
        <v>Totais  
2027</v>
      </c>
      <c r="O18" s="3139" t="s">
        <v>328</v>
      </c>
      <c r="P18" s="3120" t="s">
        <v>1195</v>
      </c>
    </row>
    <row r="19" spans="1:16" ht="13.5" thickBot="1">
      <c r="A19" s="1541" t="str">
        <f t="array" ref="A19:A26">productos</f>
        <v>produto 1</v>
      </c>
      <c r="B19" s="3162">
        <v>1000</v>
      </c>
      <c r="C19" s="3163">
        <v>1000</v>
      </c>
      <c r="D19" s="3163">
        <v>1000</v>
      </c>
      <c r="E19" s="3163">
        <v>1000</v>
      </c>
      <c r="F19" s="3163">
        <v>1000</v>
      </c>
      <c r="G19" s="3163">
        <v>1000</v>
      </c>
      <c r="H19" s="3163">
        <v>1000</v>
      </c>
      <c r="I19" s="3163">
        <v>1000</v>
      </c>
      <c r="J19" s="3163">
        <v>1000</v>
      </c>
      <c r="K19" s="3163">
        <v>1000</v>
      </c>
      <c r="L19" s="3163">
        <v>1000</v>
      </c>
      <c r="M19" s="3164">
        <v>1000</v>
      </c>
      <c r="N19" s="3165">
        <f t="shared" ref="N19:N27" si="10">SUM(B19:M19)</f>
        <v>12000</v>
      </c>
      <c r="O19" s="2538"/>
      <c r="P19" s="3121">
        <f>N19</f>
        <v>12000</v>
      </c>
    </row>
    <row r="20" spans="1:16">
      <c r="A20" s="1542" t="str">
        <v/>
      </c>
      <c r="B20" s="3166">
        <v>0</v>
      </c>
      <c r="C20" s="3167">
        <v>0</v>
      </c>
      <c r="D20" s="3167">
        <v>0</v>
      </c>
      <c r="E20" s="3167">
        <v>0</v>
      </c>
      <c r="F20" s="3167">
        <v>0</v>
      </c>
      <c r="G20" s="3167">
        <v>0</v>
      </c>
      <c r="H20" s="3167">
        <v>0</v>
      </c>
      <c r="I20" s="3167">
        <v>0</v>
      </c>
      <c r="J20" s="3167">
        <v>0</v>
      </c>
      <c r="K20" s="3167">
        <v>0</v>
      </c>
      <c r="L20" s="3167">
        <v>0</v>
      </c>
      <c r="M20" s="3168">
        <v>0</v>
      </c>
      <c r="N20" s="3160">
        <f t="shared" si="10"/>
        <v>0</v>
      </c>
      <c r="O20" s="2539"/>
    </row>
    <row r="21" spans="1:16">
      <c r="A21" s="1542" t="str">
        <v/>
      </c>
      <c r="B21" s="3166">
        <v>0</v>
      </c>
      <c r="C21" s="3167">
        <v>0</v>
      </c>
      <c r="D21" s="3167">
        <v>0</v>
      </c>
      <c r="E21" s="3167">
        <v>0</v>
      </c>
      <c r="F21" s="3167">
        <v>0</v>
      </c>
      <c r="G21" s="3167">
        <v>0</v>
      </c>
      <c r="H21" s="3167">
        <v>0</v>
      </c>
      <c r="I21" s="3167">
        <v>0</v>
      </c>
      <c r="J21" s="3167">
        <v>0</v>
      </c>
      <c r="K21" s="3167">
        <v>0</v>
      </c>
      <c r="L21" s="3167">
        <v>0</v>
      </c>
      <c r="M21" s="3168">
        <v>0</v>
      </c>
      <c r="N21" s="3160">
        <f t="shared" si="10"/>
        <v>0</v>
      </c>
      <c r="O21" s="2539"/>
    </row>
    <row r="22" spans="1:16">
      <c r="A22" s="1542" t="str">
        <v/>
      </c>
      <c r="B22" s="3166">
        <v>0</v>
      </c>
      <c r="C22" s="3167">
        <v>0</v>
      </c>
      <c r="D22" s="3167">
        <v>0</v>
      </c>
      <c r="E22" s="3167">
        <v>0</v>
      </c>
      <c r="F22" s="3167">
        <v>0</v>
      </c>
      <c r="G22" s="3167">
        <v>0</v>
      </c>
      <c r="H22" s="3167">
        <v>0</v>
      </c>
      <c r="I22" s="3167">
        <v>0</v>
      </c>
      <c r="J22" s="3167">
        <v>0</v>
      </c>
      <c r="K22" s="3167">
        <v>0</v>
      </c>
      <c r="L22" s="3167">
        <v>0</v>
      </c>
      <c r="M22" s="3168">
        <v>0</v>
      </c>
      <c r="N22" s="3160">
        <f t="shared" si="10"/>
        <v>0</v>
      </c>
      <c r="O22" s="2539"/>
    </row>
    <row r="23" spans="1:16">
      <c r="A23" s="1542" t="str">
        <v/>
      </c>
      <c r="B23" s="3166">
        <v>0</v>
      </c>
      <c r="C23" s="3167">
        <v>0</v>
      </c>
      <c r="D23" s="3167">
        <v>0</v>
      </c>
      <c r="E23" s="3167">
        <v>0</v>
      </c>
      <c r="F23" s="3167">
        <v>0</v>
      </c>
      <c r="G23" s="3167">
        <v>0</v>
      </c>
      <c r="H23" s="3167">
        <v>0</v>
      </c>
      <c r="I23" s="3167">
        <v>0</v>
      </c>
      <c r="J23" s="3167">
        <v>0</v>
      </c>
      <c r="K23" s="3167">
        <v>0</v>
      </c>
      <c r="L23" s="3167">
        <v>0</v>
      </c>
      <c r="M23" s="3168">
        <v>0</v>
      </c>
      <c r="N23" s="3160">
        <f t="shared" si="10"/>
        <v>0</v>
      </c>
      <c r="O23" s="2539"/>
    </row>
    <row r="24" spans="1:16">
      <c r="A24" s="1542" t="str">
        <v/>
      </c>
      <c r="B24" s="3166">
        <v>0</v>
      </c>
      <c r="C24" s="3167">
        <v>0</v>
      </c>
      <c r="D24" s="3167">
        <v>0</v>
      </c>
      <c r="E24" s="3167">
        <v>0</v>
      </c>
      <c r="F24" s="3167">
        <v>0</v>
      </c>
      <c r="G24" s="3167">
        <v>0</v>
      </c>
      <c r="H24" s="3167">
        <v>0</v>
      </c>
      <c r="I24" s="3167">
        <v>0</v>
      </c>
      <c r="J24" s="3167">
        <v>0</v>
      </c>
      <c r="K24" s="3167">
        <v>0</v>
      </c>
      <c r="L24" s="3167">
        <v>0</v>
      </c>
      <c r="M24" s="3168">
        <v>0</v>
      </c>
      <c r="N24" s="3160">
        <f t="shared" si="10"/>
        <v>0</v>
      </c>
      <c r="O24" s="2539"/>
    </row>
    <row r="25" spans="1:16">
      <c r="A25" s="1542" t="str">
        <v/>
      </c>
      <c r="B25" s="3166">
        <v>0</v>
      </c>
      <c r="C25" s="3167">
        <v>0</v>
      </c>
      <c r="D25" s="3167">
        <v>0</v>
      </c>
      <c r="E25" s="3167">
        <v>0</v>
      </c>
      <c r="F25" s="3167">
        <v>0</v>
      </c>
      <c r="G25" s="3167">
        <v>0</v>
      </c>
      <c r="H25" s="3167">
        <v>0</v>
      </c>
      <c r="I25" s="3167">
        <v>0</v>
      </c>
      <c r="J25" s="3167">
        <v>0</v>
      </c>
      <c r="K25" s="3167">
        <v>0</v>
      </c>
      <c r="L25" s="3167">
        <v>0</v>
      </c>
      <c r="M25" s="3168">
        <v>0</v>
      </c>
      <c r="N25" s="3160">
        <f t="shared" si="10"/>
        <v>0</v>
      </c>
      <c r="O25" s="2539"/>
    </row>
    <row r="26" spans="1:16" ht="13.5" thickBot="1">
      <c r="A26" s="1543" t="str">
        <v/>
      </c>
      <c r="B26" s="3169">
        <v>0</v>
      </c>
      <c r="C26" s="3170">
        <v>0</v>
      </c>
      <c r="D26" s="3170">
        <v>0</v>
      </c>
      <c r="E26" s="3170">
        <v>0</v>
      </c>
      <c r="F26" s="3170">
        <v>0</v>
      </c>
      <c r="G26" s="3170">
        <v>0</v>
      </c>
      <c r="H26" s="3170">
        <v>0</v>
      </c>
      <c r="I26" s="3170">
        <v>0</v>
      </c>
      <c r="J26" s="3170">
        <v>0</v>
      </c>
      <c r="K26" s="3170">
        <v>0</v>
      </c>
      <c r="L26" s="3170">
        <v>0</v>
      </c>
      <c r="M26" s="3171">
        <v>0</v>
      </c>
      <c r="N26" s="3161">
        <f t="shared" si="10"/>
        <v>0</v>
      </c>
      <c r="O26" s="2540"/>
    </row>
    <row r="27" spans="1:16" ht="13.5" thickBot="1">
      <c r="A27" s="105" t="s">
        <v>3</v>
      </c>
      <c r="B27" s="938">
        <f t="shared" ref="B27:M27" si="11">B19+B20+B21+B22+B23+B24+B25+B26</f>
        <v>1000</v>
      </c>
      <c r="C27" s="939">
        <f t="shared" si="11"/>
        <v>1000</v>
      </c>
      <c r="D27" s="939">
        <f t="shared" si="11"/>
        <v>1000</v>
      </c>
      <c r="E27" s="939">
        <f t="shared" si="11"/>
        <v>1000</v>
      </c>
      <c r="F27" s="939">
        <f t="shared" si="11"/>
        <v>1000</v>
      </c>
      <c r="G27" s="939">
        <f t="shared" si="11"/>
        <v>1000</v>
      </c>
      <c r="H27" s="939">
        <f t="shared" si="11"/>
        <v>1000</v>
      </c>
      <c r="I27" s="939">
        <f t="shared" si="11"/>
        <v>1000</v>
      </c>
      <c r="J27" s="939">
        <f t="shared" si="11"/>
        <v>1000</v>
      </c>
      <c r="K27" s="939">
        <f t="shared" si="11"/>
        <v>1000</v>
      </c>
      <c r="L27" s="939">
        <f t="shared" si="11"/>
        <v>1000</v>
      </c>
      <c r="M27" s="940">
        <f t="shared" si="11"/>
        <v>1000</v>
      </c>
      <c r="N27" s="437">
        <f t="shared" si="10"/>
        <v>12000</v>
      </c>
    </row>
    <row r="30" spans="1:16" ht="20.25" thickBot="1">
      <c r="A30" s="250" t="str">
        <f>A17</f>
        <v>Previsões de Vendas da empresa</v>
      </c>
      <c r="E30" s="2733" t="str">
        <f>Parametros!D$77</f>
        <v>Ano 2:  2028</v>
      </c>
      <c r="F30" s="244"/>
    </row>
    <row r="31" spans="1:16" ht="31.5" customHeight="1" thickBot="1">
      <c r="A31" s="249" t="s">
        <v>625</v>
      </c>
      <c r="B31" s="247" t="str">
        <f t="array" ref="B31:M31">CONCATENATE(meses," 
",Parametros!B$76:M$76+2)</f>
        <v>janeiro 
2028</v>
      </c>
      <c r="C31" s="247" t="str">
        <v>fevereiro 
2028</v>
      </c>
      <c r="D31" s="247" t="str">
        <v>março 
2028</v>
      </c>
      <c r="E31" s="247" t="str">
        <v>abril 
2028</v>
      </c>
      <c r="F31" s="247" t="str">
        <v>maio 
2028</v>
      </c>
      <c r="G31" s="247" t="str">
        <v>junho 
2028</v>
      </c>
      <c r="H31" s="247" t="str">
        <v>julho 
2028</v>
      </c>
      <c r="I31" s="247" t="str">
        <v>agosto 
2028</v>
      </c>
      <c r="J31" s="247" t="str">
        <v>setembro 
2028</v>
      </c>
      <c r="K31" s="247" t="str">
        <v>outubro 
2028</v>
      </c>
      <c r="L31" s="247" t="str">
        <v>novembro 
2028</v>
      </c>
      <c r="M31" s="248" t="str">
        <v>dezembro 
2028</v>
      </c>
      <c r="N31" s="246" t="str">
        <f>CONCATENATE("Totais  
",Parametros!F$65)</f>
        <v>Totais  
2028</v>
      </c>
      <c r="O31" s="2541" t="str">
        <f>$O$18</f>
        <v>% incr. interanual</v>
      </c>
      <c r="P31" s="3120" t="s">
        <v>1195</v>
      </c>
    </row>
    <row r="32" spans="1:16" ht="13.5" thickBot="1">
      <c r="A32" s="1541" t="str">
        <f t="array" ref="A32:A39">productos</f>
        <v>produto 1</v>
      </c>
      <c r="B32" s="3162">
        <f t="shared" ref="B32:M32" si="12">ROUND(B19*(1+$O32),0)</f>
        <v>1050</v>
      </c>
      <c r="C32" s="3163">
        <f t="shared" si="12"/>
        <v>1050</v>
      </c>
      <c r="D32" s="3163">
        <f t="shared" si="12"/>
        <v>1050</v>
      </c>
      <c r="E32" s="3163">
        <f>ROUND(E19*(1+$O32),0)</f>
        <v>1050</v>
      </c>
      <c r="F32" s="3163">
        <f t="shared" si="12"/>
        <v>1050</v>
      </c>
      <c r="G32" s="3163">
        <f t="shared" si="12"/>
        <v>1050</v>
      </c>
      <c r="H32" s="3163">
        <f t="shared" si="12"/>
        <v>1050</v>
      </c>
      <c r="I32" s="3163">
        <f t="shared" si="12"/>
        <v>1050</v>
      </c>
      <c r="J32" s="3163">
        <f t="shared" si="12"/>
        <v>1050</v>
      </c>
      <c r="K32" s="3163">
        <f t="shared" si="12"/>
        <v>1050</v>
      </c>
      <c r="L32" s="3163">
        <f t="shared" si="12"/>
        <v>1050</v>
      </c>
      <c r="M32" s="3164">
        <f t="shared" si="12"/>
        <v>1050</v>
      </c>
      <c r="N32" s="3165">
        <f t="shared" ref="N32:N39" si="13">SUM(B32:M32)</f>
        <v>12600</v>
      </c>
      <c r="O32" s="2538">
        <v>0.05</v>
      </c>
      <c r="P32" s="3121">
        <f>N32</f>
        <v>12600</v>
      </c>
    </row>
    <row r="33" spans="1:16">
      <c r="A33" s="1542" t="str">
        <v/>
      </c>
      <c r="B33" s="3166">
        <f t="shared" ref="B33:M33" si="14">ROUND(B20*(1+$O33),0)</f>
        <v>0</v>
      </c>
      <c r="C33" s="3167">
        <f t="shared" si="14"/>
        <v>0</v>
      </c>
      <c r="D33" s="3167">
        <f t="shared" si="14"/>
        <v>0</v>
      </c>
      <c r="E33" s="3167">
        <f t="shared" si="14"/>
        <v>0</v>
      </c>
      <c r="F33" s="3167">
        <f t="shared" si="14"/>
        <v>0</v>
      </c>
      <c r="G33" s="3167">
        <f t="shared" si="14"/>
        <v>0</v>
      </c>
      <c r="H33" s="3167">
        <f t="shared" si="14"/>
        <v>0</v>
      </c>
      <c r="I33" s="3167">
        <f t="shared" si="14"/>
        <v>0</v>
      </c>
      <c r="J33" s="3167">
        <f t="shared" si="14"/>
        <v>0</v>
      </c>
      <c r="K33" s="3167">
        <f t="shared" si="14"/>
        <v>0</v>
      </c>
      <c r="L33" s="3167">
        <f t="shared" si="14"/>
        <v>0</v>
      </c>
      <c r="M33" s="3168">
        <f t="shared" si="14"/>
        <v>0</v>
      </c>
      <c r="N33" s="3160">
        <f t="shared" si="13"/>
        <v>0</v>
      </c>
      <c r="O33" s="2539">
        <f t="shared" ref="O33:O39" si="15">O32</f>
        <v>0.05</v>
      </c>
    </row>
    <row r="34" spans="1:16">
      <c r="A34" s="1542" t="str">
        <v/>
      </c>
      <c r="B34" s="3166">
        <f t="shared" ref="B34:M34" si="16">ROUND(B21*(1+$O34),0)</f>
        <v>0</v>
      </c>
      <c r="C34" s="3167">
        <f t="shared" si="16"/>
        <v>0</v>
      </c>
      <c r="D34" s="3167">
        <f t="shared" si="16"/>
        <v>0</v>
      </c>
      <c r="E34" s="3167">
        <f t="shared" si="16"/>
        <v>0</v>
      </c>
      <c r="F34" s="3167">
        <f t="shared" si="16"/>
        <v>0</v>
      </c>
      <c r="G34" s="3167">
        <f t="shared" si="16"/>
        <v>0</v>
      </c>
      <c r="H34" s="3167">
        <f t="shared" si="16"/>
        <v>0</v>
      </c>
      <c r="I34" s="3167">
        <f t="shared" si="16"/>
        <v>0</v>
      </c>
      <c r="J34" s="3167">
        <f t="shared" si="16"/>
        <v>0</v>
      </c>
      <c r="K34" s="3167">
        <f t="shared" si="16"/>
        <v>0</v>
      </c>
      <c r="L34" s="3167">
        <f t="shared" si="16"/>
        <v>0</v>
      </c>
      <c r="M34" s="3168">
        <f t="shared" si="16"/>
        <v>0</v>
      </c>
      <c r="N34" s="3160">
        <f t="shared" si="13"/>
        <v>0</v>
      </c>
      <c r="O34" s="2539">
        <f t="shared" si="15"/>
        <v>0.05</v>
      </c>
    </row>
    <row r="35" spans="1:16">
      <c r="A35" s="1542" t="str">
        <v/>
      </c>
      <c r="B35" s="3166">
        <f t="shared" ref="B35:M35" si="17">ROUND(B22*(1+$O35),0)</f>
        <v>0</v>
      </c>
      <c r="C35" s="3167">
        <f t="shared" si="17"/>
        <v>0</v>
      </c>
      <c r="D35" s="3167">
        <f t="shared" si="17"/>
        <v>0</v>
      </c>
      <c r="E35" s="3167">
        <f>ROUND(E22*(1+$O35),0)</f>
        <v>0</v>
      </c>
      <c r="F35" s="3167">
        <f t="shared" si="17"/>
        <v>0</v>
      </c>
      <c r="G35" s="3167">
        <f t="shared" si="17"/>
        <v>0</v>
      </c>
      <c r="H35" s="3167">
        <f t="shared" si="17"/>
        <v>0</v>
      </c>
      <c r="I35" s="3167">
        <f t="shared" si="17"/>
        <v>0</v>
      </c>
      <c r="J35" s="3167">
        <f t="shared" si="17"/>
        <v>0</v>
      </c>
      <c r="K35" s="3167">
        <f t="shared" si="17"/>
        <v>0</v>
      </c>
      <c r="L35" s="3167">
        <f t="shared" si="17"/>
        <v>0</v>
      </c>
      <c r="M35" s="3168">
        <f t="shared" si="17"/>
        <v>0</v>
      </c>
      <c r="N35" s="3160">
        <f t="shared" si="13"/>
        <v>0</v>
      </c>
      <c r="O35" s="2539">
        <f t="shared" si="15"/>
        <v>0.05</v>
      </c>
    </row>
    <row r="36" spans="1:16">
      <c r="A36" s="1542" t="str">
        <v/>
      </c>
      <c r="B36" s="3166">
        <f t="shared" ref="B36:M36" si="18">ROUND(B23*(1+$O36),0)</f>
        <v>0</v>
      </c>
      <c r="C36" s="3167">
        <f t="shared" si="18"/>
        <v>0</v>
      </c>
      <c r="D36" s="3167">
        <f t="shared" si="18"/>
        <v>0</v>
      </c>
      <c r="E36" s="3167">
        <f>ROUND(E23*(1+$O36),0)</f>
        <v>0</v>
      </c>
      <c r="F36" s="3167">
        <f t="shared" si="18"/>
        <v>0</v>
      </c>
      <c r="G36" s="3167">
        <f t="shared" si="18"/>
        <v>0</v>
      </c>
      <c r="H36" s="3167">
        <f t="shared" si="18"/>
        <v>0</v>
      </c>
      <c r="I36" s="3167">
        <f t="shared" si="18"/>
        <v>0</v>
      </c>
      <c r="J36" s="3167">
        <f t="shared" si="18"/>
        <v>0</v>
      </c>
      <c r="K36" s="3167">
        <f t="shared" si="18"/>
        <v>0</v>
      </c>
      <c r="L36" s="3167">
        <f t="shared" si="18"/>
        <v>0</v>
      </c>
      <c r="M36" s="3168">
        <f t="shared" si="18"/>
        <v>0</v>
      </c>
      <c r="N36" s="3160">
        <f t="shared" si="13"/>
        <v>0</v>
      </c>
      <c r="O36" s="2539">
        <f t="shared" si="15"/>
        <v>0.05</v>
      </c>
    </row>
    <row r="37" spans="1:16">
      <c r="A37" s="1542" t="str">
        <v/>
      </c>
      <c r="B37" s="3166">
        <f t="shared" ref="B37:M37" si="19">ROUND(B24*(1+$O37),0)</f>
        <v>0</v>
      </c>
      <c r="C37" s="3167">
        <f t="shared" si="19"/>
        <v>0</v>
      </c>
      <c r="D37" s="3167">
        <f t="shared" si="19"/>
        <v>0</v>
      </c>
      <c r="E37" s="3167">
        <f t="shared" si="19"/>
        <v>0</v>
      </c>
      <c r="F37" s="3167">
        <f t="shared" si="19"/>
        <v>0</v>
      </c>
      <c r="G37" s="3167">
        <f t="shared" si="19"/>
        <v>0</v>
      </c>
      <c r="H37" s="3167">
        <f t="shared" si="19"/>
        <v>0</v>
      </c>
      <c r="I37" s="3167">
        <f t="shared" si="19"/>
        <v>0</v>
      </c>
      <c r="J37" s="3167">
        <f t="shared" si="19"/>
        <v>0</v>
      </c>
      <c r="K37" s="3167">
        <f t="shared" si="19"/>
        <v>0</v>
      </c>
      <c r="L37" s="3167">
        <f t="shared" si="19"/>
        <v>0</v>
      </c>
      <c r="M37" s="3168">
        <f t="shared" si="19"/>
        <v>0</v>
      </c>
      <c r="N37" s="3160">
        <f t="shared" si="13"/>
        <v>0</v>
      </c>
      <c r="O37" s="2539">
        <f t="shared" si="15"/>
        <v>0.05</v>
      </c>
    </row>
    <row r="38" spans="1:16">
      <c r="A38" s="1542" t="str">
        <v/>
      </c>
      <c r="B38" s="3166">
        <f t="shared" ref="B38:M38" si="20">ROUND(B25*(1+$O38),0)</f>
        <v>0</v>
      </c>
      <c r="C38" s="3167">
        <f t="shared" si="20"/>
        <v>0</v>
      </c>
      <c r="D38" s="3167">
        <f t="shared" si="20"/>
        <v>0</v>
      </c>
      <c r="E38" s="3167">
        <f t="shared" si="20"/>
        <v>0</v>
      </c>
      <c r="F38" s="3167">
        <f t="shared" si="20"/>
        <v>0</v>
      </c>
      <c r="G38" s="3167">
        <f t="shared" si="20"/>
        <v>0</v>
      </c>
      <c r="H38" s="3167">
        <f t="shared" si="20"/>
        <v>0</v>
      </c>
      <c r="I38" s="3167">
        <f t="shared" si="20"/>
        <v>0</v>
      </c>
      <c r="J38" s="3167">
        <f t="shared" si="20"/>
        <v>0</v>
      </c>
      <c r="K38" s="3167">
        <f t="shared" si="20"/>
        <v>0</v>
      </c>
      <c r="L38" s="3167">
        <f t="shared" si="20"/>
        <v>0</v>
      </c>
      <c r="M38" s="3168">
        <f t="shared" si="20"/>
        <v>0</v>
      </c>
      <c r="N38" s="3160">
        <f t="shared" si="13"/>
        <v>0</v>
      </c>
      <c r="O38" s="2539">
        <f t="shared" si="15"/>
        <v>0.05</v>
      </c>
    </row>
    <row r="39" spans="1:16" ht="13.5" thickBot="1">
      <c r="A39" s="1543" t="str">
        <v/>
      </c>
      <c r="B39" s="3169">
        <f t="shared" ref="B39:M39" si="21">ROUND(B26*(1+$O39),0)</f>
        <v>0</v>
      </c>
      <c r="C39" s="3170">
        <f t="shared" si="21"/>
        <v>0</v>
      </c>
      <c r="D39" s="3170">
        <f t="shared" si="21"/>
        <v>0</v>
      </c>
      <c r="E39" s="3170">
        <f t="shared" si="21"/>
        <v>0</v>
      </c>
      <c r="F39" s="3170">
        <f t="shared" si="21"/>
        <v>0</v>
      </c>
      <c r="G39" s="3170">
        <f t="shared" si="21"/>
        <v>0</v>
      </c>
      <c r="H39" s="3170">
        <f t="shared" si="21"/>
        <v>0</v>
      </c>
      <c r="I39" s="3170">
        <f t="shared" si="21"/>
        <v>0</v>
      </c>
      <c r="J39" s="3170">
        <f t="shared" si="21"/>
        <v>0</v>
      </c>
      <c r="K39" s="3170">
        <f t="shared" si="21"/>
        <v>0</v>
      </c>
      <c r="L39" s="3170">
        <f t="shared" si="21"/>
        <v>0</v>
      </c>
      <c r="M39" s="3171">
        <f t="shared" si="21"/>
        <v>0</v>
      </c>
      <c r="N39" s="3161">
        <f t="shared" si="13"/>
        <v>0</v>
      </c>
      <c r="O39" s="2540">
        <f t="shared" si="15"/>
        <v>0.05</v>
      </c>
    </row>
    <row r="40" spans="1:16" ht="13.5" thickBot="1">
      <c r="A40" s="105" t="s">
        <v>3</v>
      </c>
      <c r="B40" s="938">
        <f t="shared" ref="B40:M40" si="22">B32+B33+B34+B35+B36+B37+B38+B39</f>
        <v>1050</v>
      </c>
      <c r="C40" s="939">
        <f t="shared" si="22"/>
        <v>1050</v>
      </c>
      <c r="D40" s="939">
        <f t="shared" si="22"/>
        <v>1050</v>
      </c>
      <c r="E40" s="939">
        <f t="shared" si="22"/>
        <v>1050</v>
      </c>
      <c r="F40" s="939">
        <f t="shared" si="22"/>
        <v>1050</v>
      </c>
      <c r="G40" s="939">
        <f t="shared" si="22"/>
        <v>1050</v>
      </c>
      <c r="H40" s="939">
        <f t="shared" si="22"/>
        <v>1050</v>
      </c>
      <c r="I40" s="939">
        <f t="shared" si="22"/>
        <v>1050</v>
      </c>
      <c r="J40" s="939">
        <f t="shared" si="22"/>
        <v>1050</v>
      </c>
      <c r="K40" s="939">
        <f t="shared" si="22"/>
        <v>1050</v>
      </c>
      <c r="L40" s="939">
        <f t="shared" si="22"/>
        <v>1050</v>
      </c>
      <c r="M40" s="940">
        <f t="shared" si="22"/>
        <v>1050</v>
      </c>
      <c r="N40" s="437">
        <f>SUM(B40:M40)</f>
        <v>12600</v>
      </c>
    </row>
    <row r="43" spans="1:16" ht="20.25" thickBot="1">
      <c r="A43" s="250" t="str">
        <f>A30</f>
        <v>Previsões de Vendas da empresa</v>
      </c>
      <c r="E43" s="2733" t="str">
        <f>Parametros!E$77</f>
        <v>Ano 3:  2029</v>
      </c>
      <c r="F43" s="244"/>
    </row>
    <row r="44" spans="1:16" ht="31.5" customHeight="1" thickBot="1">
      <c r="A44" s="249" t="s">
        <v>625</v>
      </c>
      <c r="B44" s="247" t="str">
        <f t="array" ref="B44:M44">CONCATENATE(meses," 
",Parametros!B$76:M$76+3)</f>
        <v>janeiro 
2029</v>
      </c>
      <c r="C44" s="247" t="str">
        <v>fevereiro 
2029</v>
      </c>
      <c r="D44" s="247" t="str">
        <v>março 
2029</v>
      </c>
      <c r="E44" s="247" t="str">
        <v>abril 
2029</v>
      </c>
      <c r="F44" s="247" t="str">
        <v>maio 
2029</v>
      </c>
      <c r="G44" s="247" t="str">
        <v>junho 
2029</v>
      </c>
      <c r="H44" s="247" t="str">
        <v>julho 
2029</v>
      </c>
      <c r="I44" s="247" t="str">
        <v>agosto 
2029</v>
      </c>
      <c r="J44" s="247" t="str">
        <v>setembro 
2029</v>
      </c>
      <c r="K44" s="247" t="str">
        <v>outubro 
2029</v>
      </c>
      <c r="L44" s="247" t="str">
        <v>novembro 
2029</v>
      </c>
      <c r="M44" s="248" t="str">
        <v>dezembro 
2029</v>
      </c>
      <c r="N44" s="246" t="str">
        <f>CONCATENATE("Totais  
",Parametros!G$65)</f>
        <v>Totais  
2029</v>
      </c>
      <c r="O44" s="2541" t="str">
        <f>$O$18</f>
        <v>% incr. interanual</v>
      </c>
      <c r="P44" s="3120" t="s">
        <v>1195</v>
      </c>
    </row>
    <row r="45" spans="1:16" ht="13.5" thickBot="1">
      <c r="A45" s="1541" t="str">
        <f t="array" ref="A45:A52">productos</f>
        <v>produto 1</v>
      </c>
      <c r="B45" s="3162">
        <f t="shared" ref="B45:M45" si="23">ROUND(B32*(1+$O45),0)</f>
        <v>1103</v>
      </c>
      <c r="C45" s="3163">
        <f t="shared" si="23"/>
        <v>1103</v>
      </c>
      <c r="D45" s="3163">
        <f t="shared" si="23"/>
        <v>1103</v>
      </c>
      <c r="E45" s="3163">
        <f t="shared" si="23"/>
        <v>1103</v>
      </c>
      <c r="F45" s="3163">
        <f t="shared" si="23"/>
        <v>1103</v>
      </c>
      <c r="G45" s="3163">
        <f t="shared" si="23"/>
        <v>1103</v>
      </c>
      <c r="H45" s="3163">
        <f t="shared" si="23"/>
        <v>1103</v>
      </c>
      <c r="I45" s="3163">
        <f t="shared" si="23"/>
        <v>1103</v>
      </c>
      <c r="J45" s="3163">
        <f t="shared" si="23"/>
        <v>1103</v>
      </c>
      <c r="K45" s="3163">
        <f t="shared" si="23"/>
        <v>1103</v>
      </c>
      <c r="L45" s="3163">
        <f t="shared" si="23"/>
        <v>1103</v>
      </c>
      <c r="M45" s="3164">
        <f t="shared" si="23"/>
        <v>1103</v>
      </c>
      <c r="N45" s="3165">
        <f t="shared" ref="N45:N52" si="24">SUM(B45:M45)</f>
        <v>13236</v>
      </c>
      <c r="O45" s="2538">
        <f t="shared" ref="O45:O52" si="25">O32</f>
        <v>0.05</v>
      </c>
      <c r="P45" s="3121">
        <f>N45</f>
        <v>13236</v>
      </c>
    </row>
    <row r="46" spans="1:16">
      <c r="A46" s="1542" t="str">
        <v/>
      </c>
      <c r="B46" s="3166">
        <f t="shared" ref="B46:M46" si="26">ROUND(B33*(1+$O46),0)</f>
        <v>0</v>
      </c>
      <c r="C46" s="3167">
        <f t="shared" si="26"/>
        <v>0</v>
      </c>
      <c r="D46" s="3167">
        <f t="shared" si="26"/>
        <v>0</v>
      </c>
      <c r="E46" s="3167">
        <f t="shared" si="26"/>
        <v>0</v>
      </c>
      <c r="F46" s="3167">
        <f t="shared" si="26"/>
        <v>0</v>
      </c>
      <c r="G46" s="3167">
        <f t="shared" si="26"/>
        <v>0</v>
      </c>
      <c r="H46" s="3167">
        <f t="shared" si="26"/>
        <v>0</v>
      </c>
      <c r="I46" s="3167">
        <f t="shared" si="26"/>
        <v>0</v>
      </c>
      <c r="J46" s="3167">
        <f t="shared" si="26"/>
        <v>0</v>
      </c>
      <c r="K46" s="3167">
        <f t="shared" si="26"/>
        <v>0</v>
      </c>
      <c r="L46" s="3167">
        <f t="shared" si="26"/>
        <v>0</v>
      </c>
      <c r="M46" s="3168">
        <f t="shared" si="26"/>
        <v>0</v>
      </c>
      <c r="N46" s="3160">
        <f t="shared" si="24"/>
        <v>0</v>
      </c>
      <c r="O46" s="2539">
        <f t="shared" si="25"/>
        <v>0.05</v>
      </c>
    </row>
    <row r="47" spans="1:16">
      <c r="A47" s="1542" t="str">
        <v/>
      </c>
      <c r="B47" s="3166">
        <f t="shared" ref="B47:M47" si="27">ROUND(B34*(1+$O47),0)</f>
        <v>0</v>
      </c>
      <c r="C47" s="3167">
        <f t="shared" si="27"/>
        <v>0</v>
      </c>
      <c r="D47" s="3167">
        <f t="shared" si="27"/>
        <v>0</v>
      </c>
      <c r="E47" s="3167">
        <f t="shared" si="27"/>
        <v>0</v>
      </c>
      <c r="F47" s="3167">
        <f t="shared" si="27"/>
        <v>0</v>
      </c>
      <c r="G47" s="3167">
        <f t="shared" si="27"/>
        <v>0</v>
      </c>
      <c r="H47" s="3167">
        <f t="shared" si="27"/>
        <v>0</v>
      </c>
      <c r="I47" s="3167">
        <f t="shared" si="27"/>
        <v>0</v>
      </c>
      <c r="J47" s="3167">
        <f t="shared" si="27"/>
        <v>0</v>
      </c>
      <c r="K47" s="3167">
        <f t="shared" si="27"/>
        <v>0</v>
      </c>
      <c r="L47" s="3167">
        <f t="shared" si="27"/>
        <v>0</v>
      </c>
      <c r="M47" s="3168">
        <f t="shared" si="27"/>
        <v>0</v>
      </c>
      <c r="N47" s="3160">
        <f t="shared" si="24"/>
        <v>0</v>
      </c>
      <c r="O47" s="2539">
        <f t="shared" si="25"/>
        <v>0.05</v>
      </c>
    </row>
    <row r="48" spans="1:16">
      <c r="A48" s="1542" t="str">
        <v/>
      </c>
      <c r="B48" s="3166">
        <f t="shared" ref="B48:M48" si="28">ROUND(B35*(1+$O48),0)</f>
        <v>0</v>
      </c>
      <c r="C48" s="3167">
        <f t="shared" si="28"/>
        <v>0</v>
      </c>
      <c r="D48" s="3167">
        <f t="shared" si="28"/>
        <v>0</v>
      </c>
      <c r="E48" s="3167">
        <f t="shared" si="28"/>
        <v>0</v>
      </c>
      <c r="F48" s="3167">
        <f t="shared" si="28"/>
        <v>0</v>
      </c>
      <c r="G48" s="3167">
        <f t="shared" si="28"/>
        <v>0</v>
      </c>
      <c r="H48" s="3167">
        <f t="shared" si="28"/>
        <v>0</v>
      </c>
      <c r="I48" s="3167">
        <f t="shared" si="28"/>
        <v>0</v>
      </c>
      <c r="J48" s="3167">
        <f t="shared" si="28"/>
        <v>0</v>
      </c>
      <c r="K48" s="3167">
        <f t="shared" si="28"/>
        <v>0</v>
      </c>
      <c r="L48" s="3167">
        <f t="shared" si="28"/>
        <v>0</v>
      </c>
      <c r="M48" s="3168">
        <f t="shared" si="28"/>
        <v>0</v>
      </c>
      <c r="N48" s="3160">
        <f t="shared" si="24"/>
        <v>0</v>
      </c>
      <c r="O48" s="2539">
        <f t="shared" si="25"/>
        <v>0.05</v>
      </c>
    </row>
    <row r="49" spans="1:16">
      <c r="A49" s="1542" t="str">
        <v/>
      </c>
      <c r="B49" s="3166">
        <f t="shared" ref="B49:M49" si="29">ROUND(B36*(1+$O49),0)</f>
        <v>0</v>
      </c>
      <c r="C49" s="3167">
        <f t="shared" si="29"/>
        <v>0</v>
      </c>
      <c r="D49" s="3167">
        <f t="shared" si="29"/>
        <v>0</v>
      </c>
      <c r="E49" s="3167">
        <f t="shared" si="29"/>
        <v>0</v>
      </c>
      <c r="F49" s="3167">
        <f t="shared" si="29"/>
        <v>0</v>
      </c>
      <c r="G49" s="3167">
        <f t="shared" si="29"/>
        <v>0</v>
      </c>
      <c r="H49" s="3167">
        <f t="shared" si="29"/>
        <v>0</v>
      </c>
      <c r="I49" s="3167">
        <f t="shared" si="29"/>
        <v>0</v>
      </c>
      <c r="J49" s="3167">
        <f t="shared" si="29"/>
        <v>0</v>
      </c>
      <c r="K49" s="3167">
        <f t="shared" si="29"/>
        <v>0</v>
      </c>
      <c r="L49" s="3167">
        <f t="shared" si="29"/>
        <v>0</v>
      </c>
      <c r="M49" s="3168">
        <f t="shared" si="29"/>
        <v>0</v>
      </c>
      <c r="N49" s="3160">
        <f t="shared" si="24"/>
        <v>0</v>
      </c>
      <c r="O49" s="2539">
        <f t="shared" si="25"/>
        <v>0.05</v>
      </c>
    </row>
    <row r="50" spans="1:16">
      <c r="A50" s="1542" t="str">
        <v/>
      </c>
      <c r="B50" s="3166">
        <f t="shared" ref="B50:M50" si="30">ROUND(B37*(1+$O50),0)</f>
        <v>0</v>
      </c>
      <c r="C50" s="3167">
        <f t="shared" si="30"/>
        <v>0</v>
      </c>
      <c r="D50" s="3167">
        <f t="shared" si="30"/>
        <v>0</v>
      </c>
      <c r="E50" s="3167">
        <f t="shared" si="30"/>
        <v>0</v>
      </c>
      <c r="F50" s="3167">
        <f t="shared" si="30"/>
        <v>0</v>
      </c>
      <c r="G50" s="3167">
        <f t="shared" si="30"/>
        <v>0</v>
      </c>
      <c r="H50" s="3167">
        <f t="shared" si="30"/>
        <v>0</v>
      </c>
      <c r="I50" s="3167">
        <f t="shared" si="30"/>
        <v>0</v>
      </c>
      <c r="J50" s="3167">
        <f t="shared" si="30"/>
        <v>0</v>
      </c>
      <c r="K50" s="3167">
        <f t="shared" si="30"/>
        <v>0</v>
      </c>
      <c r="L50" s="3167">
        <f t="shared" si="30"/>
        <v>0</v>
      </c>
      <c r="M50" s="3168">
        <f t="shared" si="30"/>
        <v>0</v>
      </c>
      <c r="N50" s="3160">
        <f t="shared" si="24"/>
        <v>0</v>
      </c>
      <c r="O50" s="2539">
        <f t="shared" si="25"/>
        <v>0.05</v>
      </c>
    </row>
    <row r="51" spans="1:16">
      <c r="A51" s="1542" t="str">
        <v/>
      </c>
      <c r="B51" s="3166">
        <f t="shared" ref="B51:M51" si="31">ROUND(B38*(1+$O51),0)</f>
        <v>0</v>
      </c>
      <c r="C51" s="3167">
        <f t="shared" si="31"/>
        <v>0</v>
      </c>
      <c r="D51" s="3167">
        <f t="shared" si="31"/>
        <v>0</v>
      </c>
      <c r="E51" s="3167">
        <f t="shared" si="31"/>
        <v>0</v>
      </c>
      <c r="F51" s="3167">
        <f t="shared" si="31"/>
        <v>0</v>
      </c>
      <c r="G51" s="3167">
        <f t="shared" si="31"/>
        <v>0</v>
      </c>
      <c r="H51" s="3167">
        <f t="shared" si="31"/>
        <v>0</v>
      </c>
      <c r="I51" s="3167">
        <f t="shared" si="31"/>
        <v>0</v>
      </c>
      <c r="J51" s="3167">
        <f t="shared" si="31"/>
        <v>0</v>
      </c>
      <c r="K51" s="3167">
        <f t="shared" si="31"/>
        <v>0</v>
      </c>
      <c r="L51" s="3167">
        <f t="shared" si="31"/>
        <v>0</v>
      </c>
      <c r="M51" s="3168">
        <f t="shared" si="31"/>
        <v>0</v>
      </c>
      <c r="N51" s="3160">
        <f t="shared" si="24"/>
        <v>0</v>
      </c>
      <c r="O51" s="2539">
        <f t="shared" si="25"/>
        <v>0.05</v>
      </c>
    </row>
    <row r="52" spans="1:16" ht="13.5" thickBot="1">
      <c r="A52" s="1543" t="str">
        <v/>
      </c>
      <c r="B52" s="3169">
        <f t="shared" ref="B52:M52" si="32">ROUND(B39*(1+$O52),0)</f>
        <v>0</v>
      </c>
      <c r="C52" s="3170">
        <f t="shared" si="32"/>
        <v>0</v>
      </c>
      <c r="D52" s="3170">
        <f t="shared" si="32"/>
        <v>0</v>
      </c>
      <c r="E52" s="3170">
        <f t="shared" si="32"/>
        <v>0</v>
      </c>
      <c r="F52" s="3170">
        <f t="shared" si="32"/>
        <v>0</v>
      </c>
      <c r="G52" s="3170">
        <f t="shared" si="32"/>
        <v>0</v>
      </c>
      <c r="H52" s="3170">
        <f t="shared" si="32"/>
        <v>0</v>
      </c>
      <c r="I52" s="3170">
        <f t="shared" si="32"/>
        <v>0</v>
      </c>
      <c r="J52" s="3170">
        <f t="shared" si="32"/>
        <v>0</v>
      </c>
      <c r="K52" s="3170">
        <f t="shared" si="32"/>
        <v>0</v>
      </c>
      <c r="L52" s="3170">
        <f t="shared" si="32"/>
        <v>0</v>
      </c>
      <c r="M52" s="3171">
        <f t="shared" si="32"/>
        <v>0</v>
      </c>
      <c r="N52" s="3161">
        <f t="shared" si="24"/>
        <v>0</v>
      </c>
      <c r="O52" s="2540">
        <f t="shared" si="25"/>
        <v>0.05</v>
      </c>
    </row>
    <row r="53" spans="1:16" ht="13.5" thickBot="1">
      <c r="A53" s="105" t="s">
        <v>3</v>
      </c>
      <c r="B53" s="938">
        <f t="shared" ref="B53:M53" si="33">B45+B46+B47+B48+B49+B50+B51+B52</f>
        <v>1103</v>
      </c>
      <c r="C53" s="939">
        <f t="shared" si="33"/>
        <v>1103</v>
      </c>
      <c r="D53" s="939">
        <f t="shared" si="33"/>
        <v>1103</v>
      </c>
      <c r="E53" s="939">
        <f t="shared" si="33"/>
        <v>1103</v>
      </c>
      <c r="F53" s="939">
        <f t="shared" si="33"/>
        <v>1103</v>
      </c>
      <c r="G53" s="939">
        <f t="shared" si="33"/>
        <v>1103</v>
      </c>
      <c r="H53" s="939">
        <f t="shared" si="33"/>
        <v>1103</v>
      </c>
      <c r="I53" s="939">
        <f t="shared" si="33"/>
        <v>1103</v>
      </c>
      <c r="J53" s="939">
        <f t="shared" si="33"/>
        <v>1103</v>
      </c>
      <c r="K53" s="939">
        <f t="shared" si="33"/>
        <v>1103</v>
      </c>
      <c r="L53" s="939">
        <f t="shared" si="33"/>
        <v>1103</v>
      </c>
      <c r="M53" s="940">
        <f t="shared" si="33"/>
        <v>1103</v>
      </c>
      <c r="N53" s="437">
        <f>SUM(B53:M53)</f>
        <v>13236</v>
      </c>
    </row>
    <row r="56" spans="1:16" ht="20.25" thickBot="1">
      <c r="A56" s="250" t="str">
        <f>A43</f>
        <v>Previsões de Vendas da empresa</v>
      </c>
      <c r="E56" s="2733" t="str">
        <f>Parametros!F$77</f>
        <v>Ano 4:  2030</v>
      </c>
      <c r="F56" s="244"/>
    </row>
    <row r="57" spans="1:16" ht="31.5" customHeight="1" thickBot="1">
      <c r="A57" s="249" t="s">
        <v>625</v>
      </c>
      <c r="B57" s="247" t="str">
        <f t="array" ref="B57:M57">CONCATENATE(meses," 
",Parametros!B$76:M$76+4)</f>
        <v>janeiro 
2030</v>
      </c>
      <c r="C57" s="247" t="str">
        <v>fevereiro 
2030</v>
      </c>
      <c r="D57" s="247" t="str">
        <v>março 
2030</v>
      </c>
      <c r="E57" s="247" t="str">
        <v>abril 
2030</v>
      </c>
      <c r="F57" s="247" t="str">
        <v>maio 
2030</v>
      </c>
      <c r="G57" s="247" t="str">
        <v>junho 
2030</v>
      </c>
      <c r="H57" s="247" t="str">
        <v>julho 
2030</v>
      </c>
      <c r="I57" s="247" t="str">
        <v>agosto 
2030</v>
      </c>
      <c r="J57" s="247" t="str">
        <v>setembro 
2030</v>
      </c>
      <c r="K57" s="247" t="str">
        <v>outubro 
2030</v>
      </c>
      <c r="L57" s="247" t="str">
        <v>novembro 
2030</v>
      </c>
      <c r="M57" s="248" t="str">
        <v>dezembro 
2030</v>
      </c>
      <c r="N57" s="246" t="str">
        <f>CONCATENATE("Totais  
",Parametros!H$65)</f>
        <v>Totais  
2030</v>
      </c>
      <c r="O57" s="2541" t="str">
        <f>$O$18</f>
        <v>% incr. interanual</v>
      </c>
      <c r="P57" s="3120" t="s">
        <v>1195</v>
      </c>
    </row>
    <row r="58" spans="1:16" ht="13.5" thickBot="1">
      <c r="A58" s="1541" t="str">
        <f t="array" ref="A58:A65">productos</f>
        <v>produto 1</v>
      </c>
      <c r="B58" s="3162">
        <f t="shared" ref="B58:M58" si="34">ROUND(B45*(1+$O58),0)</f>
        <v>1158</v>
      </c>
      <c r="C58" s="3163">
        <f t="shared" si="34"/>
        <v>1158</v>
      </c>
      <c r="D58" s="3163">
        <f t="shared" si="34"/>
        <v>1158</v>
      </c>
      <c r="E58" s="3163">
        <f t="shared" si="34"/>
        <v>1158</v>
      </c>
      <c r="F58" s="3163">
        <f t="shared" si="34"/>
        <v>1158</v>
      </c>
      <c r="G58" s="3163">
        <f t="shared" si="34"/>
        <v>1158</v>
      </c>
      <c r="H58" s="3163">
        <f t="shared" si="34"/>
        <v>1158</v>
      </c>
      <c r="I58" s="3163">
        <f t="shared" si="34"/>
        <v>1158</v>
      </c>
      <c r="J58" s="3163">
        <f t="shared" si="34"/>
        <v>1158</v>
      </c>
      <c r="K58" s="3163">
        <f t="shared" si="34"/>
        <v>1158</v>
      </c>
      <c r="L58" s="3163">
        <f t="shared" si="34"/>
        <v>1158</v>
      </c>
      <c r="M58" s="3164">
        <f t="shared" si="34"/>
        <v>1158</v>
      </c>
      <c r="N58" s="3165">
        <f t="shared" ref="N58:N65" si="35">SUM(B58:M58)</f>
        <v>13896</v>
      </c>
      <c r="O58" s="2538">
        <f t="shared" ref="O58:O65" si="36">O45</f>
        <v>0.05</v>
      </c>
      <c r="P58" s="3121">
        <f>N58</f>
        <v>13896</v>
      </c>
    </row>
    <row r="59" spans="1:16">
      <c r="A59" s="1542" t="str">
        <v/>
      </c>
      <c r="B59" s="3166">
        <f t="shared" ref="B59:M59" si="37">ROUND(B46*(1+$O59),0)</f>
        <v>0</v>
      </c>
      <c r="C59" s="3167">
        <f>ROUND(C46*(1+$O59),0)</f>
        <v>0</v>
      </c>
      <c r="D59" s="3167">
        <f t="shared" si="37"/>
        <v>0</v>
      </c>
      <c r="E59" s="3167">
        <f t="shared" si="37"/>
        <v>0</v>
      </c>
      <c r="F59" s="3167">
        <f t="shared" si="37"/>
        <v>0</v>
      </c>
      <c r="G59" s="3167">
        <f t="shared" si="37"/>
        <v>0</v>
      </c>
      <c r="H59" s="3167">
        <f t="shared" si="37"/>
        <v>0</v>
      </c>
      <c r="I59" s="3167">
        <f t="shared" si="37"/>
        <v>0</v>
      </c>
      <c r="J59" s="3167">
        <f t="shared" si="37"/>
        <v>0</v>
      </c>
      <c r="K59" s="3167">
        <f>ROUND(K46*(1+$O59),0)</f>
        <v>0</v>
      </c>
      <c r="L59" s="3167">
        <f t="shared" si="37"/>
        <v>0</v>
      </c>
      <c r="M59" s="3168">
        <f t="shared" si="37"/>
        <v>0</v>
      </c>
      <c r="N59" s="3160">
        <f t="shared" si="35"/>
        <v>0</v>
      </c>
      <c r="O59" s="2539">
        <f t="shared" si="36"/>
        <v>0.05</v>
      </c>
    </row>
    <row r="60" spans="1:16">
      <c r="A60" s="1542" t="str">
        <v/>
      </c>
      <c r="B60" s="3166">
        <f t="shared" ref="B60:M60" si="38">ROUND(B47*(1+$O60),0)</f>
        <v>0</v>
      </c>
      <c r="C60" s="3167">
        <f t="shared" si="38"/>
        <v>0</v>
      </c>
      <c r="D60" s="3167">
        <f t="shared" si="38"/>
        <v>0</v>
      </c>
      <c r="E60" s="3167">
        <f t="shared" si="38"/>
        <v>0</v>
      </c>
      <c r="F60" s="3167">
        <f t="shared" si="38"/>
        <v>0</v>
      </c>
      <c r="G60" s="3167">
        <f t="shared" si="38"/>
        <v>0</v>
      </c>
      <c r="H60" s="3167">
        <f t="shared" si="38"/>
        <v>0</v>
      </c>
      <c r="I60" s="3167">
        <f t="shared" si="38"/>
        <v>0</v>
      </c>
      <c r="J60" s="3167">
        <f t="shared" si="38"/>
        <v>0</v>
      </c>
      <c r="K60" s="3167">
        <f t="shared" si="38"/>
        <v>0</v>
      </c>
      <c r="L60" s="3167">
        <f t="shared" si="38"/>
        <v>0</v>
      </c>
      <c r="M60" s="3168">
        <f t="shared" si="38"/>
        <v>0</v>
      </c>
      <c r="N60" s="3160">
        <f t="shared" si="35"/>
        <v>0</v>
      </c>
      <c r="O60" s="2539">
        <f t="shared" si="36"/>
        <v>0.05</v>
      </c>
    </row>
    <row r="61" spans="1:16">
      <c r="A61" s="1542" t="str">
        <v/>
      </c>
      <c r="B61" s="3166">
        <f t="shared" ref="B61:M61" si="39">ROUND(B48*(1+$O61),0)</f>
        <v>0</v>
      </c>
      <c r="C61" s="3167">
        <f t="shared" si="39"/>
        <v>0</v>
      </c>
      <c r="D61" s="3167">
        <f t="shared" si="39"/>
        <v>0</v>
      </c>
      <c r="E61" s="3167">
        <f t="shared" si="39"/>
        <v>0</v>
      </c>
      <c r="F61" s="3167">
        <f t="shared" si="39"/>
        <v>0</v>
      </c>
      <c r="G61" s="3167">
        <f t="shared" si="39"/>
        <v>0</v>
      </c>
      <c r="H61" s="3167">
        <f t="shared" si="39"/>
        <v>0</v>
      </c>
      <c r="I61" s="3167">
        <f t="shared" si="39"/>
        <v>0</v>
      </c>
      <c r="J61" s="3167">
        <f t="shared" si="39"/>
        <v>0</v>
      </c>
      <c r="K61" s="3167">
        <f t="shared" si="39"/>
        <v>0</v>
      </c>
      <c r="L61" s="3167">
        <f t="shared" si="39"/>
        <v>0</v>
      </c>
      <c r="M61" s="3168">
        <f t="shared" si="39"/>
        <v>0</v>
      </c>
      <c r="N61" s="3160">
        <f t="shared" si="35"/>
        <v>0</v>
      </c>
      <c r="O61" s="2539">
        <f t="shared" si="36"/>
        <v>0.05</v>
      </c>
    </row>
    <row r="62" spans="1:16">
      <c r="A62" s="1542" t="str">
        <v/>
      </c>
      <c r="B62" s="3166">
        <f t="shared" ref="B62:M62" si="40">ROUND(B49*(1+$O62),0)</f>
        <v>0</v>
      </c>
      <c r="C62" s="3167">
        <f t="shared" si="40"/>
        <v>0</v>
      </c>
      <c r="D62" s="3167">
        <f t="shared" si="40"/>
        <v>0</v>
      </c>
      <c r="E62" s="3167">
        <f t="shared" si="40"/>
        <v>0</v>
      </c>
      <c r="F62" s="3167">
        <f t="shared" si="40"/>
        <v>0</v>
      </c>
      <c r="G62" s="3167">
        <f t="shared" si="40"/>
        <v>0</v>
      </c>
      <c r="H62" s="3167">
        <f t="shared" si="40"/>
        <v>0</v>
      </c>
      <c r="I62" s="3167">
        <f t="shared" si="40"/>
        <v>0</v>
      </c>
      <c r="J62" s="3167">
        <f t="shared" si="40"/>
        <v>0</v>
      </c>
      <c r="K62" s="3167">
        <f t="shared" si="40"/>
        <v>0</v>
      </c>
      <c r="L62" s="3167">
        <f t="shared" si="40"/>
        <v>0</v>
      </c>
      <c r="M62" s="3168">
        <f t="shared" si="40"/>
        <v>0</v>
      </c>
      <c r="N62" s="3160">
        <f t="shared" si="35"/>
        <v>0</v>
      </c>
      <c r="O62" s="2539">
        <f t="shared" si="36"/>
        <v>0.05</v>
      </c>
    </row>
    <row r="63" spans="1:16">
      <c r="A63" s="1542" t="str">
        <v/>
      </c>
      <c r="B63" s="3166">
        <f t="shared" ref="B63:M63" si="41">ROUND(B50*(1+$O63),0)</f>
        <v>0</v>
      </c>
      <c r="C63" s="3167">
        <f t="shared" si="41"/>
        <v>0</v>
      </c>
      <c r="D63" s="3167">
        <f t="shared" si="41"/>
        <v>0</v>
      </c>
      <c r="E63" s="3167">
        <f t="shared" si="41"/>
        <v>0</v>
      </c>
      <c r="F63" s="3167">
        <f t="shared" si="41"/>
        <v>0</v>
      </c>
      <c r="G63" s="3167">
        <f t="shared" si="41"/>
        <v>0</v>
      </c>
      <c r="H63" s="3167">
        <f t="shared" si="41"/>
        <v>0</v>
      </c>
      <c r="I63" s="3167">
        <f t="shared" si="41"/>
        <v>0</v>
      </c>
      <c r="J63" s="3167">
        <f t="shared" si="41"/>
        <v>0</v>
      </c>
      <c r="K63" s="3167">
        <f t="shared" si="41"/>
        <v>0</v>
      </c>
      <c r="L63" s="3167">
        <f t="shared" si="41"/>
        <v>0</v>
      </c>
      <c r="M63" s="3168">
        <f t="shared" si="41"/>
        <v>0</v>
      </c>
      <c r="N63" s="3160">
        <f t="shared" si="35"/>
        <v>0</v>
      </c>
      <c r="O63" s="2539">
        <f t="shared" si="36"/>
        <v>0.05</v>
      </c>
    </row>
    <row r="64" spans="1:16">
      <c r="A64" s="1542" t="str">
        <v/>
      </c>
      <c r="B64" s="3166">
        <f t="shared" ref="B64:M64" si="42">ROUND(B51*(1+$O64),0)</f>
        <v>0</v>
      </c>
      <c r="C64" s="3167">
        <f t="shared" si="42"/>
        <v>0</v>
      </c>
      <c r="D64" s="3167">
        <f t="shared" si="42"/>
        <v>0</v>
      </c>
      <c r="E64" s="3167">
        <f t="shared" si="42"/>
        <v>0</v>
      </c>
      <c r="F64" s="3167">
        <f t="shared" si="42"/>
        <v>0</v>
      </c>
      <c r="G64" s="3167">
        <f t="shared" si="42"/>
        <v>0</v>
      </c>
      <c r="H64" s="3167">
        <f t="shared" si="42"/>
        <v>0</v>
      </c>
      <c r="I64" s="3167">
        <f t="shared" si="42"/>
        <v>0</v>
      </c>
      <c r="J64" s="3167">
        <f t="shared" si="42"/>
        <v>0</v>
      </c>
      <c r="K64" s="3167">
        <f t="shared" si="42"/>
        <v>0</v>
      </c>
      <c r="L64" s="3167">
        <f t="shared" si="42"/>
        <v>0</v>
      </c>
      <c r="M64" s="3168">
        <f t="shared" si="42"/>
        <v>0</v>
      </c>
      <c r="N64" s="3160">
        <f t="shared" si="35"/>
        <v>0</v>
      </c>
      <c r="O64" s="2539">
        <f t="shared" si="36"/>
        <v>0.05</v>
      </c>
    </row>
    <row r="65" spans="1:15" ht="13.5" thickBot="1">
      <c r="A65" s="1543" t="str">
        <v/>
      </c>
      <c r="B65" s="3169">
        <f t="shared" ref="B65:M65" si="43">ROUND(B52*(1+$O65),0)</f>
        <v>0</v>
      </c>
      <c r="C65" s="3170">
        <f t="shared" si="43"/>
        <v>0</v>
      </c>
      <c r="D65" s="3170">
        <f t="shared" si="43"/>
        <v>0</v>
      </c>
      <c r="E65" s="3170">
        <f t="shared" si="43"/>
        <v>0</v>
      </c>
      <c r="F65" s="3170">
        <f t="shared" si="43"/>
        <v>0</v>
      </c>
      <c r="G65" s="3170">
        <f t="shared" si="43"/>
        <v>0</v>
      </c>
      <c r="H65" s="3170">
        <f t="shared" si="43"/>
        <v>0</v>
      </c>
      <c r="I65" s="3170">
        <f t="shared" si="43"/>
        <v>0</v>
      </c>
      <c r="J65" s="3170">
        <f t="shared" si="43"/>
        <v>0</v>
      </c>
      <c r="K65" s="3170">
        <f t="shared" si="43"/>
        <v>0</v>
      </c>
      <c r="L65" s="3170">
        <f t="shared" si="43"/>
        <v>0</v>
      </c>
      <c r="M65" s="3171">
        <f t="shared" si="43"/>
        <v>0</v>
      </c>
      <c r="N65" s="3161">
        <f t="shared" si="35"/>
        <v>0</v>
      </c>
      <c r="O65" s="2540">
        <f t="shared" si="36"/>
        <v>0.05</v>
      </c>
    </row>
    <row r="66" spans="1:15" ht="13.5" thickBot="1">
      <c r="A66" s="105" t="s">
        <v>3</v>
      </c>
      <c r="B66" s="938">
        <f t="shared" ref="B66:M66" si="44">B58+B59+B60+B61+B62+B63+B64+B65</f>
        <v>1158</v>
      </c>
      <c r="C66" s="939">
        <f t="shared" si="44"/>
        <v>1158</v>
      </c>
      <c r="D66" s="939">
        <f t="shared" si="44"/>
        <v>1158</v>
      </c>
      <c r="E66" s="939">
        <f t="shared" si="44"/>
        <v>1158</v>
      </c>
      <c r="F66" s="939">
        <f t="shared" si="44"/>
        <v>1158</v>
      </c>
      <c r="G66" s="939">
        <f t="shared" si="44"/>
        <v>1158</v>
      </c>
      <c r="H66" s="939">
        <f t="shared" si="44"/>
        <v>1158</v>
      </c>
      <c r="I66" s="939">
        <f t="shared" si="44"/>
        <v>1158</v>
      </c>
      <c r="J66" s="939">
        <f t="shared" si="44"/>
        <v>1158</v>
      </c>
      <c r="K66" s="939">
        <f t="shared" si="44"/>
        <v>1158</v>
      </c>
      <c r="L66" s="939">
        <f t="shared" si="44"/>
        <v>1158</v>
      </c>
      <c r="M66" s="940">
        <f t="shared" si="44"/>
        <v>1158</v>
      </c>
      <c r="N66" s="437">
        <f>SUM(B66:M66)</f>
        <v>13896</v>
      </c>
    </row>
    <row r="69" spans="1:15" ht="20.25" thickBot="1">
      <c r="A69" s="250" t="str">
        <f>A56</f>
        <v>Previsões de Vendas da empresa</v>
      </c>
      <c r="E69" s="2733" t="str">
        <f>Parametros!G$77</f>
        <v>Ano 5:  2031</v>
      </c>
      <c r="F69" s="244"/>
    </row>
    <row r="70" spans="1:15" ht="31.5" customHeight="1" thickBot="1">
      <c r="A70" s="249" t="s">
        <v>625</v>
      </c>
      <c r="B70" s="247" t="str">
        <f t="array" ref="B70:M70">CONCATENATE(meses," 
",Parametros!B$76:M$76+5)</f>
        <v>janeiro 
2031</v>
      </c>
      <c r="C70" s="247" t="str">
        <v>fevereiro 
2031</v>
      </c>
      <c r="D70" s="247" t="str">
        <v>março 
2031</v>
      </c>
      <c r="E70" s="247" t="str">
        <v>abril 
2031</v>
      </c>
      <c r="F70" s="247" t="str">
        <v>maio 
2031</v>
      </c>
      <c r="G70" s="247" t="str">
        <v>junho 
2031</v>
      </c>
      <c r="H70" s="247" t="str">
        <v>julho 
2031</v>
      </c>
      <c r="I70" s="247" t="str">
        <v>agosto 
2031</v>
      </c>
      <c r="J70" s="247" t="str">
        <v>setembro 
2031</v>
      </c>
      <c r="K70" s="247" t="str">
        <v>outubro 
2031</v>
      </c>
      <c r="L70" s="247" t="str">
        <v>novembro 
2031</v>
      </c>
      <c r="M70" s="248" t="str">
        <v>dezembro 
2031</v>
      </c>
      <c r="N70" s="246" t="str">
        <f>CONCATENATE("Totais  
",Parametros!I$65)</f>
        <v>Totais  
2031</v>
      </c>
    </row>
    <row r="71" spans="1:15">
      <c r="A71" s="1541" t="str">
        <f t="array" ref="A71:A78">productos</f>
        <v>produto 1</v>
      </c>
      <c r="B71" s="3162">
        <f t="shared" ref="B71:M71" si="45">ROUND(B58*(1+$O71),0)</f>
        <v>1158</v>
      </c>
      <c r="C71" s="3163">
        <f t="shared" si="45"/>
        <v>1158</v>
      </c>
      <c r="D71" s="3163">
        <f t="shared" si="45"/>
        <v>1158</v>
      </c>
      <c r="E71" s="3163">
        <f t="shared" si="45"/>
        <v>1158</v>
      </c>
      <c r="F71" s="3163">
        <f t="shared" si="45"/>
        <v>1158</v>
      </c>
      <c r="G71" s="3163">
        <f t="shared" si="45"/>
        <v>1158</v>
      </c>
      <c r="H71" s="3163">
        <f t="shared" si="45"/>
        <v>1158</v>
      </c>
      <c r="I71" s="3163">
        <f t="shared" si="45"/>
        <v>1158</v>
      </c>
      <c r="J71" s="3163">
        <f t="shared" si="45"/>
        <v>1158</v>
      </c>
      <c r="K71" s="3163">
        <f t="shared" si="45"/>
        <v>1158</v>
      </c>
      <c r="L71" s="3163">
        <f t="shared" si="45"/>
        <v>1158</v>
      </c>
      <c r="M71" s="3164">
        <f t="shared" si="45"/>
        <v>1158</v>
      </c>
      <c r="N71" s="3165">
        <f t="shared" ref="N71:N78" si="46">SUM(B71:M71)</f>
        <v>13896</v>
      </c>
    </row>
    <row r="72" spans="1:15">
      <c r="A72" s="1542" t="str">
        <v/>
      </c>
      <c r="B72" s="3166">
        <f t="shared" ref="B72:M72" si="47">ROUND(B59*(1+$O72),0)</f>
        <v>0</v>
      </c>
      <c r="C72" s="3167">
        <f t="shared" si="47"/>
        <v>0</v>
      </c>
      <c r="D72" s="3167">
        <f t="shared" si="47"/>
        <v>0</v>
      </c>
      <c r="E72" s="3167">
        <f t="shared" si="47"/>
        <v>0</v>
      </c>
      <c r="F72" s="3167">
        <f t="shared" si="47"/>
        <v>0</v>
      </c>
      <c r="G72" s="3167">
        <f t="shared" si="47"/>
        <v>0</v>
      </c>
      <c r="H72" s="3167">
        <f t="shared" si="47"/>
        <v>0</v>
      </c>
      <c r="I72" s="3167">
        <f t="shared" si="47"/>
        <v>0</v>
      </c>
      <c r="J72" s="3167">
        <f t="shared" si="47"/>
        <v>0</v>
      </c>
      <c r="K72" s="3167">
        <f t="shared" si="47"/>
        <v>0</v>
      </c>
      <c r="L72" s="3167">
        <f t="shared" si="47"/>
        <v>0</v>
      </c>
      <c r="M72" s="3168">
        <f t="shared" si="47"/>
        <v>0</v>
      </c>
      <c r="N72" s="3160">
        <f t="shared" si="46"/>
        <v>0</v>
      </c>
    </row>
    <row r="73" spans="1:15">
      <c r="A73" s="1542" t="str">
        <v/>
      </c>
      <c r="B73" s="3166">
        <f t="shared" ref="B73:M73" si="48">ROUND(B60*(1+$O73),0)</f>
        <v>0</v>
      </c>
      <c r="C73" s="3167">
        <f t="shared" si="48"/>
        <v>0</v>
      </c>
      <c r="D73" s="3167">
        <f t="shared" si="48"/>
        <v>0</v>
      </c>
      <c r="E73" s="3167">
        <f t="shared" si="48"/>
        <v>0</v>
      </c>
      <c r="F73" s="3167">
        <f t="shared" si="48"/>
        <v>0</v>
      </c>
      <c r="G73" s="3167">
        <f t="shared" si="48"/>
        <v>0</v>
      </c>
      <c r="H73" s="3167">
        <f t="shared" si="48"/>
        <v>0</v>
      </c>
      <c r="I73" s="3167">
        <f t="shared" si="48"/>
        <v>0</v>
      </c>
      <c r="J73" s="3167">
        <f t="shared" si="48"/>
        <v>0</v>
      </c>
      <c r="K73" s="3167">
        <f t="shared" si="48"/>
        <v>0</v>
      </c>
      <c r="L73" s="3167">
        <f t="shared" si="48"/>
        <v>0</v>
      </c>
      <c r="M73" s="3168">
        <f t="shared" si="48"/>
        <v>0</v>
      </c>
      <c r="N73" s="3160">
        <f t="shared" si="46"/>
        <v>0</v>
      </c>
    </row>
    <row r="74" spans="1:15">
      <c r="A74" s="1542" t="str">
        <v/>
      </c>
      <c r="B74" s="3166">
        <f t="shared" ref="B74:M74" si="49">ROUND(B61*(1+$O74),0)</f>
        <v>0</v>
      </c>
      <c r="C74" s="3167">
        <f t="shared" si="49"/>
        <v>0</v>
      </c>
      <c r="D74" s="3167">
        <f t="shared" si="49"/>
        <v>0</v>
      </c>
      <c r="E74" s="3167">
        <f t="shared" si="49"/>
        <v>0</v>
      </c>
      <c r="F74" s="3167">
        <f t="shared" si="49"/>
        <v>0</v>
      </c>
      <c r="G74" s="3167">
        <f t="shared" si="49"/>
        <v>0</v>
      </c>
      <c r="H74" s="3167">
        <f t="shared" si="49"/>
        <v>0</v>
      </c>
      <c r="I74" s="3167">
        <f t="shared" si="49"/>
        <v>0</v>
      </c>
      <c r="J74" s="3167">
        <f t="shared" si="49"/>
        <v>0</v>
      </c>
      <c r="K74" s="3167">
        <f t="shared" si="49"/>
        <v>0</v>
      </c>
      <c r="L74" s="3167">
        <f t="shared" si="49"/>
        <v>0</v>
      </c>
      <c r="M74" s="3168">
        <f t="shared" si="49"/>
        <v>0</v>
      </c>
      <c r="N74" s="3160">
        <f t="shared" si="46"/>
        <v>0</v>
      </c>
    </row>
    <row r="75" spans="1:15">
      <c r="A75" s="1542" t="str">
        <v/>
      </c>
      <c r="B75" s="3166">
        <f t="shared" ref="B75:M75" si="50">ROUND(B62*(1+$O75),0)</f>
        <v>0</v>
      </c>
      <c r="C75" s="3167">
        <f t="shared" si="50"/>
        <v>0</v>
      </c>
      <c r="D75" s="3167">
        <f t="shared" si="50"/>
        <v>0</v>
      </c>
      <c r="E75" s="3167">
        <f t="shared" si="50"/>
        <v>0</v>
      </c>
      <c r="F75" s="3167">
        <f t="shared" si="50"/>
        <v>0</v>
      </c>
      <c r="G75" s="3167">
        <f t="shared" si="50"/>
        <v>0</v>
      </c>
      <c r="H75" s="3167">
        <f t="shared" si="50"/>
        <v>0</v>
      </c>
      <c r="I75" s="3167">
        <f t="shared" si="50"/>
        <v>0</v>
      </c>
      <c r="J75" s="3167">
        <f t="shared" si="50"/>
        <v>0</v>
      </c>
      <c r="K75" s="3167">
        <f t="shared" si="50"/>
        <v>0</v>
      </c>
      <c r="L75" s="3167">
        <f t="shared" si="50"/>
        <v>0</v>
      </c>
      <c r="M75" s="3168">
        <f t="shared" si="50"/>
        <v>0</v>
      </c>
      <c r="N75" s="3160">
        <f t="shared" si="46"/>
        <v>0</v>
      </c>
    </row>
    <row r="76" spans="1:15">
      <c r="A76" s="1542" t="str">
        <v/>
      </c>
      <c r="B76" s="3166">
        <f t="shared" ref="B76:M76" si="51">ROUND(B63*(1+$O76),0)</f>
        <v>0</v>
      </c>
      <c r="C76" s="3167">
        <f t="shared" si="51"/>
        <v>0</v>
      </c>
      <c r="D76" s="3167">
        <f t="shared" si="51"/>
        <v>0</v>
      </c>
      <c r="E76" s="3167">
        <f t="shared" si="51"/>
        <v>0</v>
      </c>
      <c r="F76" s="3167">
        <f t="shared" si="51"/>
        <v>0</v>
      </c>
      <c r="G76" s="3167">
        <f t="shared" si="51"/>
        <v>0</v>
      </c>
      <c r="H76" s="3167">
        <f t="shared" si="51"/>
        <v>0</v>
      </c>
      <c r="I76" s="3167">
        <f t="shared" si="51"/>
        <v>0</v>
      </c>
      <c r="J76" s="3167">
        <f t="shared" si="51"/>
        <v>0</v>
      </c>
      <c r="K76" s="3167">
        <f t="shared" si="51"/>
        <v>0</v>
      </c>
      <c r="L76" s="3167">
        <f t="shared" si="51"/>
        <v>0</v>
      </c>
      <c r="M76" s="3168">
        <f t="shared" si="51"/>
        <v>0</v>
      </c>
      <c r="N76" s="3160">
        <f t="shared" si="46"/>
        <v>0</v>
      </c>
    </row>
    <row r="77" spans="1:15">
      <c r="A77" s="1542" t="str">
        <v/>
      </c>
      <c r="B77" s="3166">
        <f t="shared" ref="B77:M77" si="52">ROUND(B64*(1+$O77),0)</f>
        <v>0</v>
      </c>
      <c r="C77" s="3167">
        <f t="shared" si="52"/>
        <v>0</v>
      </c>
      <c r="D77" s="3167">
        <f t="shared" si="52"/>
        <v>0</v>
      </c>
      <c r="E77" s="3167">
        <f t="shared" si="52"/>
        <v>0</v>
      </c>
      <c r="F77" s="3167">
        <f t="shared" si="52"/>
        <v>0</v>
      </c>
      <c r="G77" s="3167">
        <f t="shared" si="52"/>
        <v>0</v>
      </c>
      <c r="H77" s="3167">
        <f t="shared" si="52"/>
        <v>0</v>
      </c>
      <c r="I77" s="3167">
        <f t="shared" si="52"/>
        <v>0</v>
      </c>
      <c r="J77" s="3167">
        <f t="shared" si="52"/>
        <v>0</v>
      </c>
      <c r="K77" s="3167">
        <f t="shared" si="52"/>
        <v>0</v>
      </c>
      <c r="L77" s="3167">
        <f t="shared" si="52"/>
        <v>0</v>
      </c>
      <c r="M77" s="3168">
        <f t="shared" si="52"/>
        <v>0</v>
      </c>
      <c r="N77" s="3160">
        <f t="shared" si="46"/>
        <v>0</v>
      </c>
    </row>
    <row r="78" spans="1:15" ht="13.5" thickBot="1">
      <c r="A78" s="1543" t="str">
        <v/>
      </c>
      <c r="B78" s="3169">
        <f t="shared" ref="B78:M78" si="53">ROUND(B65*(1+$O78),0)</f>
        <v>0</v>
      </c>
      <c r="C78" s="3170">
        <f t="shared" si="53"/>
        <v>0</v>
      </c>
      <c r="D78" s="3170">
        <f t="shared" si="53"/>
        <v>0</v>
      </c>
      <c r="E78" s="3170">
        <f t="shared" si="53"/>
        <v>0</v>
      </c>
      <c r="F78" s="3170">
        <f t="shared" si="53"/>
        <v>0</v>
      </c>
      <c r="G78" s="3170">
        <f t="shared" si="53"/>
        <v>0</v>
      </c>
      <c r="H78" s="3170">
        <f t="shared" si="53"/>
        <v>0</v>
      </c>
      <c r="I78" s="3170">
        <f t="shared" si="53"/>
        <v>0</v>
      </c>
      <c r="J78" s="3170">
        <f t="shared" si="53"/>
        <v>0</v>
      </c>
      <c r="K78" s="3170">
        <f t="shared" si="53"/>
        <v>0</v>
      </c>
      <c r="L78" s="3170">
        <f t="shared" si="53"/>
        <v>0</v>
      </c>
      <c r="M78" s="3171">
        <f t="shared" si="53"/>
        <v>0</v>
      </c>
      <c r="N78" s="3161">
        <f t="shared" si="46"/>
        <v>0</v>
      </c>
    </row>
    <row r="79" spans="1:15" ht="13.5" thickBot="1">
      <c r="A79" s="105" t="s">
        <v>3</v>
      </c>
      <c r="B79" s="938">
        <f t="shared" ref="B79:M79" si="54">B71+B72+B73+B74+B75+B76+B77+B78</f>
        <v>1158</v>
      </c>
      <c r="C79" s="939">
        <f t="shared" si="54"/>
        <v>1158</v>
      </c>
      <c r="D79" s="939">
        <f t="shared" si="54"/>
        <v>1158</v>
      </c>
      <c r="E79" s="939">
        <f t="shared" si="54"/>
        <v>1158</v>
      </c>
      <c r="F79" s="939">
        <f t="shared" si="54"/>
        <v>1158</v>
      </c>
      <c r="G79" s="939">
        <f t="shared" si="54"/>
        <v>1158</v>
      </c>
      <c r="H79" s="939">
        <f t="shared" si="54"/>
        <v>1158</v>
      </c>
      <c r="I79" s="939">
        <f t="shared" si="54"/>
        <v>1158</v>
      </c>
      <c r="J79" s="939">
        <f t="shared" si="54"/>
        <v>1158</v>
      </c>
      <c r="K79" s="939">
        <f t="shared" si="54"/>
        <v>1158</v>
      </c>
      <c r="L79" s="939">
        <f t="shared" si="54"/>
        <v>1158</v>
      </c>
      <c r="M79" s="940">
        <f t="shared" si="54"/>
        <v>1158</v>
      </c>
      <c r="N79" s="437">
        <f>SUM(B79:M79)</f>
        <v>13896</v>
      </c>
    </row>
  </sheetData>
  <sheetProtection sheet="1" objects="1" scenarios="1"/>
  <phoneticPr fontId="4" type="noConversion"/>
  <conditionalFormatting sqref="B6:M13">
    <cfRule type="expression" dxfId="29" priority="1" stopIfTrue="1">
      <formula>COLUMN(B6)-1&lt;mes0</formula>
    </cfRule>
  </conditionalFormatting>
  <conditionalFormatting sqref="B14:M14">
    <cfRule type="expression" dxfId="28" priority="2" stopIfTrue="1">
      <formula>COLUMN(B14)&lt;=mes0</formula>
    </cfRule>
  </conditionalFormatting>
  <dataValidations count="1">
    <dataValidation type="whole" allowBlank="1" showInputMessage="1" showErrorMessage="1" sqref="Q3" xr:uid="{09902E5F-3BD7-48C2-A677-FA4F61AEE96B}">
      <formula1>2</formula1>
      <formula2>12</formula2>
    </dataValidation>
  </dataValidations>
  <printOptions horizontalCentered="1" verticalCentered="1"/>
  <pageMargins left="0.53" right="0.35" top="0.53" bottom="0.67" header="0.51181102362204722" footer="0.39370078740157483"/>
  <pageSetup paperSize="9" scale="80" fitToHeight="0" orientation="landscape" horizontalDpi="300" verticalDpi="300" r:id="rId1"/>
  <headerFooter alignWithMargins="0">
    <oddFooter>&amp;C&amp;"Tahoma,Normal"&amp;10&amp;A</oddFooter>
  </headerFooter>
  <rowBreaks count="1" manualBreakCount="1">
    <brk id="40" max="13"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2">
    <tabColor indexed="42"/>
  </sheetPr>
  <dimension ref="A1:T81"/>
  <sheetViews>
    <sheetView workbookViewId="0"/>
  </sheetViews>
  <sheetFormatPr baseColWidth="10" defaultColWidth="11" defaultRowHeight="12.75"/>
  <cols>
    <col min="1" max="1" width="23.75" style="239" customWidth="1"/>
    <col min="2" max="2" width="13.875" style="61" bestFit="1" customWidth="1"/>
    <col min="3" max="3" width="13" style="62" customWidth="1"/>
    <col min="4" max="9" width="10.125" style="62" customWidth="1"/>
    <col min="10" max="13" width="11.25" style="62" customWidth="1"/>
    <col min="14" max="14" width="10.75" style="62" customWidth="1"/>
    <col min="15" max="15" width="12.875" style="239" customWidth="1"/>
    <col min="16" max="16384" width="11" style="62"/>
  </cols>
  <sheetData>
    <row r="1" spans="1:15" ht="22.5">
      <c r="A1" s="68" t="s">
        <v>1090</v>
      </c>
      <c r="D1" s="531"/>
      <c r="E1" s="432" t="str">
        <f>Parametros!B77</f>
        <v>Ano 0:  2026</v>
      </c>
    </row>
    <row r="2" spans="1:15" ht="22.5">
      <c r="A2" s="68" t="str">
        <f>'Dados Básicos'!B9</f>
        <v>WWW, S.L.</v>
      </c>
    </row>
    <row r="3" spans="1:15" ht="14.25" customHeight="1" thickBot="1">
      <c r="A3" s="60"/>
    </row>
    <row r="4" spans="1:15" s="458" customFormat="1" ht="15.75" customHeight="1" thickBot="1">
      <c r="A4" s="457" t="s">
        <v>735</v>
      </c>
      <c r="B4" s="455" t="str">
        <f t="array" ref="B4:M4">meses</f>
        <v>janeiro</v>
      </c>
      <c r="C4" s="451" t="str">
        <v>fevereiro</v>
      </c>
      <c r="D4" s="451" t="str">
        <v>março</v>
      </c>
      <c r="E4" s="451" t="str">
        <v>abril</v>
      </c>
      <c r="F4" s="451" t="str">
        <v>maio</v>
      </c>
      <c r="G4" s="451" t="str">
        <v>junho</v>
      </c>
      <c r="H4" s="451" t="str">
        <v>julho</v>
      </c>
      <c r="I4" s="451" t="str">
        <v>agosto</v>
      </c>
      <c r="J4" s="451" t="str">
        <v>setembro</v>
      </c>
      <c r="K4" s="451" t="str">
        <v>outubro</v>
      </c>
      <c r="L4" s="451" t="str">
        <v>novembro</v>
      </c>
      <c r="M4" s="452" t="str">
        <v>dezembro</v>
      </c>
      <c r="N4" s="449" t="s">
        <v>612</v>
      </c>
    </row>
    <row r="5" spans="1:15" ht="15.75" customHeight="1">
      <c r="A5" s="1996" t="str">
        <f t="array" ref="A5:A12">productos</f>
        <v>produto 1</v>
      </c>
      <c r="B5" s="574">
        <f t="array" aca="1" ref="B5:M12" ca="1">IF(COLUMN(B$4:M$4)&lt;=mes0,0,'Estimações Vendas'!B6:M13*Parametros!B$88:M$88)</f>
        <v>200</v>
      </c>
      <c r="C5" s="575">
        <f ca="1"/>
        <v>272.72727272727275</v>
      </c>
      <c r="D5" s="575">
        <f ca="1"/>
        <v>345.4545454545455</v>
      </c>
      <c r="E5" s="575">
        <f ca="1"/>
        <v>418.18181818181819</v>
      </c>
      <c r="F5" s="575">
        <f ca="1"/>
        <v>490.90909090909093</v>
      </c>
      <c r="G5" s="575">
        <f ca="1"/>
        <v>563.63636363636363</v>
      </c>
      <c r="H5" s="575">
        <f ca="1"/>
        <v>636.36363636363637</v>
      </c>
      <c r="I5" s="575">
        <f ca="1"/>
        <v>709.09090909090901</v>
      </c>
      <c r="J5" s="575">
        <f ca="1"/>
        <v>781.81818181818187</v>
      </c>
      <c r="K5" s="575">
        <f ca="1"/>
        <v>854.5454545454545</v>
      </c>
      <c r="L5" s="575">
        <f ca="1"/>
        <v>927.27272727272725</v>
      </c>
      <c r="M5" s="575">
        <f ca="1"/>
        <v>1000</v>
      </c>
      <c r="N5" s="434">
        <f t="shared" ref="N5:N12" ca="1" si="0">SUM(B5:M5)</f>
        <v>7199.9999999999991</v>
      </c>
      <c r="O5" s="62"/>
    </row>
    <row r="6" spans="1:15" ht="15.75" customHeight="1">
      <c r="A6" s="1997" t="str">
        <v/>
      </c>
      <c r="B6" s="576">
        <f ca="1"/>
        <v>0</v>
      </c>
      <c r="C6" s="82">
        <f ca="1"/>
        <v>0</v>
      </c>
      <c r="D6" s="82">
        <f ca="1"/>
        <v>0</v>
      </c>
      <c r="E6" s="82">
        <f ca="1"/>
        <v>0</v>
      </c>
      <c r="F6" s="82">
        <f ca="1"/>
        <v>0</v>
      </c>
      <c r="G6" s="82">
        <f ca="1"/>
        <v>0</v>
      </c>
      <c r="H6" s="82">
        <f ca="1"/>
        <v>0</v>
      </c>
      <c r="I6" s="82">
        <f ca="1"/>
        <v>0</v>
      </c>
      <c r="J6" s="82">
        <f ca="1"/>
        <v>0</v>
      </c>
      <c r="K6" s="82">
        <f ca="1"/>
        <v>0</v>
      </c>
      <c r="L6" s="82">
        <f ca="1"/>
        <v>0</v>
      </c>
      <c r="M6" s="82">
        <f ca="1"/>
        <v>0</v>
      </c>
      <c r="N6" s="435">
        <f t="shared" ca="1" si="0"/>
        <v>0</v>
      </c>
      <c r="O6" s="62"/>
    </row>
    <row r="7" spans="1:15" ht="15.75" customHeight="1">
      <c r="A7" s="1997" t="str">
        <v/>
      </c>
      <c r="B7" s="576">
        <f ca="1"/>
        <v>0</v>
      </c>
      <c r="C7" s="82">
        <f ca="1"/>
        <v>0</v>
      </c>
      <c r="D7" s="82">
        <f ca="1"/>
        <v>0</v>
      </c>
      <c r="E7" s="82">
        <f ca="1"/>
        <v>0</v>
      </c>
      <c r="F7" s="82">
        <f ca="1"/>
        <v>0</v>
      </c>
      <c r="G7" s="82">
        <f ca="1"/>
        <v>0</v>
      </c>
      <c r="H7" s="82">
        <f ca="1"/>
        <v>0</v>
      </c>
      <c r="I7" s="82">
        <f ca="1"/>
        <v>0</v>
      </c>
      <c r="J7" s="82">
        <f ca="1"/>
        <v>0</v>
      </c>
      <c r="K7" s="82">
        <f ca="1"/>
        <v>0</v>
      </c>
      <c r="L7" s="82">
        <f ca="1"/>
        <v>0</v>
      </c>
      <c r="M7" s="82">
        <f ca="1"/>
        <v>0</v>
      </c>
      <c r="N7" s="435">
        <f t="shared" ca="1" si="0"/>
        <v>0</v>
      </c>
      <c r="O7" s="62"/>
    </row>
    <row r="8" spans="1:15" ht="15.75" customHeight="1">
      <c r="A8" s="1997" t="str">
        <v/>
      </c>
      <c r="B8" s="576">
        <f ca="1"/>
        <v>0</v>
      </c>
      <c r="C8" s="82">
        <f ca="1"/>
        <v>0</v>
      </c>
      <c r="D8" s="82">
        <f ca="1"/>
        <v>0</v>
      </c>
      <c r="E8" s="82">
        <f ca="1"/>
        <v>0</v>
      </c>
      <c r="F8" s="82">
        <f ca="1"/>
        <v>0</v>
      </c>
      <c r="G8" s="82">
        <f ca="1"/>
        <v>0</v>
      </c>
      <c r="H8" s="82">
        <f ca="1"/>
        <v>0</v>
      </c>
      <c r="I8" s="82">
        <f ca="1"/>
        <v>0</v>
      </c>
      <c r="J8" s="82">
        <f ca="1"/>
        <v>0</v>
      </c>
      <c r="K8" s="82">
        <f ca="1"/>
        <v>0</v>
      </c>
      <c r="L8" s="82">
        <f ca="1"/>
        <v>0</v>
      </c>
      <c r="M8" s="82">
        <f ca="1"/>
        <v>0</v>
      </c>
      <c r="N8" s="435">
        <f t="shared" ca="1" si="0"/>
        <v>0</v>
      </c>
      <c r="O8" s="62"/>
    </row>
    <row r="9" spans="1:15" ht="15.75" customHeight="1">
      <c r="A9" s="1997" t="str">
        <v/>
      </c>
      <c r="B9" s="576">
        <f ca="1"/>
        <v>0</v>
      </c>
      <c r="C9" s="82">
        <f ca="1"/>
        <v>0</v>
      </c>
      <c r="D9" s="82">
        <f ca="1"/>
        <v>0</v>
      </c>
      <c r="E9" s="82">
        <f ca="1"/>
        <v>0</v>
      </c>
      <c r="F9" s="82">
        <f ca="1"/>
        <v>0</v>
      </c>
      <c r="G9" s="82">
        <f ca="1"/>
        <v>0</v>
      </c>
      <c r="H9" s="82">
        <f ca="1"/>
        <v>0</v>
      </c>
      <c r="I9" s="82">
        <f ca="1"/>
        <v>0</v>
      </c>
      <c r="J9" s="82">
        <f ca="1"/>
        <v>0</v>
      </c>
      <c r="K9" s="82">
        <f ca="1"/>
        <v>0</v>
      </c>
      <c r="L9" s="82">
        <f ca="1"/>
        <v>0</v>
      </c>
      <c r="M9" s="82">
        <f ca="1"/>
        <v>0</v>
      </c>
      <c r="N9" s="435">
        <f t="shared" ca="1" si="0"/>
        <v>0</v>
      </c>
      <c r="O9" s="62"/>
    </row>
    <row r="10" spans="1:15" ht="15.75" customHeight="1">
      <c r="A10" s="1997" t="str">
        <v/>
      </c>
      <c r="B10" s="576">
        <f ca="1"/>
        <v>0</v>
      </c>
      <c r="C10" s="82">
        <f ca="1"/>
        <v>0</v>
      </c>
      <c r="D10" s="82">
        <f ca="1"/>
        <v>0</v>
      </c>
      <c r="E10" s="82">
        <f ca="1"/>
        <v>0</v>
      </c>
      <c r="F10" s="82">
        <f ca="1"/>
        <v>0</v>
      </c>
      <c r="G10" s="82">
        <f ca="1"/>
        <v>0</v>
      </c>
      <c r="H10" s="82">
        <f ca="1"/>
        <v>0</v>
      </c>
      <c r="I10" s="82">
        <f ca="1"/>
        <v>0</v>
      </c>
      <c r="J10" s="82">
        <f ca="1"/>
        <v>0</v>
      </c>
      <c r="K10" s="82">
        <f ca="1"/>
        <v>0</v>
      </c>
      <c r="L10" s="82">
        <f ca="1"/>
        <v>0</v>
      </c>
      <c r="M10" s="82">
        <f ca="1"/>
        <v>0</v>
      </c>
      <c r="N10" s="435">
        <f t="shared" ca="1" si="0"/>
        <v>0</v>
      </c>
      <c r="O10" s="62"/>
    </row>
    <row r="11" spans="1:15" ht="15.75" customHeight="1">
      <c r="A11" s="1997" t="str">
        <v/>
      </c>
      <c r="B11" s="576">
        <f ca="1"/>
        <v>0</v>
      </c>
      <c r="C11" s="82">
        <f ca="1"/>
        <v>0</v>
      </c>
      <c r="D11" s="82">
        <f ca="1"/>
        <v>0</v>
      </c>
      <c r="E11" s="82">
        <f ca="1"/>
        <v>0</v>
      </c>
      <c r="F11" s="82">
        <f ca="1"/>
        <v>0</v>
      </c>
      <c r="G11" s="82">
        <f ca="1"/>
        <v>0</v>
      </c>
      <c r="H11" s="82">
        <f ca="1"/>
        <v>0</v>
      </c>
      <c r="I11" s="82">
        <f ca="1"/>
        <v>0</v>
      </c>
      <c r="J11" s="82">
        <f ca="1"/>
        <v>0</v>
      </c>
      <c r="K11" s="82">
        <f ca="1"/>
        <v>0</v>
      </c>
      <c r="L11" s="82">
        <f ca="1"/>
        <v>0</v>
      </c>
      <c r="M11" s="82">
        <f ca="1"/>
        <v>0</v>
      </c>
      <c r="N11" s="435">
        <f t="shared" ca="1" si="0"/>
        <v>0</v>
      </c>
      <c r="O11" s="62"/>
    </row>
    <row r="12" spans="1:15" ht="15.75" customHeight="1" thickBot="1">
      <c r="A12" s="1998" t="str">
        <v/>
      </c>
      <c r="B12" s="577">
        <f ca="1"/>
        <v>0</v>
      </c>
      <c r="C12" s="578">
        <f ca="1"/>
        <v>0</v>
      </c>
      <c r="D12" s="578">
        <f ca="1"/>
        <v>0</v>
      </c>
      <c r="E12" s="578">
        <f ca="1"/>
        <v>0</v>
      </c>
      <c r="F12" s="578">
        <f ca="1"/>
        <v>0</v>
      </c>
      <c r="G12" s="578">
        <f ca="1"/>
        <v>0</v>
      </c>
      <c r="H12" s="578">
        <f ca="1"/>
        <v>0</v>
      </c>
      <c r="I12" s="578">
        <f ca="1"/>
        <v>0</v>
      </c>
      <c r="J12" s="578">
        <f ca="1"/>
        <v>0</v>
      </c>
      <c r="K12" s="578">
        <f ca="1"/>
        <v>0</v>
      </c>
      <c r="L12" s="578">
        <f ca="1"/>
        <v>0</v>
      </c>
      <c r="M12" s="578">
        <f ca="1"/>
        <v>0</v>
      </c>
      <c r="N12" s="440">
        <f t="shared" ca="1" si="0"/>
        <v>0</v>
      </c>
      <c r="O12" s="62"/>
    </row>
    <row r="13" spans="1:15" ht="15">
      <c r="A13" s="73"/>
    </row>
    <row r="14" spans="1:15" ht="15">
      <c r="A14" s="73"/>
    </row>
    <row r="15" spans="1:15" ht="15.75" thickBot="1">
      <c r="A15" s="220"/>
    </row>
    <row r="16" spans="1:15" s="456" customFormat="1" ht="15.75" customHeight="1" thickBot="1">
      <c r="A16" s="457" t="str">
        <f>CONCATENATE("Vendas (",Moneda,")")</f>
        <v>Vendas (Euros)</v>
      </c>
      <c r="B16" s="455" t="str">
        <f t="array" ref="B16:M16">meses</f>
        <v>janeiro</v>
      </c>
      <c r="C16" s="451" t="str">
        <v>fevereiro</v>
      </c>
      <c r="D16" s="451" t="str">
        <v>março</v>
      </c>
      <c r="E16" s="451" t="str">
        <v>abril</v>
      </c>
      <c r="F16" s="451" t="str">
        <v>maio</v>
      </c>
      <c r="G16" s="451" t="str">
        <v>junho</v>
      </c>
      <c r="H16" s="451" t="str">
        <v>julho</v>
      </c>
      <c r="I16" s="451" t="str">
        <v>agosto</v>
      </c>
      <c r="J16" s="451" t="str">
        <v>setembro</v>
      </c>
      <c r="K16" s="451" t="str">
        <v>outubro</v>
      </c>
      <c r="L16" s="451" t="str">
        <v>novembro</v>
      </c>
      <c r="M16" s="452" t="str">
        <v>dezembro</v>
      </c>
      <c r="N16" s="449" t="s">
        <v>612</v>
      </c>
    </row>
    <row r="17" spans="1:15" ht="15.75" customHeight="1">
      <c r="A17" s="1996" t="str">
        <f t="array" ref="A17:A24">productos</f>
        <v>produto 1</v>
      </c>
      <c r="B17" s="574">
        <f ca="1">IF(B5="","",B5*'Preços-CV'!$B7)</f>
        <v>200</v>
      </c>
      <c r="C17" s="575">
        <f ca="1">IF(C5="","",C5*'Preços-CV'!$B7)</f>
        <v>272.72727272727275</v>
      </c>
      <c r="D17" s="575">
        <f ca="1">IF(D5="","",D5*'Preços-CV'!$B7)</f>
        <v>345.4545454545455</v>
      </c>
      <c r="E17" s="575">
        <f ca="1">IF(E5="","",E5*'Preços-CV'!$B7)</f>
        <v>418.18181818181819</v>
      </c>
      <c r="F17" s="575">
        <f ca="1">IF(F5="","",F5*'Preços-CV'!$B7)</f>
        <v>490.90909090909093</v>
      </c>
      <c r="G17" s="575">
        <f ca="1">IF(G5="","",G5*'Preços-CV'!$B7)</f>
        <v>563.63636363636363</v>
      </c>
      <c r="H17" s="575">
        <f ca="1">IF(H5="","",H5*'Preços-CV'!$B7)</f>
        <v>636.36363636363637</v>
      </c>
      <c r="I17" s="575">
        <f ca="1">IF(I5="","",I5*'Preços-CV'!$B7)</f>
        <v>709.09090909090901</v>
      </c>
      <c r="J17" s="575">
        <f ca="1">IF(J5="","",J5*'Preços-CV'!$B7)</f>
        <v>781.81818181818187</v>
      </c>
      <c r="K17" s="575">
        <f ca="1">IF(K5="","",K5*'Preços-CV'!$B7)</f>
        <v>854.5454545454545</v>
      </c>
      <c r="L17" s="575">
        <f ca="1">IF(L5="","",L5*'Preços-CV'!$B7)</f>
        <v>927.27272727272725</v>
      </c>
      <c r="M17" s="575">
        <f ca="1">IF(M5="","",M5*'Preços-CV'!$B7)</f>
        <v>1000</v>
      </c>
      <c r="N17" s="434">
        <f t="shared" ref="N17:N25" ca="1" si="1">SUM(B17:M17)</f>
        <v>7199.9999999999991</v>
      </c>
      <c r="O17" s="62"/>
    </row>
    <row r="18" spans="1:15" ht="15.75" customHeight="1">
      <c r="A18" s="1997" t="str">
        <v/>
      </c>
      <c r="B18" s="576">
        <f ca="1">IF(B6="","",B6*'Preços-CV'!$B8)</f>
        <v>0</v>
      </c>
      <c r="C18" s="82">
        <f ca="1">IF(C6="","",C6*'Preços-CV'!$B8)</f>
        <v>0</v>
      </c>
      <c r="D18" s="82">
        <f ca="1">IF(D6="","",D6*'Preços-CV'!$B8)</f>
        <v>0</v>
      </c>
      <c r="E18" s="82">
        <f ca="1">IF(E6="","",E6*'Preços-CV'!$B8)</f>
        <v>0</v>
      </c>
      <c r="F18" s="82">
        <f ca="1">IF(F6="","",F6*'Preços-CV'!$B8)</f>
        <v>0</v>
      </c>
      <c r="G18" s="82">
        <f ca="1">IF(G6="","",G6*'Preços-CV'!$B8)</f>
        <v>0</v>
      </c>
      <c r="H18" s="82">
        <f ca="1">IF(H6="","",H6*'Preços-CV'!$B8)</f>
        <v>0</v>
      </c>
      <c r="I18" s="82">
        <f ca="1">IF(I6="","",I6*'Preços-CV'!$B8)</f>
        <v>0</v>
      </c>
      <c r="J18" s="82">
        <f ca="1">IF(J6="","",J6*'Preços-CV'!$B8)</f>
        <v>0</v>
      </c>
      <c r="K18" s="82">
        <f ca="1">IF(K6="","",K6*'Preços-CV'!$B8)</f>
        <v>0</v>
      </c>
      <c r="L18" s="82">
        <f ca="1">IF(L6="","",L6*'Preços-CV'!$B8)</f>
        <v>0</v>
      </c>
      <c r="M18" s="82">
        <f ca="1">IF(M6="","",M6*'Preços-CV'!$B8)</f>
        <v>0</v>
      </c>
      <c r="N18" s="435">
        <f t="shared" ca="1" si="1"/>
        <v>0</v>
      </c>
      <c r="O18" s="62"/>
    </row>
    <row r="19" spans="1:15" ht="15.75" customHeight="1">
      <c r="A19" s="1997" t="str">
        <v/>
      </c>
      <c r="B19" s="576">
        <f ca="1">IF(B7="","",B7*'Preços-CV'!$B9)</f>
        <v>0</v>
      </c>
      <c r="C19" s="82">
        <f ca="1">IF(C7="","",C7*'Preços-CV'!$B9)</f>
        <v>0</v>
      </c>
      <c r="D19" s="82">
        <f ca="1">IF(D7="","",D7*'Preços-CV'!$B9)</f>
        <v>0</v>
      </c>
      <c r="E19" s="82">
        <f ca="1">IF(E7="","",E7*'Preços-CV'!$B9)</f>
        <v>0</v>
      </c>
      <c r="F19" s="82">
        <f ca="1">IF(F7="","",F7*'Preços-CV'!$B9)</f>
        <v>0</v>
      </c>
      <c r="G19" s="82">
        <f ca="1">IF(G7="","",G7*'Preços-CV'!$B9)</f>
        <v>0</v>
      </c>
      <c r="H19" s="82">
        <f ca="1">IF(H7="","",H7*'Preços-CV'!$B9)</f>
        <v>0</v>
      </c>
      <c r="I19" s="82">
        <f ca="1">IF(I7="","",I7*'Preços-CV'!$B9)</f>
        <v>0</v>
      </c>
      <c r="J19" s="82">
        <f ca="1">IF(J7="","",J7*'Preços-CV'!$B9)</f>
        <v>0</v>
      </c>
      <c r="K19" s="82">
        <f ca="1">IF(K7="","",K7*'Preços-CV'!$B9)</f>
        <v>0</v>
      </c>
      <c r="L19" s="82">
        <f ca="1">IF(L7="","",L7*'Preços-CV'!$B9)</f>
        <v>0</v>
      </c>
      <c r="M19" s="82">
        <f ca="1">IF(M7="","",M7*'Preços-CV'!$B9)</f>
        <v>0</v>
      </c>
      <c r="N19" s="435">
        <f t="shared" ca="1" si="1"/>
        <v>0</v>
      </c>
      <c r="O19" s="62"/>
    </row>
    <row r="20" spans="1:15" ht="15.75" customHeight="1">
      <c r="A20" s="1997" t="str">
        <v/>
      </c>
      <c r="B20" s="576">
        <f ca="1">IF(B8="","",B8*'Preços-CV'!$B10)</f>
        <v>0</v>
      </c>
      <c r="C20" s="82">
        <f ca="1">IF(C8="","",C8*'Preços-CV'!$B10)</f>
        <v>0</v>
      </c>
      <c r="D20" s="82">
        <f ca="1">IF(D8="","",D8*'Preços-CV'!$B10)</f>
        <v>0</v>
      </c>
      <c r="E20" s="82">
        <f ca="1">IF(E8="","",E8*'Preços-CV'!$B10)</f>
        <v>0</v>
      </c>
      <c r="F20" s="82">
        <f ca="1">IF(F8="","",F8*'Preços-CV'!$B10)</f>
        <v>0</v>
      </c>
      <c r="G20" s="82">
        <f ca="1">IF(G8="","",G8*'Preços-CV'!$B10)</f>
        <v>0</v>
      </c>
      <c r="H20" s="82">
        <f ca="1">IF(H8="","",H8*'Preços-CV'!$B10)</f>
        <v>0</v>
      </c>
      <c r="I20" s="82">
        <f ca="1">IF(I8="","",I8*'Preços-CV'!$B10)</f>
        <v>0</v>
      </c>
      <c r="J20" s="82">
        <f ca="1">IF(J8="","",J8*'Preços-CV'!$B10)</f>
        <v>0</v>
      </c>
      <c r="K20" s="82">
        <f ca="1">IF(K8="","",K8*'Preços-CV'!$B10)</f>
        <v>0</v>
      </c>
      <c r="L20" s="82">
        <f ca="1">IF(L8="","",L8*'Preços-CV'!$B10)</f>
        <v>0</v>
      </c>
      <c r="M20" s="82">
        <f ca="1">IF(M8="","",M8*'Preços-CV'!$B10)</f>
        <v>0</v>
      </c>
      <c r="N20" s="435">
        <f t="shared" ca="1" si="1"/>
        <v>0</v>
      </c>
      <c r="O20" s="62"/>
    </row>
    <row r="21" spans="1:15" ht="15.75" customHeight="1">
      <c r="A21" s="1997" t="str">
        <v/>
      </c>
      <c r="B21" s="576">
        <f ca="1">IF(B9="","",B9*'Preços-CV'!$B11)</f>
        <v>0</v>
      </c>
      <c r="C21" s="82">
        <f ca="1">IF(C9="","",C9*'Preços-CV'!$B11)</f>
        <v>0</v>
      </c>
      <c r="D21" s="82">
        <f ca="1">IF(D9="","",D9*'Preços-CV'!$B11)</f>
        <v>0</v>
      </c>
      <c r="E21" s="82">
        <f ca="1">IF(E9="","",E9*'Preços-CV'!$B11)</f>
        <v>0</v>
      </c>
      <c r="F21" s="82">
        <f ca="1">IF(F9="","",F9*'Preços-CV'!$B11)</f>
        <v>0</v>
      </c>
      <c r="G21" s="82">
        <f ca="1">IF(G9="","",G9*'Preços-CV'!$B11)</f>
        <v>0</v>
      </c>
      <c r="H21" s="82">
        <f ca="1">IF(H9="","",H9*'Preços-CV'!$B11)</f>
        <v>0</v>
      </c>
      <c r="I21" s="82">
        <f ca="1">IF(I9="","",I9*'Preços-CV'!$B11)</f>
        <v>0</v>
      </c>
      <c r="J21" s="82">
        <f ca="1">IF(J9="","",J9*'Preços-CV'!$B11)</f>
        <v>0</v>
      </c>
      <c r="K21" s="82">
        <f ca="1">IF(K9="","",K9*'Preços-CV'!$B11)</f>
        <v>0</v>
      </c>
      <c r="L21" s="82">
        <f ca="1">IF(L9="","",L9*'Preços-CV'!$B11)</f>
        <v>0</v>
      </c>
      <c r="M21" s="82">
        <f ca="1">IF(M9="","",M9*'Preços-CV'!$B11)</f>
        <v>0</v>
      </c>
      <c r="N21" s="435">
        <f t="shared" ca="1" si="1"/>
        <v>0</v>
      </c>
      <c r="O21" s="62"/>
    </row>
    <row r="22" spans="1:15" ht="15.75" customHeight="1">
      <c r="A22" s="1997" t="str">
        <v/>
      </c>
      <c r="B22" s="576">
        <f ca="1">IF(B10="","",B10*'Preços-CV'!$B12)</f>
        <v>0</v>
      </c>
      <c r="C22" s="82">
        <f ca="1">IF(C10="","",C10*'Preços-CV'!$B12)</f>
        <v>0</v>
      </c>
      <c r="D22" s="82">
        <f ca="1">IF(D10="","",D10*'Preços-CV'!$B12)</f>
        <v>0</v>
      </c>
      <c r="E22" s="82">
        <f ca="1">IF(E10="","",E10*'Preços-CV'!$B12)</f>
        <v>0</v>
      </c>
      <c r="F22" s="82">
        <f ca="1">IF(F10="","",F10*'Preços-CV'!$B12)</f>
        <v>0</v>
      </c>
      <c r="G22" s="82">
        <f ca="1">IF(G10="","",G10*'Preços-CV'!$B12)</f>
        <v>0</v>
      </c>
      <c r="H22" s="82">
        <f ca="1">IF(H10="","",H10*'Preços-CV'!$B12)</f>
        <v>0</v>
      </c>
      <c r="I22" s="82">
        <f ca="1">IF(I10="","",I10*'Preços-CV'!$B12)</f>
        <v>0</v>
      </c>
      <c r="J22" s="82">
        <f ca="1">IF(J10="","",J10*'Preços-CV'!$B12)</f>
        <v>0</v>
      </c>
      <c r="K22" s="82">
        <f ca="1">IF(K10="","",K10*'Preços-CV'!$B12)</f>
        <v>0</v>
      </c>
      <c r="L22" s="82">
        <f ca="1">IF(L10="","",L10*'Preços-CV'!$B12)</f>
        <v>0</v>
      </c>
      <c r="M22" s="82">
        <f ca="1">IF(M10="","",M10*'Preços-CV'!$B12)</f>
        <v>0</v>
      </c>
      <c r="N22" s="435">
        <f t="shared" ca="1" si="1"/>
        <v>0</v>
      </c>
      <c r="O22" s="62"/>
    </row>
    <row r="23" spans="1:15" ht="15.75" customHeight="1">
      <c r="A23" s="1997" t="str">
        <v/>
      </c>
      <c r="B23" s="576">
        <f ca="1">IF(B11="","",B11*'Preços-CV'!$B13)</f>
        <v>0</v>
      </c>
      <c r="C23" s="82">
        <f ca="1">IF(C11="","",C11*'Preços-CV'!$B13)</f>
        <v>0</v>
      </c>
      <c r="D23" s="82">
        <f ca="1">IF(D11="","",D11*'Preços-CV'!$B13)</f>
        <v>0</v>
      </c>
      <c r="E23" s="82">
        <f ca="1">IF(E11="","",E11*'Preços-CV'!$B13)</f>
        <v>0</v>
      </c>
      <c r="F23" s="82">
        <f ca="1">IF(F11="","",F11*'Preços-CV'!$B13)</f>
        <v>0</v>
      </c>
      <c r="G23" s="82">
        <f ca="1">IF(G11="","",G11*'Preços-CV'!$B13)</f>
        <v>0</v>
      </c>
      <c r="H23" s="82">
        <f ca="1">IF(H11="","",H11*'Preços-CV'!$B13)</f>
        <v>0</v>
      </c>
      <c r="I23" s="82">
        <f ca="1">IF(I11="","",I11*'Preços-CV'!$B13)</f>
        <v>0</v>
      </c>
      <c r="J23" s="82">
        <f ca="1">IF(J11="","",J11*'Preços-CV'!$B13)</f>
        <v>0</v>
      </c>
      <c r="K23" s="82">
        <f ca="1">IF(K11="","",K11*'Preços-CV'!$B13)</f>
        <v>0</v>
      </c>
      <c r="L23" s="82">
        <f ca="1">IF(L11="","",L11*'Preços-CV'!$B13)</f>
        <v>0</v>
      </c>
      <c r="M23" s="82">
        <f ca="1">IF(M11="","",M11*'Preços-CV'!$B13)</f>
        <v>0</v>
      </c>
      <c r="N23" s="435">
        <f t="shared" ca="1" si="1"/>
        <v>0</v>
      </c>
      <c r="O23" s="62"/>
    </row>
    <row r="24" spans="1:15" ht="15.75" customHeight="1" thickBot="1">
      <c r="A24" s="1998" t="str">
        <v/>
      </c>
      <c r="B24" s="579">
        <f ca="1">IF(B12="","",B12*'Preços-CV'!$B14)</f>
        <v>0</v>
      </c>
      <c r="C24" s="580">
        <f ca="1">IF(C12="","",C12*'Preços-CV'!$B14)</f>
        <v>0</v>
      </c>
      <c r="D24" s="580">
        <f ca="1">IF(D12="","",D12*'Preços-CV'!$B14)</f>
        <v>0</v>
      </c>
      <c r="E24" s="580">
        <f ca="1">IF(E12="","",E12*'Preços-CV'!$B14)</f>
        <v>0</v>
      </c>
      <c r="F24" s="580">
        <f ca="1">IF(F12="","",F12*'Preços-CV'!$B14)</f>
        <v>0</v>
      </c>
      <c r="G24" s="580">
        <f ca="1">IF(G12="","",G12*'Preços-CV'!$B14)</f>
        <v>0</v>
      </c>
      <c r="H24" s="580">
        <f ca="1">IF(H12="","",H12*'Preços-CV'!$B14)</f>
        <v>0</v>
      </c>
      <c r="I24" s="580">
        <f ca="1">IF(I12="","",I12*'Preços-CV'!$B14)</f>
        <v>0</v>
      </c>
      <c r="J24" s="580">
        <f ca="1">IF(J12="","",J12*'Preços-CV'!$B14)</f>
        <v>0</v>
      </c>
      <c r="K24" s="580">
        <f ca="1">IF(K12="","",K12*'Preços-CV'!$B14)</f>
        <v>0</v>
      </c>
      <c r="L24" s="580">
        <f ca="1">IF(L12="","",L12*'Preços-CV'!$B14)</f>
        <v>0</v>
      </c>
      <c r="M24" s="580">
        <f ca="1">IF(M12="","",M12*'Preços-CV'!$B14)</f>
        <v>0</v>
      </c>
      <c r="N24" s="436">
        <f t="shared" ca="1" si="1"/>
        <v>0</v>
      </c>
      <c r="O24" s="62"/>
    </row>
    <row r="25" spans="1:15" ht="15.75" customHeight="1" thickBot="1">
      <c r="A25" s="105" t="s">
        <v>3</v>
      </c>
      <c r="B25" s="581">
        <f ca="1">SUM(B17:B24)</f>
        <v>200</v>
      </c>
      <c r="C25" s="147">
        <f t="shared" ref="C25:M25" ca="1" si="2">SUM(C17:C24)</f>
        <v>272.72727272727275</v>
      </c>
      <c r="D25" s="147">
        <f t="shared" ca="1" si="2"/>
        <v>345.4545454545455</v>
      </c>
      <c r="E25" s="147">
        <f t="shared" ca="1" si="2"/>
        <v>418.18181818181819</v>
      </c>
      <c r="F25" s="147">
        <f t="shared" ca="1" si="2"/>
        <v>490.90909090909093</v>
      </c>
      <c r="G25" s="147">
        <f t="shared" ca="1" si="2"/>
        <v>563.63636363636363</v>
      </c>
      <c r="H25" s="147">
        <f t="shared" ca="1" si="2"/>
        <v>636.36363636363637</v>
      </c>
      <c r="I25" s="147">
        <f t="shared" ca="1" si="2"/>
        <v>709.09090909090901</v>
      </c>
      <c r="J25" s="147">
        <f t="shared" ca="1" si="2"/>
        <v>781.81818181818187</v>
      </c>
      <c r="K25" s="147">
        <f t="shared" ca="1" si="2"/>
        <v>854.5454545454545</v>
      </c>
      <c r="L25" s="147">
        <f t="shared" ca="1" si="2"/>
        <v>927.27272727272725</v>
      </c>
      <c r="M25" s="582">
        <f t="shared" ca="1" si="2"/>
        <v>1000</v>
      </c>
      <c r="N25" s="437">
        <f t="shared" ca="1" si="1"/>
        <v>7199.9999999999991</v>
      </c>
      <c r="O25" s="62"/>
    </row>
    <row r="26" spans="1:15" ht="15">
      <c r="A26" s="220"/>
    </row>
    <row r="27" spans="1:15" ht="15">
      <c r="A27" s="220"/>
    </row>
    <row r="28" spans="1:15" ht="23.25" customHeight="1">
      <c r="A28" s="68" t="s">
        <v>631</v>
      </c>
      <c r="B28" s="62"/>
      <c r="D28" s="432" t="str">
        <f>$E$1</f>
        <v>Ano 0:  2026</v>
      </c>
    </row>
    <row r="29" spans="1:15" ht="22.5">
      <c r="A29" s="68" t="str">
        <f>'Dados Básicos'!B9</f>
        <v>WWW, S.L.</v>
      </c>
    </row>
    <row r="30" spans="1:15" ht="14.25" customHeight="1" thickBot="1">
      <c r="A30" s="60"/>
    </row>
    <row r="31" spans="1:15" s="454" customFormat="1" ht="18.75" customHeight="1" thickBot="1">
      <c r="A31" s="459" t="s">
        <v>7</v>
      </c>
      <c r="B31" s="450"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
        <v>612</v>
      </c>
      <c r="O31" s="453"/>
    </row>
    <row r="32" spans="1:15" ht="18.75" customHeight="1">
      <c r="A32" s="2012" t="str">
        <f t="array" ref="A32:A39">productos</f>
        <v>produto 1</v>
      </c>
      <c r="B32" s="2015" t="str">
        <f t="array" aca="1" ref="B32:M39" ca="1">IF(OR($N17:$N24=0,B17:M24=""),"",B17:M24/$N17:$N24)</f>
        <v/>
      </c>
      <c r="C32" s="441" t="str">
        <f ca="1"/>
        <v/>
      </c>
      <c r="D32" s="441" t="str">
        <f ca="1"/>
        <v/>
      </c>
      <c r="E32" s="441" t="str">
        <f ca="1"/>
        <v/>
      </c>
      <c r="F32" s="441" t="str">
        <f ca="1"/>
        <v/>
      </c>
      <c r="G32" s="441" t="str">
        <f ca="1"/>
        <v/>
      </c>
      <c r="H32" s="441" t="str">
        <f ca="1"/>
        <v/>
      </c>
      <c r="I32" s="441" t="str">
        <f ca="1"/>
        <v/>
      </c>
      <c r="J32" s="441" t="str">
        <f ca="1"/>
        <v/>
      </c>
      <c r="K32" s="441" t="str">
        <f ca="1"/>
        <v/>
      </c>
      <c r="L32" s="441" t="str">
        <f ca="1"/>
        <v/>
      </c>
      <c r="M32" s="442" t="str">
        <f ca="1"/>
        <v/>
      </c>
      <c r="N32" s="583">
        <f t="shared" ref="N32:N40" ca="1" si="3">SUM(B32:M32)</f>
        <v>0</v>
      </c>
    </row>
    <row r="33" spans="1:20" ht="18.75" customHeight="1">
      <c r="A33" s="2013" t="str">
        <v/>
      </c>
      <c r="B33" s="2016" t="str">
        <f ca="1"/>
        <v/>
      </c>
      <c r="C33" s="443" t="str">
        <f ca="1"/>
        <v/>
      </c>
      <c r="D33" s="443" t="str">
        <f ca="1"/>
        <v/>
      </c>
      <c r="E33" s="443" t="str">
        <f ca="1"/>
        <v/>
      </c>
      <c r="F33" s="443" t="str">
        <f ca="1"/>
        <v/>
      </c>
      <c r="G33" s="443" t="str">
        <f ca="1"/>
        <v/>
      </c>
      <c r="H33" s="443" t="str">
        <f ca="1"/>
        <v/>
      </c>
      <c r="I33" s="443" t="str">
        <f ca="1"/>
        <v/>
      </c>
      <c r="J33" s="443" t="str">
        <f ca="1"/>
        <v/>
      </c>
      <c r="K33" s="443" t="str">
        <f ca="1"/>
        <v/>
      </c>
      <c r="L33" s="443" t="str">
        <f ca="1"/>
        <v/>
      </c>
      <c r="M33" s="444" t="str">
        <f ca="1"/>
        <v/>
      </c>
      <c r="N33" s="584">
        <f t="shared" ca="1" si="3"/>
        <v>0</v>
      </c>
    </row>
    <row r="34" spans="1:20" ht="18.75" customHeight="1">
      <c r="A34" s="2013" t="str">
        <v/>
      </c>
      <c r="B34" s="2016" t="str">
        <f ca="1"/>
        <v/>
      </c>
      <c r="C34" s="443" t="str">
        <f ca="1"/>
        <v/>
      </c>
      <c r="D34" s="443" t="str">
        <f ca="1"/>
        <v/>
      </c>
      <c r="E34" s="443" t="str">
        <f ca="1"/>
        <v/>
      </c>
      <c r="F34" s="443" t="str">
        <f ca="1"/>
        <v/>
      </c>
      <c r="G34" s="443" t="str">
        <f ca="1"/>
        <v/>
      </c>
      <c r="H34" s="443" t="str">
        <f ca="1"/>
        <v/>
      </c>
      <c r="I34" s="443" t="str">
        <f ca="1"/>
        <v/>
      </c>
      <c r="J34" s="443" t="str">
        <f ca="1"/>
        <v/>
      </c>
      <c r="K34" s="443" t="str">
        <f ca="1"/>
        <v/>
      </c>
      <c r="L34" s="443" t="str">
        <f ca="1"/>
        <v/>
      </c>
      <c r="M34" s="444" t="str">
        <f ca="1"/>
        <v/>
      </c>
      <c r="N34" s="584">
        <f t="shared" ca="1" si="3"/>
        <v>0</v>
      </c>
    </row>
    <row r="35" spans="1:20" ht="18.75" customHeight="1">
      <c r="A35" s="2013" t="str">
        <v/>
      </c>
      <c r="B35" s="2016" t="str">
        <f ca="1"/>
        <v/>
      </c>
      <c r="C35" s="443" t="str">
        <f ca="1"/>
        <v/>
      </c>
      <c r="D35" s="443" t="str">
        <f ca="1"/>
        <v/>
      </c>
      <c r="E35" s="443" t="str">
        <f ca="1"/>
        <v/>
      </c>
      <c r="F35" s="443" t="str">
        <f ca="1"/>
        <v/>
      </c>
      <c r="G35" s="443" t="str">
        <f ca="1"/>
        <v/>
      </c>
      <c r="H35" s="443" t="str">
        <f ca="1"/>
        <v/>
      </c>
      <c r="I35" s="443" t="str">
        <f ca="1"/>
        <v/>
      </c>
      <c r="J35" s="443" t="str">
        <f ca="1"/>
        <v/>
      </c>
      <c r="K35" s="443" t="str">
        <f ca="1"/>
        <v/>
      </c>
      <c r="L35" s="443" t="str">
        <f ca="1"/>
        <v/>
      </c>
      <c r="M35" s="444" t="str">
        <f ca="1"/>
        <v/>
      </c>
      <c r="N35" s="584">
        <f t="shared" ca="1" si="3"/>
        <v>0</v>
      </c>
    </row>
    <row r="36" spans="1:20" ht="18.75" customHeight="1">
      <c r="A36" s="2013" t="str">
        <v/>
      </c>
      <c r="B36" s="2016" t="str">
        <f ca="1"/>
        <v/>
      </c>
      <c r="C36" s="443" t="str">
        <f ca="1"/>
        <v/>
      </c>
      <c r="D36" s="443" t="str">
        <f ca="1"/>
        <v/>
      </c>
      <c r="E36" s="443" t="str">
        <f ca="1"/>
        <v/>
      </c>
      <c r="F36" s="443" t="str">
        <f ca="1"/>
        <v/>
      </c>
      <c r="G36" s="443" t="str">
        <f ca="1"/>
        <v/>
      </c>
      <c r="H36" s="443" t="str">
        <f ca="1"/>
        <v/>
      </c>
      <c r="I36" s="443" t="str">
        <f ca="1"/>
        <v/>
      </c>
      <c r="J36" s="443" t="str">
        <f ca="1"/>
        <v/>
      </c>
      <c r="K36" s="443" t="str">
        <f ca="1"/>
        <v/>
      </c>
      <c r="L36" s="443" t="str">
        <f ca="1"/>
        <v/>
      </c>
      <c r="M36" s="444" t="str">
        <f ca="1"/>
        <v/>
      </c>
      <c r="N36" s="584">
        <f t="shared" ca="1" si="3"/>
        <v>0</v>
      </c>
    </row>
    <row r="37" spans="1:20" ht="18.75" customHeight="1">
      <c r="A37" s="2013" t="str">
        <v/>
      </c>
      <c r="B37" s="2016" t="str">
        <f ca="1"/>
        <v/>
      </c>
      <c r="C37" s="443" t="str">
        <f ca="1"/>
        <v/>
      </c>
      <c r="D37" s="443" t="str">
        <f ca="1"/>
        <v/>
      </c>
      <c r="E37" s="443" t="str">
        <f ca="1"/>
        <v/>
      </c>
      <c r="F37" s="443" t="str">
        <f ca="1"/>
        <v/>
      </c>
      <c r="G37" s="443" t="str">
        <f ca="1"/>
        <v/>
      </c>
      <c r="H37" s="443" t="str">
        <f ca="1"/>
        <v/>
      </c>
      <c r="I37" s="443" t="str">
        <f ca="1"/>
        <v/>
      </c>
      <c r="J37" s="443" t="str">
        <f ca="1"/>
        <v/>
      </c>
      <c r="K37" s="443" t="str">
        <f ca="1"/>
        <v/>
      </c>
      <c r="L37" s="443" t="str">
        <f ca="1"/>
        <v/>
      </c>
      <c r="M37" s="444" t="str">
        <f ca="1"/>
        <v/>
      </c>
      <c r="N37" s="584">
        <f t="shared" ca="1" si="3"/>
        <v>0</v>
      </c>
    </row>
    <row r="38" spans="1:20" ht="18.75" customHeight="1">
      <c r="A38" s="2013" t="str">
        <v/>
      </c>
      <c r="B38" s="2016" t="str">
        <f ca="1"/>
        <v/>
      </c>
      <c r="C38" s="443" t="str">
        <f ca="1"/>
        <v/>
      </c>
      <c r="D38" s="443" t="str">
        <f ca="1"/>
        <v/>
      </c>
      <c r="E38" s="443" t="str">
        <f ca="1"/>
        <v/>
      </c>
      <c r="F38" s="443" t="str">
        <f ca="1"/>
        <v/>
      </c>
      <c r="G38" s="443" t="str">
        <f ca="1"/>
        <v/>
      </c>
      <c r="H38" s="443" t="str">
        <f ca="1"/>
        <v/>
      </c>
      <c r="I38" s="443" t="str">
        <f ca="1"/>
        <v/>
      </c>
      <c r="J38" s="443" t="str">
        <f ca="1"/>
        <v/>
      </c>
      <c r="K38" s="443" t="str">
        <f ca="1"/>
        <v/>
      </c>
      <c r="L38" s="443" t="str">
        <f ca="1"/>
        <v/>
      </c>
      <c r="M38" s="444" t="str">
        <f ca="1"/>
        <v/>
      </c>
      <c r="N38" s="584">
        <f t="shared" ca="1" si="3"/>
        <v>0</v>
      </c>
    </row>
    <row r="39" spans="1:20" ht="18.75" customHeight="1" thickBot="1">
      <c r="A39" s="2014" t="str">
        <v/>
      </c>
      <c r="B39" s="2017" t="str">
        <f ca="1"/>
        <v/>
      </c>
      <c r="C39" s="445" t="str">
        <f ca="1"/>
        <v/>
      </c>
      <c r="D39" s="445" t="str">
        <f ca="1"/>
        <v/>
      </c>
      <c r="E39" s="445" t="str">
        <f ca="1"/>
        <v/>
      </c>
      <c r="F39" s="445" t="str">
        <f ca="1"/>
        <v/>
      </c>
      <c r="G39" s="445" t="str">
        <f ca="1"/>
        <v/>
      </c>
      <c r="H39" s="445" t="str">
        <f ca="1"/>
        <v/>
      </c>
      <c r="I39" s="445" t="str">
        <f ca="1"/>
        <v/>
      </c>
      <c r="J39" s="445" t="str">
        <f ca="1"/>
        <v/>
      </c>
      <c r="K39" s="445" t="str">
        <f ca="1"/>
        <v/>
      </c>
      <c r="L39" s="445" t="str">
        <f ca="1"/>
        <v/>
      </c>
      <c r="M39" s="446" t="str">
        <f ca="1"/>
        <v/>
      </c>
      <c r="N39" s="585">
        <f t="shared" ca="1" si="3"/>
        <v>0</v>
      </c>
    </row>
    <row r="40" spans="1:20" s="36" customFormat="1" ht="18.75" customHeight="1" thickBot="1">
      <c r="A40" s="2835" t="s">
        <v>736</v>
      </c>
      <c r="B40" s="2018">
        <f t="array" aca="1" ref="B40:M40" ca="1">B25:M25/$N$25</f>
        <v>2.777777777777778E-2</v>
      </c>
      <c r="C40" s="447">
        <f ca="1"/>
        <v>3.7878787878787887E-2</v>
      </c>
      <c r="D40" s="447">
        <f ca="1"/>
        <v>4.797979797979799E-2</v>
      </c>
      <c r="E40" s="447">
        <f ca="1"/>
        <v>5.8080808080808087E-2</v>
      </c>
      <c r="F40" s="447">
        <f ca="1"/>
        <v>6.8181818181818191E-2</v>
      </c>
      <c r="G40" s="447">
        <f ca="1"/>
        <v>7.8282828282828287E-2</v>
      </c>
      <c r="H40" s="447">
        <f ca="1"/>
        <v>8.8383838383838398E-2</v>
      </c>
      <c r="I40" s="447">
        <f ca="1"/>
        <v>9.8484848484848481E-2</v>
      </c>
      <c r="J40" s="447">
        <f ca="1"/>
        <v>0.10858585858585861</v>
      </c>
      <c r="K40" s="447">
        <f ca="1"/>
        <v>0.1186868686868687</v>
      </c>
      <c r="L40" s="447">
        <f ca="1"/>
        <v>0.12878787878787881</v>
      </c>
      <c r="M40" s="447">
        <f ca="1"/>
        <v>0.1388888888888889</v>
      </c>
      <c r="N40" s="448">
        <f t="shared" ca="1" si="3"/>
        <v>1</v>
      </c>
      <c r="O40" s="239"/>
      <c r="P40" s="62"/>
      <c r="Q40" s="62"/>
      <c r="R40" s="62"/>
      <c r="S40" s="62"/>
      <c r="T40" s="62"/>
    </row>
    <row r="41" spans="1:20" s="36" customFormat="1" ht="18.75" customHeight="1"/>
    <row r="43" spans="1:20">
      <c r="B43" s="62"/>
    </row>
    <row r="44" spans="1:20">
      <c r="B44" s="62"/>
    </row>
    <row r="45" spans="1:20">
      <c r="B45" s="62"/>
    </row>
    <row r="46" spans="1:20">
      <c r="B46" s="62"/>
    </row>
    <row r="47" spans="1:20">
      <c r="B47" s="62"/>
    </row>
    <row r="48" spans="1:20">
      <c r="B48" s="62"/>
    </row>
    <row r="49" spans="2:2">
      <c r="B49" s="62"/>
    </row>
    <row r="50" spans="2:2">
      <c r="B50" s="62"/>
    </row>
    <row r="51" spans="2:2">
      <c r="B51" s="62"/>
    </row>
    <row r="52" spans="2:2">
      <c r="B52" s="62"/>
    </row>
    <row r="53" spans="2:2">
      <c r="B53" s="62"/>
    </row>
    <row r="54" spans="2:2">
      <c r="B54" s="62"/>
    </row>
    <row r="55" spans="2:2">
      <c r="B55" s="62"/>
    </row>
    <row r="56" spans="2:2">
      <c r="B56" s="62"/>
    </row>
    <row r="57" spans="2:2">
      <c r="B57" s="62"/>
    </row>
    <row r="58" spans="2:2">
      <c r="B58" s="62"/>
    </row>
    <row r="59" spans="2:2">
      <c r="B59" s="62"/>
    </row>
    <row r="60" spans="2:2">
      <c r="B60" s="62"/>
    </row>
    <row r="61" spans="2:2">
      <c r="B61" s="62"/>
    </row>
    <row r="62" spans="2:2">
      <c r="B62" s="62"/>
    </row>
    <row r="63" spans="2:2">
      <c r="B63" s="62"/>
    </row>
    <row r="64" spans="2:2">
      <c r="B64" s="62"/>
    </row>
    <row r="65" spans="2:2">
      <c r="B65" s="62"/>
    </row>
    <row r="66" spans="2:2">
      <c r="B66" s="62"/>
    </row>
    <row r="80" spans="2:2">
      <c r="B80" s="62"/>
    </row>
    <row r="81" spans="2:2">
      <c r="B81" s="62"/>
    </row>
  </sheetData>
  <sheetProtection sheet="1" objects="1" scenarios="1"/>
  <phoneticPr fontId="4" type="noConversion"/>
  <conditionalFormatting sqref="B5:M12 B17:M24">
    <cfRule type="expression" dxfId="27" priority="2" stopIfTrue="1">
      <formula>COLUMN(B5)&lt;=mes0</formula>
    </cfRule>
  </conditionalFormatting>
  <conditionalFormatting sqref="B32:M39">
    <cfRule type="expression" dxfId="26" priority="1" stopIfTrue="1">
      <formula>B32=""</formula>
    </cfRule>
  </conditionalFormatting>
  <printOptions horizontalCentered="1" verticalCentered="1"/>
  <pageMargins left="0.38" right="0.19685039370078741" top="0.53" bottom="0.66" header="0.51181102362204722" footer="0.28999999999999998"/>
  <pageSetup paperSize="9" scale="79" fitToHeight="2" orientation="landscape" horizontalDpi="300" verticalDpi="300" r:id="rId1"/>
  <headerFooter alignWithMargins="0">
    <oddFooter>&amp;C&amp;"Tahoma,Normal"&amp;10&amp;A</oddFooter>
  </headerFooter>
  <rowBreaks count="1" manualBreakCount="1">
    <brk id="26"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3">
    <tabColor indexed="42"/>
  </sheetPr>
  <dimension ref="A1:T81"/>
  <sheetViews>
    <sheetView workbookViewId="0"/>
  </sheetViews>
  <sheetFormatPr baseColWidth="10" defaultColWidth="11" defaultRowHeight="12.75"/>
  <cols>
    <col min="1" max="1" width="24" style="239" customWidth="1"/>
    <col min="2" max="2" width="15.125" style="61" bestFit="1" customWidth="1"/>
    <col min="3" max="3" width="13" style="62" customWidth="1"/>
    <col min="4" max="4" width="11.5" style="62" customWidth="1"/>
    <col min="5" max="9" width="10.125" style="62" customWidth="1"/>
    <col min="10" max="13" width="11.25" style="62" customWidth="1"/>
    <col min="14" max="14" width="10.75" style="62" customWidth="1"/>
    <col min="15" max="15" width="11.5" style="239" customWidth="1"/>
    <col min="16" max="16384" width="11" style="62"/>
  </cols>
  <sheetData>
    <row r="1" spans="1:15" ht="22.5">
      <c r="A1" s="68" t="str">
        <f>'Prev.Vendas 0'!A1</f>
        <v>Previsões das Vendas da empresa</v>
      </c>
      <c r="D1" s="533"/>
      <c r="E1" s="432" t="str">
        <f>Parametros!C77</f>
        <v>Ano 1:  2027</v>
      </c>
    </row>
    <row r="2" spans="1:15" ht="22.5">
      <c r="A2" s="68" t="str">
        <f>'Dados Básicos'!B9</f>
        <v>WWW, S.L.</v>
      </c>
    </row>
    <row r="3" spans="1:15" ht="14.25" customHeight="1" thickBot="1">
      <c r="A3" s="60"/>
    </row>
    <row r="4" spans="1:15" s="458" customFormat="1" ht="15.75" customHeight="1" thickBot="1">
      <c r="A4" s="457" t="s">
        <v>38</v>
      </c>
      <c r="B4" s="455" t="str">
        <f t="array" ref="B4:M4">meses</f>
        <v>janeiro</v>
      </c>
      <c r="C4" s="451" t="str">
        <v>fevereiro</v>
      </c>
      <c r="D4" s="451" t="str">
        <v>março</v>
      </c>
      <c r="E4" s="451" t="str">
        <v>abril</v>
      </c>
      <c r="F4" s="451" t="str">
        <v>maio</v>
      </c>
      <c r="G4" s="451" t="str">
        <v>junho</v>
      </c>
      <c r="H4" s="451" t="str">
        <v>julho</v>
      </c>
      <c r="I4" s="451" t="str">
        <v>agosto</v>
      </c>
      <c r="J4" s="451" t="str">
        <v>setembro</v>
      </c>
      <c r="K4" s="451" t="str">
        <v>outubro</v>
      </c>
      <c r="L4" s="451" t="str">
        <v>novembro</v>
      </c>
      <c r="M4" s="452" t="str">
        <v>dezembro</v>
      </c>
      <c r="N4" s="449" t="s">
        <v>4</v>
      </c>
    </row>
    <row r="5" spans="1:15" ht="15.75" customHeight="1">
      <c r="A5" s="1996" t="str">
        <f t="array" ref="A5:A12">productos</f>
        <v>produto 1</v>
      </c>
      <c r="B5" s="589">
        <f t="array" aca="1" ref="B5:M12" ca="1">'Estimações Vendas'!B19:M26*Parametros!B$88:M$88</f>
        <v>1000</v>
      </c>
      <c r="C5" s="590">
        <f ca="1"/>
        <v>1000</v>
      </c>
      <c r="D5" s="590">
        <f ca="1"/>
        <v>1000</v>
      </c>
      <c r="E5" s="590">
        <f ca="1"/>
        <v>1000</v>
      </c>
      <c r="F5" s="590">
        <f ca="1"/>
        <v>1000</v>
      </c>
      <c r="G5" s="590">
        <f ca="1"/>
        <v>1000</v>
      </c>
      <c r="H5" s="590">
        <f ca="1"/>
        <v>1000</v>
      </c>
      <c r="I5" s="590">
        <f ca="1"/>
        <v>1000</v>
      </c>
      <c r="J5" s="590">
        <f ca="1"/>
        <v>1000</v>
      </c>
      <c r="K5" s="590">
        <f ca="1"/>
        <v>1000</v>
      </c>
      <c r="L5" s="590">
        <f ca="1"/>
        <v>1000</v>
      </c>
      <c r="M5" s="612">
        <f ca="1"/>
        <v>1000</v>
      </c>
      <c r="N5" s="591">
        <f t="shared" ref="N5:N12" ca="1" si="0">SUM(B5:M5)</f>
        <v>12000</v>
      </c>
      <c r="O5" s="62"/>
    </row>
    <row r="6" spans="1:15" ht="15.75" customHeight="1">
      <c r="A6" s="1997" t="str">
        <v/>
      </c>
      <c r="B6" s="592">
        <f ca="1"/>
        <v>0</v>
      </c>
      <c r="C6" s="593">
        <f ca="1"/>
        <v>0</v>
      </c>
      <c r="D6" s="593">
        <f ca="1"/>
        <v>0</v>
      </c>
      <c r="E6" s="593">
        <f ca="1"/>
        <v>0</v>
      </c>
      <c r="F6" s="593">
        <f ca="1"/>
        <v>0</v>
      </c>
      <c r="G6" s="593">
        <f ca="1"/>
        <v>0</v>
      </c>
      <c r="H6" s="593">
        <f ca="1"/>
        <v>0</v>
      </c>
      <c r="I6" s="593">
        <f ca="1"/>
        <v>0</v>
      </c>
      <c r="J6" s="593">
        <f ca="1"/>
        <v>0</v>
      </c>
      <c r="K6" s="593">
        <f ca="1"/>
        <v>0</v>
      </c>
      <c r="L6" s="593">
        <f ca="1"/>
        <v>0</v>
      </c>
      <c r="M6" s="613">
        <f ca="1"/>
        <v>0</v>
      </c>
      <c r="N6" s="594">
        <f t="shared" ca="1" si="0"/>
        <v>0</v>
      </c>
      <c r="O6" s="62"/>
    </row>
    <row r="7" spans="1:15" ht="15.75" customHeight="1">
      <c r="A7" s="1997" t="str">
        <v/>
      </c>
      <c r="B7" s="592">
        <f ca="1"/>
        <v>0</v>
      </c>
      <c r="C7" s="593">
        <f ca="1"/>
        <v>0</v>
      </c>
      <c r="D7" s="593">
        <f ca="1"/>
        <v>0</v>
      </c>
      <c r="E7" s="593">
        <f ca="1"/>
        <v>0</v>
      </c>
      <c r="F7" s="593">
        <f ca="1"/>
        <v>0</v>
      </c>
      <c r="G7" s="593">
        <f ca="1"/>
        <v>0</v>
      </c>
      <c r="H7" s="593">
        <f ca="1"/>
        <v>0</v>
      </c>
      <c r="I7" s="593">
        <f ca="1"/>
        <v>0</v>
      </c>
      <c r="J7" s="593">
        <f ca="1"/>
        <v>0</v>
      </c>
      <c r="K7" s="593">
        <f ca="1"/>
        <v>0</v>
      </c>
      <c r="L7" s="593">
        <f ca="1"/>
        <v>0</v>
      </c>
      <c r="M7" s="613">
        <f ca="1"/>
        <v>0</v>
      </c>
      <c r="N7" s="594">
        <f t="shared" ca="1" si="0"/>
        <v>0</v>
      </c>
      <c r="O7" s="62"/>
    </row>
    <row r="8" spans="1:15" ht="15.75" customHeight="1">
      <c r="A8" s="1997" t="str">
        <v/>
      </c>
      <c r="B8" s="592">
        <f ca="1"/>
        <v>0</v>
      </c>
      <c r="C8" s="593">
        <f ca="1"/>
        <v>0</v>
      </c>
      <c r="D8" s="593">
        <f ca="1"/>
        <v>0</v>
      </c>
      <c r="E8" s="593">
        <f ca="1"/>
        <v>0</v>
      </c>
      <c r="F8" s="593">
        <f ca="1"/>
        <v>0</v>
      </c>
      <c r="G8" s="593">
        <f ca="1"/>
        <v>0</v>
      </c>
      <c r="H8" s="593">
        <f ca="1"/>
        <v>0</v>
      </c>
      <c r="I8" s="593">
        <f ca="1"/>
        <v>0</v>
      </c>
      <c r="J8" s="593">
        <f ca="1"/>
        <v>0</v>
      </c>
      <c r="K8" s="593">
        <f ca="1"/>
        <v>0</v>
      </c>
      <c r="L8" s="593">
        <f ca="1"/>
        <v>0</v>
      </c>
      <c r="M8" s="613">
        <f ca="1"/>
        <v>0</v>
      </c>
      <c r="N8" s="594">
        <f t="shared" ca="1" si="0"/>
        <v>0</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thickBot="1">
      <c r="A12" s="1998" t="str">
        <v/>
      </c>
      <c r="B12" s="595">
        <f ca="1"/>
        <v>0</v>
      </c>
      <c r="C12" s="596">
        <f ca="1"/>
        <v>0</v>
      </c>
      <c r="D12" s="596">
        <f ca="1"/>
        <v>0</v>
      </c>
      <c r="E12" s="596">
        <f ca="1"/>
        <v>0</v>
      </c>
      <c r="F12" s="596">
        <f ca="1"/>
        <v>0</v>
      </c>
      <c r="G12" s="596">
        <f ca="1"/>
        <v>0</v>
      </c>
      <c r="H12" s="596">
        <f ca="1"/>
        <v>0</v>
      </c>
      <c r="I12" s="596">
        <f ca="1"/>
        <v>0</v>
      </c>
      <c r="J12" s="596">
        <f ca="1"/>
        <v>0</v>
      </c>
      <c r="K12" s="596">
        <f ca="1"/>
        <v>0</v>
      </c>
      <c r="L12" s="596">
        <f ca="1"/>
        <v>0</v>
      </c>
      <c r="M12" s="614">
        <f ca="1"/>
        <v>0</v>
      </c>
      <c r="N12" s="597">
        <f t="shared" ca="1" si="0"/>
        <v>0</v>
      </c>
      <c r="O12" s="62"/>
    </row>
    <row r="13" spans="1:15" ht="15">
      <c r="A13" s="73"/>
    </row>
    <row r="14" spans="1:15" ht="15">
      <c r="A14" s="73"/>
    </row>
    <row r="15" spans="1:15" ht="15.75" thickBot="1">
      <c r="A15" s="220"/>
    </row>
    <row r="16" spans="1:15" s="456" customFormat="1" ht="15.75" customHeight="1" thickBot="1">
      <c r="A16" s="457" t="str">
        <f>'Prev.Vendas 0'!A16</f>
        <v>Vendas (Euros)</v>
      </c>
      <c r="B16" s="455" t="str">
        <f t="array" ref="B16:M16">meses</f>
        <v>janeiro</v>
      </c>
      <c r="C16" s="451" t="str">
        <v>fevereiro</v>
      </c>
      <c r="D16" s="451" t="str">
        <v>março</v>
      </c>
      <c r="E16" s="451" t="str">
        <v>abril</v>
      </c>
      <c r="F16" s="451" t="str">
        <v>maio</v>
      </c>
      <c r="G16" s="451" t="str">
        <v>junho</v>
      </c>
      <c r="H16" s="451" t="str">
        <v>julho</v>
      </c>
      <c r="I16" s="451" t="str">
        <v>agosto</v>
      </c>
      <c r="J16" s="451" t="str">
        <v>setembro</v>
      </c>
      <c r="K16" s="451" t="str">
        <v>outubro</v>
      </c>
      <c r="L16" s="451" t="str">
        <v>novembro</v>
      </c>
      <c r="M16" s="452" t="str">
        <v>dezembro</v>
      </c>
      <c r="N16" s="449" t="s">
        <v>4</v>
      </c>
    </row>
    <row r="17" spans="1:15" ht="15.75" customHeight="1">
      <c r="A17" s="1996" t="str">
        <f t="array" ref="A17:A24">productos</f>
        <v>produto 1</v>
      </c>
      <c r="B17" s="598">
        <f t="array" aca="1" ref="B17:M24" ca="1">B5:M12*'Preços-CV'!$D7:$D14</f>
        <v>1030</v>
      </c>
      <c r="C17" s="599">
        <f ca="1"/>
        <v>1030</v>
      </c>
      <c r="D17" s="599">
        <f ca="1"/>
        <v>1030</v>
      </c>
      <c r="E17" s="599">
        <f ca="1"/>
        <v>1030</v>
      </c>
      <c r="F17" s="599">
        <f ca="1"/>
        <v>1030</v>
      </c>
      <c r="G17" s="599">
        <f ca="1"/>
        <v>1030</v>
      </c>
      <c r="H17" s="599">
        <f ca="1"/>
        <v>1030</v>
      </c>
      <c r="I17" s="599">
        <f ca="1"/>
        <v>1030</v>
      </c>
      <c r="J17" s="599">
        <f ca="1"/>
        <v>1030</v>
      </c>
      <c r="K17" s="599">
        <f ca="1"/>
        <v>1030</v>
      </c>
      <c r="L17" s="599">
        <f ca="1"/>
        <v>1030</v>
      </c>
      <c r="M17" s="609">
        <f ca="1"/>
        <v>1030</v>
      </c>
      <c r="N17" s="591">
        <f t="shared" ref="N17:N25" ca="1" si="1">SUM(B17:M17)</f>
        <v>12360</v>
      </c>
      <c r="O17" s="62"/>
    </row>
    <row r="18" spans="1:15" ht="15.75" customHeight="1">
      <c r="A18" s="1997" t="str">
        <v/>
      </c>
      <c r="B18" s="600">
        <f ca="1"/>
        <v>0</v>
      </c>
      <c r="C18" s="601">
        <f ca="1"/>
        <v>0</v>
      </c>
      <c r="D18" s="601">
        <f ca="1"/>
        <v>0</v>
      </c>
      <c r="E18" s="601">
        <f ca="1"/>
        <v>0</v>
      </c>
      <c r="F18" s="601">
        <f ca="1"/>
        <v>0</v>
      </c>
      <c r="G18" s="601">
        <f ca="1"/>
        <v>0</v>
      </c>
      <c r="H18" s="601">
        <f ca="1"/>
        <v>0</v>
      </c>
      <c r="I18" s="601">
        <f ca="1"/>
        <v>0</v>
      </c>
      <c r="J18" s="601">
        <f ca="1"/>
        <v>0</v>
      </c>
      <c r="K18" s="601">
        <f ca="1"/>
        <v>0</v>
      </c>
      <c r="L18" s="601">
        <f ca="1"/>
        <v>0</v>
      </c>
      <c r="M18" s="610">
        <f ca="1"/>
        <v>0</v>
      </c>
      <c r="N18" s="594">
        <f t="shared" ca="1" si="1"/>
        <v>0</v>
      </c>
      <c r="O18" s="62"/>
    </row>
    <row r="19" spans="1:15" ht="15.75" customHeight="1">
      <c r="A19" s="1997" t="str">
        <v/>
      </c>
      <c r="B19" s="600">
        <f ca="1"/>
        <v>0</v>
      </c>
      <c r="C19" s="601">
        <f ca="1"/>
        <v>0</v>
      </c>
      <c r="D19" s="601">
        <f ca="1"/>
        <v>0</v>
      </c>
      <c r="E19" s="601">
        <f ca="1"/>
        <v>0</v>
      </c>
      <c r="F19" s="601">
        <f ca="1"/>
        <v>0</v>
      </c>
      <c r="G19" s="601">
        <f ca="1"/>
        <v>0</v>
      </c>
      <c r="H19" s="601">
        <f ca="1"/>
        <v>0</v>
      </c>
      <c r="I19" s="601">
        <f ca="1"/>
        <v>0</v>
      </c>
      <c r="J19" s="601">
        <f ca="1"/>
        <v>0</v>
      </c>
      <c r="K19" s="601">
        <f ca="1"/>
        <v>0</v>
      </c>
      <c r="L19" s="601">
        <f ca="1"/>
        <v>0</v>
      </c>
      <c r="M19" s="610">
        <f ca="1"/>
        <v>0</v>
      </c>
      <c r="N19" s="594">
        <f t="shared" ca="1" si="1"/>
        <v>0</v>
      </c>
      <c r="O19" s="62"/>
    </row>
    <row r="20" spans="1:15" ht="15.75" customHeight="1">
      <c r="A20" s="1997" t="str">
        <v/>
      </c>
      <c r="B20" s="600">
        <f ca="1"/>
        <v>0</v>
      </c>
      <c r="C20" s="601">
        <f ca="1"/>
        <v>0</v>
      </c>
      <c r="D20" s="601">
        <f ca="1"/>
        <v>0</v>
      </c>
      <c r="E20" s="601">
        <f ca="1"/>
        <v>0</v>
      </c>
      <c r="F20" s="601">
        <f ca="1"/>
        <v>0</v>
      </c>
      <c r="G20" s="601">
        <f ca="1"/>
        <v>0</v>
      </c>
      <c r="H20" s="601">
        <f ca="1"/>
        <v>0</v>
      </c>
      <c r="I20" s="601">
        <f ca="1"/>
        <v>0</v>
      </c>
      <c r="J20" s="601">
        <f ca="1"/>
        <v>0</v>
      </c>
      <c r="K20" s="601">
        <f ca="1"/>
        <v>0</v>
      </c>
      <c r="L20" s="601">
        <f ca="1"/>
        <v>0</v>
      </c>
      <c r="M20" s="610">
        <f ca="1"/>
        <v>0</v>
      </c>
      <c r="N20" s="594">
        <f t="shared" ca="1" si="1"/>
        <v>0</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thickBot="1">
      <c r="A24" s="1998" t="str">
        <v/>
      </c>
      <c r="B24" s="602">
        <f ca="1"/>
        <v>0</v>
      </c>
      <c r="C24" s="603">
        <f ca="1"/>
        <v>0</v>
      </c>
      <c r="D24" s="603">
        <f ca="1"/>
        <v>0</v>
      </c>
      <c r="E24" s="603">
        <f ca="1"/>
        <v>0</v>
      </c>
      <c r="F24" s="603">
        <f ca="1"/>
        <v>0</v>
      </c>
      <c r="G24" s="603">
        <f ca="1"/>
        <v>0</v>
      </c>
      <c r="H24" s="603">
        <f ca="1"/>
        <v>0</v>
      </c>
      <c r="I24" s="603">
        <f ca="1"/>
        <v>0</v>
      </c>
      <c r="J24" s="603">
        <f ca="1"/>
        <v>0</v>
      </c>
      <c r="K24" s="603">
        <f ca="1"/>
        <v>0</v>
      </c>
      <c r="L24" s="603">
        <f ca="1"/>
        <v>0</v>
      </c>
      <c r="M24" s="611">
        <f ca="1"/>
        <v>0</v>
      </c>
      <c r="N24" s="604">
        <f t="shared" ca="1" si="1"/>
        <v>0</v>
      </c>
      <c r="O24" s="62"/>
    </row>
    <row r="25" spans="1:15" ht="15.75" customHeight="1" thickBot="1">
      <c r="A25" s="105" t="s">
        <v>4</v>
      </c>
      <c r="B25" s="606">
        <f t="shared" ref="B25:M25" ca="1" si="2">B17+B18+B19+B20+B21+B22+B23+B24</f>
        <v>1030</v>
      </c>
      <c r="C25" s="607">
        <f t="shared" ca="1" si="2"/>
        <v>1030</v>
      </c>
      <c r="D25" s="607">
        <f t="shared" ca="1" si="2"/>
        <v>1030</v>
      </c>
      <c r="E25" s="607">
        <f t="shared" ca="1" si="2"/>
        <v>1030</v>
      </c>
      <c r="F25" s="607">
        <f t="shared" ca="1" si="2"/>
        <v>1030</v>
      </c>
      <c r="G25" s="607">
        <f t="shared" ca="1" si="2"/>
        <v>1030</v>
      </c>
      <c r="H25" s="607">
        <f t="shared" ca="1" si="2"/>
        <v>1030</v>
      </c>
      <c r="I25" s="607">
        <f t="shared" ca="1" si="2"/>
        <v>1030</v>
      </c>
      <c r="J25" s="607">
        <f t="shared" ca="1" si="2"/>
        <v>1030</v>
      </c>
      <c r="K25" s="607">
        <f t="shared" ca="1" si="2"/>
        <v>1030</v>
      </c>
      <c r="L25" s="607">
        <f t="shared" ca="1" si="2"/>
        <v>1030</v>
      </c>
      <c r="M25" s="608">
        <f t="shared" ca="1" si="2"/>
        <v>1030</v>
      </c>
      <c r="N25" s="605">
        <f t="shared" ca="1" si="1"/>
        <v>12360</v>
      </c>
      <c r="O25" s="62"/>
    </row>
    <row r="26" spans="1:15" ht="15">
      <c r="A26" s="220"/>
    </row>
    <row r="27" spans="1:15" ht="15">
      <c r="A27" s="220"/>
    </row>
    <row r="28" spans="1:15" ht="23.25" customHeight="1">
      <c r="A28" s="68" t="str">
        <f>'Prev.Vendas 0'!A28</f>
        <v>Sazonalidade das Vendas</v>
      </c>
      <c r="B28" s="62"/>
      <c r="D28" s="432" t="str">
        <f>E1</f>
        <v>Ano 1:  2027</v>
      </c>
    </row>
    <row r="29" spans="1:15" ht="22.5">
      <c r="A29" s="68" t="str">
        <f>'Dados Básicos'!B9</f>
        <v>WWW, S.L.</v>
      </c>
    </row>
    <row r="30" spans="1:15" ht="14.25" customHeight="1" thickBot="1">
      <c r="A30" s="60"/>
    </row>
    <row r="31" spans="1:15" s="454" customFormat="1" ht="18.75" customHeight="1" thickBot="1">
      <c r="A31" s="459" t="s">
        <v>7</v>
      </c>
      <c r="B31" s="450"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
        <v>4</v>
      </c>
      <c r="O31" s="453"/>
    </row>
    <row r="32" spans="1:15" ht="18.75" customHeight="1">
      <c r="A32" s="2012" t="str">
        <f t="array" ref="A32:A39">productos</f>
        <v>produto 1</v>
      </c>
      <c r="B32" s="2015" t="str">
        <f t="array" aca="1" ref="B32:M39" ca="1">IF(OR($N17:$N24=0,B17:M24=""),"",B17:M24/$N17:$N24)</f>
        <v/>
      </c>
      <c r="C32" s="441" t="str">
        <f ca="1"/>
        <v/>
      </c>
      <c r="D32" s="441" t="str">
        <f ca="1"/>
        <v/>
      </c>
      <c r="E32" s="441" t="str">
        <f ca="1"/>
        <v/>
      </c>
      <c r="F32" s="441" t="str">
        <f ca="1"/>
        <v/>
      </c>
      <c r="G32" s="441" t="str">
        <f ca="1"/>
        <v/>
      </c>
      <c r="H32" s="441" t="str">
        <f ca="1"/>
        <v/>
      </c>
      <c r="I32" s="441" t="str">
        <f ca="1"/>
        <v/>
      </c>
      <c r="J32" s="441" t="str">
        <f ca="1"/>
        <v/>
      </c>
      <c r="K32" s="441" t="str">
        <f ca="1"/>
        <v/>
      </c>
      <c r="L32" s="441" t="str">
        <f ca="1"/>
        <v/>
      </c>
      <c r="M32" s="442" t="str">
        <f ca="1"/>
        <v/>
      </c>
      <c r="N32" s="586">
        <f t="shared" ref="N32:N40" ca="1" si="3">SUM(B32:M32)</f>
        <v>0</v>
      </c>
    </row>
    <row r="33" spans="1:20" ht="18.75" customHeight="1">
      <c r="A33" s="2013" t="str">
        <v/>
      </c>
      <c r="B33" s="2016" t="str">
        <f ca="1"/>
        <v/>
      </c>
      <c r="C33" s="443" t="str">
        <f ca="1"/>
        <v/>
      </c>
      <c r="D33" s="443" t="str">
        <f ca="1"/>
        <v/>
      </c>
      <c r="E33" s="443" t="str">
        <f ca="1"/>
        <v/>
      </c>
      <c r="F33" s="443" t="str">
        <f ca="1"/>
        <v/>
      </c>
      <c r="G33" s="443" t="str">
        <f ca="1"/>
        <v/>
      </c>
      <c r="H33" s="443" t="str">
        <f ca="1"/>
        <v/>
      </c>
      <c r="I33" s="443" t="str">
        <f ca="1"/>
        <v/>
      </c>
      <c r="J33" s="443" t="str">
        <f ca="1"/>
        <v/>
      </c>
      <c r="K33" s="443" t="str">
        <f ca="1"/>
        <v/>
      </c>
      <c r="L33" s="443" t="str">
        <f ca="1"/>
        <v/>
      </c>
      <c r="M33" s="444" t="str">
        <f ca="1"/>
        <v/>
      </c>
      <c r="N33" s="587">
        <f t="shared" ca="1" si="3"/>
        <v>0</v>
      </c>
    </row>
    <row r="34" spans="1:20" ht="18.75" customHeight="1">
      <c r="A34" s="2013" t="str">
        <v/>
      </c>
      <c r="B34" s="2016" t="str">
        <f ca="1"/>
        <v/>
      </c>
      <c r="C34" s="443" t="str">
        <f ca="1"/>
        <v/>
      </c>
      <c r="D34" s="443" t="str">
        <f ca="1"/>
        <v/>
      </c>
      <c r="E34" s="443" t="str">
        <f ca="1"/>
        <v/>
      </c>
      <c r="F34" s="443" t="str">
        <f ca="1"/>
        <v/>
      </c>
      <c r="G34" s="443" t="str">
        <f ca="1"/>
        <v/>
      </c>
      <c r="H34" s="443" t="str">
        <f ca="1"/>
        <v/>
      </c>
      <c r="I34" s="443" t="str">
        <f ca="1"/>
        <v/>
      </c>
      <c r="J34" s="443" t="str">
        <f ca="1"/>
        <v/>
      </c>
      <c r="K34" s="443" t="str">
        <f ca="1"/>
        <v/>
      </c>
      <c r="L34" s="443" t="str">
        <f ca="1"/>
        <v/>
      </c>
      <c r="M34" s="444" t="str">
        <f ca="1"/>
        <v/>
      </c>
      <c r="N34" s="587">
        <f t="shared" ca="1" si="3"/>
        <v>0</v>
      </c>
    </row>
    <row r="35" spans="1:20" ht="18.75" customHeight="1">
      <c r="A35" s="2013" t="str">
        <v/>
      </c>
      <c r="B35" s="2016" t="str">
        <f ca="1"/>
        <v/>
      </c>
      <c r="C35" s="443" t="str">
        <f ca="1"/>
        <v/>
      </c>
      <c r="D35" s="443" t="str">
        <f ca="1"/>
        <v/>
      </c>
      <c r="E35" s="443" t="str">
        <f ca="1"/>
        <v/>
      </c>
      <c r="F35" s="443" t="str">
        <f ca="1"/>
        <v/>
      </c>
      <c r="G35" s="443" t="str">
        <f ca="1"/>
        <v/>
      </c>
      <c r="H35" s="443" t="str">
        <f ca="1"/>
        <v/>
      </c>
      <c r="I35" s="443" t="str">
        <f ca="1"/>
        <v/>
      </c>
      <c r="J35" s="443" t="str">
        <f ca="1"/>
        <v/>
      </c>
      <c r="K35" s="443" t="str">
        <f ca="1"/>
        <v/>
      </c>
      <c r="L35" s="443" t="str">
        <f ca="1"/>
        <v/>
      </c>
      <c r="M35" s="444" t="str">
        <f ca="1"/>
        <v/>
      </c>
      <c r="N35" s="587">
        <f t="shared" ca="1" si="3"/>
        <v>0</v>
      </c>
    </row>
    <row r="36" spans="1:20" ht="18.75" customHeight="1">
      <c r="A36" s="2013" t="str">
        <v/>
      </c>
      <c r="B36" s="2016" t="str">
        <f ca="1"/>
        <v/>
      </c>
      <c r="C36" s="443" t="str">
        <f ca="1"/>
        <v/>
      </c>
      <c r="D36" s="443" t="str">
        <f ca="1"/>
        <v/>
      </c>
      <c r="E36" s="443" t="str">
        <f ca="1"/>
        <v/>
      </c>
      <c r="F36" s="443" t="str">
        <f ca="1"/>
        <v/>
      </c>
      <c r="G36" s="443" t="str">
        <f ca="1"/>
        <v/>
      </c>
      <c r="H36" s="443" t="str">
        <f ca="1"/>
        <v/>
      </c>
      <c r="I36" s="443" t="str">
        <f ca="1"/>
        <v/>
      </c>
      <c r="J36" s="443" t="str">
        <f ca="1"/>
        <v/>
      </c>
      <c r="K36" s="443" t="str">
        <f ca="1"/>
        <v/>
      </c>
      <c r="L36" s="443" t="str">
        <f ca="1"/>
        <v/>
      </c>
      <c r="M36" s="444" t="str">
        <f ca="1"/>
        <v/>
      </c>
      <c r="N36" s="587">
        <f t="shared" ca="1" si="3"/>
        <v>0</v>
      </c>
    </row>
    <row r="37" spans="1:20" ht="18.75" customHeight="1">
      <c r="A37" s="2013" t="str">
        <v/>
      </c>
      <c r="B37" s="2016" t="str">
        <f ca="1"/>
        <v/>
      </c>
      <c r="C37" s="443" t="str">
        <f ca="1"/>
        <v/>
      </c>
      <c r="D37" s="443" t="str">
        <f ca="1"/>
        <v/>
      </c>
      <c r="E37" s="443" t="str">
        <f ca="1"/>
        <v/>
      </c>
      <c r="F37" s="443" t="str">
        <f ca="1"/>
        <v/>
      </c>
      <c r="G37" s="443" t="str">
        <f ca="1"/>
        <v/>
      </c>
      <c r="H37" s="443" t="str">
        <f ca="1"/>
        <v/>
      </c>
      <c r="I37" s="443" t="str">
        <f ca="1"/>
        <v/>
      </c>
      <c r="J37" s="443" t="str">
        <f ca="1"/>
        <v/>
      </c>
      <c r="K37" s="443" t="str">
        <f ca="1"/>
        <v/>
      </c>
      <c r="L37" s="443" t="str">
        <f ca="1"/>
        <v/>
      </c>
      <c r="M37" s="444" t="str">
        <f ca="1"/>
        <v/>
      </c>
      <c r="N37" s="587">
        <f t="shared" ca="1" si="3"/>
        <v>0</v>
      </c>
    </row>
    <row r="38" spans="1:20" ht="18.75" customHeight="1">
      <c r="A38" s="2013" t="str">
        <v/>
      </c>
      <c r="B38" s="2016" t="str">
        <f ca="1"/>
        <v/>
      </c>
      <c r="C38" s="443" t="str">
        <f ca="1"/>
        <v/>
      </c>
      <c r="D38" s="443" t="str">
        <f ca="1"/>
        <v/>
      </c>
      <c r="E38" s="443" t="str">
        <f ca="1"/>
        <v/>
      </c>
      <c r="F38" s="443" t="str">
        <f ca="1"/>
        <v/>
      </c>
      <c r="G38" s="443" t="str">
        <f ca="1"/>
        <v/>
      </c>
      <c r="H38" s="443" t="str">
        <f ca="1"/>
        <v/>
      </c>
      <c r="I38" s="443" t="str">
        <f ca="1"/>
        <v/>
      </c>
      <c r="J38" s="443" t="str">
        <f ca="1"/>
        <v/>
      </c>
      <c r="K38" s="443" t="str">
        <f ca="1"/>
        <v/>
      </c>
      <c r="L38" s="443" t="str">
        <f ca="1"/>
        <v/>
      </c>
      <c r="M38" s="444" t="str">
        <f ca="1"/>
        <v/>
      </c>
      <c r="N38" s="587">
        <f t="shared" ca="1" si="3"/>
        <v>0</v>
      </c>
    </row>
    <row r="39" spans="1:20" ht="18.75" customHeight="1" thickBot="1">
      <c r="A39" s="2014" t="str">
        <v/>
      </c>
      <c r="B39" s="2017" t="str">
        <f ca="1"/>
        <v/>
      </c>
      <c r="C39" s="445" t="str">
        <f ca="1"/>
        <v/>
      </c>
      <c r="D39" s="445" t="str">
        <f ca="1"/>
        <v/>
      </c>
      <c r="E39" s="445" t="str">
        <f ca="1"/>
        <v/>
      </c>
      <c r="F39" s="445" t="str">
        <f ca="1"/>
        <v/>
      </c>
      <c r="G39" s="445" t="str">
        <f ca="1"/>
        <v/>
      </c>
      <c r="H39" s="445" t="str">
        <f ca="1"/>
        <v/>
      </c>
      <c r="I39" s="445" t="str">
        <f ca="1"/>
        <v/>
      </c>
      <c r="J39" s="445" t="str">
        <f ca="1"/>
        <v/>
      </c>
      <c r="K39" s="445" t="str">
        <f ca="1"/>
        <v/>
      </c>
      <c r="L39" s="445" t="str">
        <f ca="1"/>
        <v/>
      </c>
      <c r="M39" s="446" t="str">
        <f ca="1"/>
        <v/>
      </c>
      <c r="N39" s="588">
        <f t="shared" ca="1" si="3"/>
        <v>0</v>
      </c>
    </row>
    <row r="40" spans="1:20" s="36" customFormat="1" ht="18.75" customHeight="1" thickBot="1">
      <c r="A40" s="2835" t="str">
        <f>'Prev.Vendas 0'!A40</f>
        <v>Percentágem</v>
      </c>
      <c r="B40" s="2018">
        <f t="array" aca="1" ref="B40:M40" ca="1">B25:M25/$N$25</f>
        <v>8.3333333333333329E-2</v>
      </c>
      <c r="C40" s="447">
        <f ca="1"/>
        <v>8.3333333333333329E-2</v>
      </c>
      <c r="D40" s="447">
        <f ca="1"/>
        <v>8.3333333333333329E-2</v>
      </c>
      <c r="E40" s="447">
        <f ca="1"/>
        <v>8.3333333333333329E-2</v>
      </c>
      <c r="F40" s="447">
        <f ca="1"/>
        <v>8.3333333333333329E-2</v>
      </c>
      <c r="G40" s="447">
        <f ca="1"/>
        <v>8.3333333333333329E-2</v>
      </c>
      <c r="H40" s="447">
        <f ca="1"/>
        <v>8.3333333333333329E-2</v>
      </c>
      <c r="I40" s="447">
        <f ca="1"/>
        <v>8.3333333333333329E-2</v>
      </c>
      <c r="J40" s="447">
        <f ca="1"/>
        <v>8.3333333333333329E-2</v>
      </c>
      <c r="K40" s="447">
        <f ca="1"/>
        <v>8.3333333333333329E-2</v>
      </c>
      <c r="L40" s="447">
        <f ca="1"/>
        <v>8.3333333333333329E-2</v>
      </c>
      <c r="M40" s="447">
        <f ca="1"/>
        <v>8.3333333333333329E-2</v>
      </c>
      <c r="N40" s="448">
        <f t="shared" ca="1" si="3"/>
        <v>1</v>
      </c>
      <c r="O40" s="239"/>
      <c r="P40" s="62"/>
      <c r="Q40" s="62"/>
      <c r="R40" s="62"/>
      <c r="S40" s="62"/>
      <c r="T40" s="62"/>
    </row>
    <row r="41" spans="1:20" s="36" customFormat="1" ht="18.75" customHeight="1"/>
    <row r="43" spans="1:20">
      <c r="B43" s="62"/>
    </row>
    <row r="44" spans="1:20">
      <c r="B44" s="62"/>
    </row>
    <row r="45" spans="1:20">
      <c r="B45" s="62"/>
    </row>
    <row r="46" spans="1:20">
      <c r="B46" s="62"/>
    </row>
    <row r="47" spans="1:20">
      <c r="B47" s="62"/>
    </row>
    <row r="48" spans="1:20">
      <c r="B48" s="62"/>
    </row>
    <row r="49" spans="2:2">
      <c r="B49" s="62"/>
    </row>
    <row r="50" spans="2:2">
      <c r="B50" s="62"/>
    </row>
    <row r="51" spans="2:2">
      <c r="B51" s="62"/>
    </row>
    <row r="52" spans="2:2">
      <c r="B52" s="62"/>
    </row>
    <row r="53" spans="2:2">
      <c r="B53" s="62"/>
    </row>
    <row r="54" spans="2:2">
      <c r="B54" s="62"/>
    </row>
    <row r="55" spans="2:2">
      <c r="B55" s="62"/>
    </row>
    <row r="56" spans="2:2">
      <c r="B56" s="62"/>
    </row>
    <row r="57" spans="2:2">
      <c r="B57" s="62"/>
    </row>
    <row r="58" spans="2:2">
      <c r="B58" s="62"/>
    </row>
    <row r="59" spans="2:2">
      <c r="B59" s="62"/>
    </row>
    <row r="60" spans="2:2">
      <c r="B60" s="62"/>
    </row>
    <row r="61" spans="2:2">
      <c r="B61" s="62"/>
    </row>
    <row r="62" spans="2:2">
      <c r="B62" s="62"/>
    </row>
    <row r="63" spans="2:2">
      <c r="B63" s="62"/>
    </row>
    <row r="64" spans="2:2">
      <c r="B64" s="62"/>
    </row>
    <row r="65" spans="2:2">
      <c r="B65" s="62"/>
    </row>
    <row r="66" spans="2:2">
      <c r="B66" s="62"/>
    </row>
    <row r="80" spans="2:2">
      <c r="B80" s="62"/>
    </row>
    <row r="81" spans="2:2">
      <c r="B81" s="62"/>
    </row>
  </sheetData>
  <sheetProtection sheet="1" objects="1" scenarios="1"/>
  <phoneticPr fontId="4" type="noConversion"/>
  <conditionalFormatting sqref="B32:M39">
    <cfRule type="expression" dxfId="25" priority="1" stopIfTrue="1">
      <formula>B32=""</formula>
    </cfRule>
  </conditionalFormatting>
  <printOptions horizontalCentered="1" verticalCentered="1"/>
  <pageMargins left="0.38" right="0.19685039370078741" top="0.53" bottom="0.71"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4">
    <tabColor indexed="42"/>
  </sheetPr>
  <dimension ref="A1:T81"/>
  <sheetViews>
    <sheetView workbookViewId="0"/>
  </sheetViews>
  <sheetFormatPr baseColWidth="10" defaultColWidth="11" defaultRowHeight="12.75"/>
  <cols>
    <col min="1" max="1" width="24.5" style="239" customWidth="1"/>
    <col min="2" max="2" width="15.125" style="61" bestFit="1" customWidth="1"/>
    <col min="3" max="3" width="13" style="62" customWidth="1"/>
    <col min="4" max="9" width="10.125" style="62" customWidth="1"/>
    <col min="10" max="13" width="11.25" style="62" customWidth="1"/>
    <col min="14" max="14" width="10.75" style="62" customWidth="1"/>
    <col min="15" max="15" width="12.25" style="239" customWidth="1"/>
    <col min="16" max="16384" width="11" style="62"/>
  </cols>
  <sheetData>
    <row r="1" spans="1:15" ht="22.5">
      <c r="A1" s="68" t="str">
        <f>'Prev.Vendas 0'!A1</f>
        <v>Previsões das Vendas da empresa</v>
      </c>
      <c r="D1" s="534"/>
      <c r="E1" s="432" t="str">
        <f>Parametros!D77</f>
        <v>Ano 2:  2028</v>
      </c>
    </row>
    <row r="2" spans="1:15" ht="22.5">
      <c r="A2" s="68" t="str">
        <f>'Dados Básicos'!B9</f>
        <v>WWW, S.L.</v>
      </c>
    </row>
    <row r="3" spans="1:15" ht="14.25" customHeight="1" thickBot="1">
      <c r="A3" s="60"/>
    </row>
    <row r="4" spans="1:15" s="458" customFormat="1" ht="15.75" customHeight="1" thickBot="1">
      <c r="A4" s="457" t="s">
        <v>38</v>
      </c>
      <c r="B4" s="455" t="str">
        <f t="array" ref="B4:M4">meses</f>
        <v>janeiro</v>
      </c>
      <c r="C4" s="451" t="str">
        <v>fevereiro</v>
      </c>
      <c r="D4" s="451" t="str">
        <v>março</v>
      </c>
      <c r="E4" s="451" t="str">
        <v>abril</v>
      </c>
      <c r="F4" s="451" t="str">
        <v>maio</v>
      </c>
      <c r="G4" s="451" t="str">
        <v>junho</v>
      </c>
      <c r="H4" s="451" t="str">
        <v>julho</v>
      </c>
      <c r="I4" s="451" t="str">
        <v>agosto</v>
      </c>
      <c r="J4" s="451" t="str">
        <v>setembro</v>
      </c>
      <c r="K4" s="451" t="str">
        <v>outubro</v>
      </c>
      <c r="L4" s="451" t="str">
        <v>novembro</v>
      </c>
      <c r="M4" s="452" t="str">
        <v>dezembro</v>
      </c>
      <c r="N4" s="449" t="s">
        <v>4</v>
      </c>
    </row>
    <row r="5" spans="1:15" ht="15.75" customHeight="1">
      <c r="A5" s="1996" t="str">
        <f t="array" ref="A5:A12">productos</f>
        <v>produto 1</v>
      </c>
      <c r="B5" s="589">
        <f t="array" aca="1" ref="B5:M12" ca="1">'Estimações Vendas'!B32:M39*Parametros!B$88:M$88</f>
        <v>1050</v>
      </c>
      <c r="C5" s="590">
        <f ca="1"/>
        <v>1050</v>
      </c>
      <c r="D5" s="590">
        <f ca="1"/>
        <v>1050</v>
      </c>
      <c r="E5" s="590">
        <f ca="1"/>
        <v>1050</v>
      </c>
      <c r="F5" s="590">
        <f ca="1"/>
        <v>1050</v>
      </c>
      <c r="G5" s="590">
        <f ca="1"/>
        <v>1050</v>
      </c>
      <c r="H5" s="590">
        <f ca="1"/>
        <v>1050</v>
      </c>
      <c r="I5" s="590">
        <f ca="1"/>
        <v>1050</v>
      </c>
      <c r="J5" s="590">
        <f ca="1"/>
        <v>1050</v>
      </c>
      <c r="K5" s="590">
        <f ca="1"/>
        <v>1050</v>
      </c>
      <c r="L5" s="590">
        <f ca="1"/>
        <v>1050</v>
      </c>
      <c r="M5" s="612">
        <f ca="1"/>
        <v>1050</v>
      </c>
      <c r="N5" s="591">
        <f t="shared" ref="N5:N12" ca="1" si="0">SUM(B5:M5)</f>
        <v>12600</v>
      </c>
      <c r="O5" s="62"/>
    </row>
    <row r="6" spans="1:15" ht="15.75" customHeight="1">
      <c r="A6" s="1997" t="str">
        <v/>
      </c>
      <c r="B6" s="592">
        <f ca="1"/>
        <v>0</v>
      </c>
      <c r="C6" s="593">
        <f ca="1"/>
        <v>0</v>
      </c>
      <c r="D6" s="593">
        <f ca="1"/>
        <v>0</v>
      </c>
      <c r="E6" s="593">
        <f ca="1"/>
        <v>0</v>
      </c>
      <c r="F6" s="593">
        <f ca="1"/>
        <v>0</v>
      </c>
      <c r="G6" s="593">
        <f ca="1"/>
        <v>0</v>
      </c>
      <c r="H6" s="593">
        <f ca="1"/>
        <v>0</v>
      </c>
      <c r="I6" s="593">
        <f ca="1"/>
        <v>0</v>
      </c>
      <c r="J6" s="593">
        <f ca="1"/>
        <v>0</v>
      </c>
      <c r="K6" s="593">
        <f ca="1"/>
        <v>0</v>
      </c>
      <c r="L6" s="593">
        <f ca="1"/>
        <v>0</v>
      </c>
      <c r="M6" s="613">
        <f ca="1"/>
        <v>0</v>
      </c>
      <c r="N6" s="594">
        <f t="shared" ca="1" si="0"/>
        <v>0</v>
      </c>
      <c r="O6" s="62"/>
    </row>
    <row r="7" spans="1:15" ht="15.75" customHeight="1">
      <c r="A7" s="1997" t="str">
        <v/>
      </c>
      <c r="B7" s="592">
        <f ca="1"/>
        <v>0</v>
      </c>
      <c r="C7" s="593">
        <f ca="1"/>
        <v>0</v>
      </c>
      <c r="D7" s="593">
        <f ca="1"/>
        <v>0</v>
      </c>
      <c r="E7" s="593">
        <f ca="1"/>
        <v>0</v>
      </c>
      <c r="F7" s="593">
        <f ca="1"/>
        <v>0</v>
      </c>
      <c r="G7" s="593">
        <f ca="1"/>
        <v>0</v>
      </c>
      <c r="H7" s="593">
        <f ca="1"/>
        <v>0</v>
      </c>
      <c r="I7" s="593">
        <f ca="1"/>
        <v>0</v>
      </c>
      <c r="J7" s="593">
        <f ca="1"/>
        <v>0</v>
      </c>
      <c r="K7" s="593">
        <f ca="1"/>
        <v>0</v>
      </c>
      <c r="L7" s="593">
        <f ca="1"/>
        <v>0</v>
      </c>
      <c r="M7" s="613">
        <f ca="1"/>
        <v>0</v>
      </c>
      <c r="N7" s="594">
        <f t="shared" ca="1" si="0"/>
        <v>0</v>
      </c>
      <c r="O7" s="62"/>
    </row>
    <row r="8" spans="1:15" ht="15.75" customHeight="1">
      <c r="A8" s="1997" t="str">
        <v/>
      </c>
      <c r="B8" s="592">
        <f ca="1"/>
        <v>0</v>
      </c>
      <c r="C8" s="593">
        <f ca="1"/>
        <v>0</v>
      </c>
      <c r="D8" s="593">
        <f ca="1"/>
        <v>0</v>
      </c>
      <c r="E8" s="593">
        <f ca="1"/>
        <v>0</v>
      </c>
      <c r="F8" s="593">
        <f ca="1"/>
        <v>0</v>
      </c>
      <c r="G8" s="593">
        <f ca="1"/>
        <v>0</v>
      </c>
      <c r="H8" s="593">
        <f ca="1"/>
        <v>0</v>
      </c>
      <c r="I8" s="593">
        <f ca="1"/>
        <v>0</v>
      </c>
      <c r="J8" s="593">
        <f ca="1"/>
        <v>0</v>
      </c>
      <c r="K8" s="593">
        <f ca="1"/>
        <v>0</v>
      </c>
      <c r="L8" s="593">
        <f ca="1"/>
        <v>0</v>
      </c>
      <c r="M8" s="613">
        <f ca="1"/>
        <v>0</v>
      </c>
      <c r="N8" s="594">
        <f t="shared" ca="1" si="0"/>
        <v>0</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thickBot="1">
      <c r="A12" s="1998" t="str">
        <v/>
      </c>
      <c r="B12" s="595">
        <f ca="1"/>
        <v>0</v>
      </c>
      <c r="C12" s="596">
        <f ca="1"/>
        <v>0</v>
      </c>
      <c r="D12" s="596">
        <f ca="1"/>
        <v>0</v>
      </c>
      <c r="E12" s="596">
        <f ca="1"/>
        <v>0</v>
      </c>
      <c r="F12" s="596">
        <f ca="1"/>
        <v>0</v>
      </c>
      <c r="G12" s="596">
        <f ca="1"/>
        <v>0</v>
      </c>
      <c r="H12" s="596">
        <f ca="1"/>
        <v>0</v>
      </c>
      <c r="I12" s="596">
        <f ca="1"/>
        <v>0</v>
      </c>
      <c r="J12" s="596">
        <f ca="1"/>
        <v>0</v>
      </c>
      <c r="K12" s="596">
        <f ca="1"/>
        <v>0</v>
      </c>
      <c r="L12" s="596">
        <f ca="1"/>
        <v>0</v>
      </c>
      <c r="M12" s="614">
        <f ca="1"/>
        <v>0</v>
      </c>
      <c r="N12" s="597">
        <f t="shared" ca="1" si="0"/>
        <v>0</v>
      </c>
      <c r="O12" s="62"/>
    </row>
    <row r="13" spans="1:15" ht="15">
      <c r="A13" s="73"/>
    </row>
    <row r="14" spans="1:15" ht="15">
      <c r="A14" s="73"/>
    </row>
    <row r="15" spans="1:15" ht="15.75" thickBot="1">
      <c r="A15" s="220"/>
    </row>
    <row r="16" spans="1:15" s="456" customFormat="1" ht="15.75" customHeight="1" thickBot="1">
      <c r="A16" s="457" t="str">
        <f>'Prev.Vendas 0'!A16</f>
        <v>Vendas (Euros)</v>
      </c>
      <c r="B16" s="455" t="str">
        <f t="array" ref="B16:M16">meses</f>
        <v>janeiro</v>
      </c>
      <c r="C16" s="451" t="str">
        <v>fevereiro</v>
      </c>
      <c r="D16" s="451" t="str">
        <v>março</v>
      </c>
      <c r="E16" s="451" t="str">
        <v>abril</v>
      </c>
      <c r="F16" s="451" t="str">
        <v>maio</v>
      </c>
      <c r="G16" s="451" t="str">
        <v>junho</v>
      </c>
      <c r="H16" s="451" t="str">
        <v>julho</v>
      </c>
      <c r="I16" s="451" t="str">
        <v>agosto</v>
      </c>
      <c r="J16" s="451" t="str">
        <v>setembro</v>
      </c>
      <c r="K16" s="451" t="str">
        <v>outubro</v>
      </c>
      <c r="L16" s="451" t="str">
        <v>novembro</v>
      </c>
      <c r="M16" s="452" t="str">
        <v>dezembro</v>
      </c>
      <c r="N16" s="449" t="s">
        <v>4</v>
      </c>
    </row>
    <row r="17" spans="1:15" ht="15.75" customHeight="1">
      <c r="A17" s="1996" t="str">
        <f t="array" ref="A17:A24">productos</f>
        <v>produto 1</v>
      </c>
      <c r="B17" s="598">
        <f t="array" aca="1" ref="B17:M24" ca="1">B5:M12*'Preços-CV'!$F7:$F14</f>
        <v>1113.9449999999999</v>
      </c>
      <c r="C17" s="599">
        <f ca="1"/>
        <v>1113.9449999999999</v>
      </c>
      <c r="D17" s="599">
        <f ca="1"/>
        <v>1113.9449999999999</v>
      </c>
      <c r="E17" s="599">
        <f ca="1"/>
        <v>1113.9449999999999</v>
      </c>
      <c r="F17" s="599">
        <f ca="1"/>
        <v>1113.9449999999999</v>
      </c>
      <c r="G17" s="599">
        <f ca="1"/>
        <v>1113.9449999999999</v>
      </c>
      <c r="H17" s="599">
        <f ca="1"/>
        <v>1113.9449999999999</v>
      </c>
      <c r="I17" s="599">
        <f ca="1"/>
        <v>1113.9449999999999</v>
      </c>
      <c r="J17" s="599">
        <f ca="1"/>
        <v>1113.9449999999999</v>
      </c>
      <c r="K17" s="599">
        <f ca="1"/>
        <v>1113.9449999999999</v>
      </c>
      <c r="L17" s="599">
        <f ca="1"/>
        <v>1113.9449999999999</v>
      </c>
      <c r="M17" s="609">
        <f ca="1"/>
        <v>1113.9449999999999</v>
      </c>
      <c r="N17" s="591">
        <f t="shared" ref="N17:N25" ca="1" si="1">SUM(B17:M17)</f>
        <v>13367.339999999998</v>
      </c>
      <c r="O17" s="62"/>
    </row>
    <row r="18" spans="1:15" ht="15.75" customHeight="1">
      <c r="A18" s="1997" t="str">
        <v/>
      </c>
      <c r="B18" s="600">
        <f ca="1"/>
        <v>0</v>
      </c>
      <c r="C18" s="601">
        <f ca="1"/>
        <v>0</v>
      </c>
      <c r="D18" s="601">
        <f ca="1"/>
        <v>0</v>
      </c>
      <c r="E18" s="601">
        <f ca="1"/>
        <v>0</v>
      </c>
      <c r="F18" s="601">
        <f ca="1"/>
        <v>0</v>
      </c>
      <c r="G18" s="601">
        <f ca="1"/>
        <v>0</v>
      </c>
      <c r="H18" s="601">
        <f ca="1"/>
        <v>0</v>
      </c>
      <c r="I18" s="601">
        <f ca="1"/>
        <v>0</v>
      </c>
      <c r="J18" s="601">
        <f ca="1"/>
        <v>0</v>
      </c>
      <c r="K18" s="601">
        <f ca="1"/>
        <v>0</v>
      </c>
      <c r="L18" s="601">
        <f ca="1"/>
        <v>0</v>
      </c>
      <c r="M18" s="610">
        <f ca="1"/>
        <v>0</v>
      </c>
      <c r="N18" s="594">
        <f t="shared" ca="1" si="1"/>
        <v>0</v>
      </c>
      <c r="O18" s="62"/>
    </row>
    <row r="19" spans="1:15" ht="15.75" customHeight="1">
      <c r="A19" s="1997" t="str">
        <v/>
      </c>
      <c r="B19" s="600">
        <f ca="1"/>
        <v>0</v>
      </c>
      <c r="C19" s="601">
        <f ca="1"/>
        <v>0</v>
      </c>
      <c r="D19" s="601">
        <f ca="1"/>
        <v>0</v>
      </c>
      <c r="E19" s="601">
        <f ca="1"/>
        <v>0</v>
      </c>
      <c r="F19" s="601">
        <f ca="1"/>
        <v>0</v>
      </c>
      <c r="G19" s="601">
        <f ca="1"/>
        <v>0</v>
      </c>
      <c r="H19" s="601">
        <f ca="1"/>
        <v>0</v>
      </c>
      <c r="I19" s="601">
        <f ca="1"/>
        <v>0</v>
      </c>
      <c r="J19" s="601">
        <f ca="1"/>
        <v>0</v>
      </c>
      <c r="K19" s="601">
        <f ca="1"/>
        <v>0</v>
      </c>
      <c r="L19" s="601">
        <f ca="1"/>
        <v>0</v>
      </c>
      <c r="M19" s="610">
        <f ca="1"/>
        <v>0</v>
      </c>
      <c r="N19" s="594">
        <f t="shared" ca="1" si="1"/>
        <v>0</v>
      </c>
      <c r="O19" s="62"/>
    </row>
    <row r="20" spans="1:15" ht="15.75" customHeight="1">
      <c r="A20" s="1997" t="str">
        <v/>
      </c>
      <c r="B20" s="600">
        <f ca="1"/>
        <v>0</v>
      </c>
      <c r="C20" s="601">
        <f ca="1"/>
        <v>0</v>
      </c>
      <c r="D20" s="601">
        <f ca="1"/>
        <v>0</v>
      </c>
      <c r="E20" s="601">
        <f ca="1"/>
        <v>0</v>
      </c>
      <c r="F20" s="601">
        <f ca="1"/>
        <v>0</v>
      </c>
      <c r="G20" s="601">
        <f ca="1"/>
        <v>0</v>
      </c>
      <c r="H20" s="601">
        <f ca="1"/>
        <v>0</v>
      </c>
      <c r="I20" s="601">
        <f ca="1"/>
        <v>0</v>
      </c>
      <c r="J20" s="601">
        <f ca="1"/>
        <v>0</v>
      </c>
      <c r="K20" s="601">
        <f ca="1"/>
        <v>0</v>
      </c>
      <c r="L20" s="601">
        <f ca="1"/>
        <v>0</v>
      </c>
      <c r="M20" s="610">
        <f ca="1"/>
        <v>0</v>
      </c>
      <c r="N20" s="594">
        <f t="shared" ca="1" si="1"/>
        <v>0</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thickBot="1">
      <c r="A24" s="1998" t="str">
        <v/>
      </c>
      <c r="B24" s="602">
        <f ca="1"/>
        <v>0</v>
      </c>
      <c r="C24" s="603">
        <f ca="1"/>
        <v>0</v>
      </c>
      <c r="D24" s="603">
        <f ca="1"/>
        <v>0</v>
      </c>
      <c r="E24" s="603">
        <f ca="1"/>
        <v>0</v>
      </c>
      <c r="F24" s="603">
        <f ca="1"/>
        <v>0</v>
      </c>
      <c r="G24" s="603">
        <f ca="1"/>
        <v>0</v>
      </c>
      <c r="H24" s="603">
        <f ca="1"/>
        <v>0</v>
      </c>
      <c r="I24" s="603">
        <f ca="1"/>
        <v>0</v>
      </c>
      <c r="J24" s="603">
        <f ca="1"/>
        <v>0</v>
      </c>
      <c r="K24" s="603">
        <f ca="1"/>
        <v>0</v>
      </c>
      <c r="L24" s="603">
        <f ca="1"/>
        <v>0</v>
      </c>
      <c r="M24" s="611">
        <f ca="1"/>
        <v>0</v>
      </c>
      <c r="N24" s="604">
        <f t="shared" ca="1" si="1"/>
        <v>0</v>
      </c>
      <c r="O24" s="62"/>
    </row>
    <row r="25" spans="1:15" ht="15.75" customHeight="1" thickBot="1">
      <c r="A25" s="439" t="s">
        <v>4</v>
      </c>
      <c r="B25" s="606">
        <f t="shared" ref="B25:M25" ca="1" si="2">B17+B18+B19+B20+B21+B22+B23+B24</f>
        <v>1113.9449999999999</v>
      </c>
      <c r="C25" s="607">
        <f t="shared" ca="1" si="2"/>
        <v>1113.9449999999999</v>
      </c>
      <c r="D25" s="607">
        <f t="shared" ca="1" si="2"/>
        <v>1113.9449999999999</v>
      </c>
      <c r="E25" s="607">
        <f t="shared" ca="1" si="2"/>
        <v>1113.9449999999999</v>
      </c>
      <c r="F25" s="607">
        <f t="shared" ca="1" si="2"/>
        <v>1113.9449999999999</v>
      </c>
      <c r="G25" s="607">
        <f t="shared" ca="1" si="2"/>
        <v>1113.9449999999999</v>
      </c>
      <c r="H25" s="607">
        <f t="shared" ca="1" si="2"/>
        <v>1113.9449999999999</v>
      </c>
      <c r="I25" s="607">
        <f t="shared" ca="1" si="2"/>
        <v>1113.9449999999999</v>
      </c>
      <c r="J25" s="607">
        <f t="shared" ca="1" si="2"/>
        <v>1113.9449999999999</v>
      </c>
      <c r="K25" s="607">
        <f t="shared" ca="1" si="2"/>
        <v>1113.9449999999999</v>
      </c>
      <c r="L25" s="607">
        <f t="shared" ca="1" si="2"/>
        <v>1113.9449999999999</v>
      </c>
      <c r="M25" s="608">
        <f t="shared" ca="1" si="2"/>
        <v>1113.9449999999999</v>
      </c>
      <c r="N25" s="605">
        <f t="shared" ca="1" si="1"/>
        <v>13367.339999999998</v>
      </c>
      <c r="O25" s="62"/>
    </row>
    <row r="26" spans="1:15" ht="15">
      <c r="A26" s="220"/>
    </row>
    <row r="27" spans="1:15" ht="15">
      <c r="A27" s="220"/>
    </row>
    <row r="28" spans="1:15" ht="23.25" customHeight="1">
      <c r="A28" s="68" t="str">
        <f>'Prev.Vendas 0'!A28</f>
        <v>Sazonalidade das Vendas</v>
      </c>
      <c r="B28" s="62"/>
      <c r="D28" s="432" t="str">
        <f>E1</f>
        <v>Ano 2:  2028</v>
      </c>
    </row>
    <row r="29" spans="1:15" ht="22.5">
      <c r="A29" s="68" t="str">
        <f>'Dados Básicos'!B9</f>
        <v>WWW, S.L.</v>
      </c>
    </row>
    <row r="30" spans="1:15" ht="14.25" customHeight="1" thickBot="1">
      <c r="A30" s="60"/>
    </row>
    <row r="31" spans="1:15" s="454" customFormat="1" ht="18.75" customHeight="1" thickBot="1">
      <c r="A31" s="459" t="s">
        <v>7</v>
      </c>
      <c r="B31" s="449" t="str">
        <f t="array" ref="B31:M31">meses</f>
        <v>janeiro</v>
      </c>
      <c r="C31" s="449" t="str">
        <v>fevereiro</v>
      </c>
      <c r="D31" s="449" t="str">
        <v>março</v>
      </c>
      <c r="E31" s="449" t="str">
        <v>abril</v>
      </c>
      <c r="F31" s="449" t="str">
        <v>maio</v>
      </c>
      <c r="G31" s="449" t="str">
        <v>junho</v>
      </c>
      <c r="H31" s="449" t="str">
        <v>julho</v>
      </c>
      <c r="I31" s="449" t="str">
        <v>agosto</v>
      </c>
      <c r="J31" s="449" t="str">
        <v>setembro</v>
      </c>
      <c r="K31" s="449" t="str">
        <v>outubro</v>
      </c>
      <c r="L31" s="449" t="str">
        <v>novembro</v>
      </c>
      <c r="M31" s="459" t="str">
        <v>dezembro</v>
      </c>
      <c r="N31" s="449" t="s">
        <v>4</v>
      </c>
      <c r="O31" s="453"/>
    </row>
    <row r="32" spans="1:15" ht="18.75" customHeight="1">
      <c r="A32" s="2012" t="str">
        <f t="array" ref="A32:A39">productos</f>
        <v>produto 1</v>
      </c>
      <c r="B32" s="2015" t="str">
        <f t="array" aca="1" ref="B32:M39" ca="1">IF(OR($N17:$N24=0,B17:M24=""),"",B17:M24/$N17:$N24)</f>
        <v/>
      </c>
      <c r="C32" s="441" t="str">
        <f ca="1"/>
        <v/>
      </c>
      <c r="D32" s="441" t="str">
        <f ca="1"/>
        <v/>
      </c>
      <c r="E32" s="441" t="str">
        <f ca="1"/>
        <v/>
      </c>
      <c r="F32" s="441" t="str">
        <f ca="1"/>
        <v/>
      </c>
      <c r="G32" s="441" t="str">
        <f ca="1"/>
        <v/>
      </c>
      <c r="H32" s="441" t="str">
        <f ca="1"/>
        <v/>
      </c>
      <c r="I32" s="441" t="str">
        <f ca="1"/>
        <v/>
      </c>
      <c r="J32" s="441" t="str">
        <f ca="1"/>
        <v/>
      </c>
      <c r="K32" s="441" t="str">
        <f ca="1"/>
        <v/>
      </c>
      <c r="L32" s="441" t="str">
        <f ca="1"/>
        <v/>
      </c>
      <c r="M32" s="442" t="str">
        <f ca="1"/>
        <v/>
      </c>
      <c r="N32" s="586">
        <f t="shared" ref="N32:N40" ca="1" si="3">SUM(B32:M32)</f>
        <v>0</v>
      </c>
    </row>
    <row r="33" spans="1:20" ht="18.75" customHeight="1">
      <c r="A33" s="2013" t="str">
        <v/>
      </c>
      <c r="B33" s="2016" t="str">
        <f ca="1"/>
        <v/>
      </c>
      <c r="C33" s="443" t="str">
        <f ca="1"/>
        <v/>
      </c>
      <c r="D33" s="443" t="str">
        <f ca="1"/>
        <v/>
      </c>
      <c r="E33" s="443" t="str">
        <f ca="1"/>
        <v/>
      </c>
      <c r="F33" s="443" t="str">
        <f ca="1"/>
        <v/>
      </c>
      <c r="G33" s="443" t="str">
        <f ca="1"/>
        <v/>
      </c>
      <c r="H33" s="443" t="str">
        <f ca="1"/>
        <v/>
      </c>
      <c r="I33" s="443" t="str">
        <f ca="1"/>
        <v/>
      </c>
      <c r="J33" s="443" t="str">
        <f ca="1"/>
        <v/>
      </c>
      <c r="K33" s="443" t="str">
        <f ca="1"/>
        <v/>
      </c>
      <c r="L33" s="443" t="str">
        <f ca="1"/>
        <v/>
      </c>
      <c r="M33" s="444" t="str">
        <f ca="1"/>
        <v/>
      </c>
      <c r="N33" s="587">
        <f t="shared" ca="1" si="3"/>
        <v>0</v>
      </c>
    </row>
    <row r="34" spans="1:20" ht="18.75" customHeight="1">
      <c r="A34" s="2013" t="str">
        <v/>
      </c>
      <c r="B34" s="2016" t="str">
        <f ca="1"/>
        <v/>
      </c>
      <c r="C34" s="443" t="str">
        <f ca="1"/>
        <v/>
      </c>
      <c r="D34" s="443" t="str">
        <f ca="1"/>
        <v/>
      </c>
      <c r="E34" s="443" t="str">
        <f ca="1"/>
        <v/>
      </c>
      <c r="F34" s="443" t="str">
        <f ca="1"/>
        <v/>
      </c>
      <c r="G34" s="443" t="str">
        <f ca="1"/>
        <v/>
      </c>
      <c r="H34" s="443" t="str">
        <f ca="1"/>
        <v/>
      </c>
      <c r="I34" s="443" t="str">
        <f ca="1"/>
        <v/>
      </c>
      <c r="J34" s="443" t="str">
        <f ca="1"/>
        <v/>
      </c>
      <c r="K34" s="443" t="str">
        <f ca="1"/>
        <v/>
      </c>
      <c r="L34" s="443" t="str">
        <f ca="1"/>
        <v/>
      </c>
      <c r="M34" s="444" t="str">
        <f ca="1"/>
        <v/>
      </c>
      <c r="N34" s="587">
        <f t="shared" ca="1" si="3"/>
        <v>0</v>
      </c>
    </row>
    <row r="35" spans="1:20" ht="18.75" customHeight="1">
      <c r="A35" s="2013" t="str">
        <v/>
      </c>
      <c r="B35" s="2016" t="str">
        <f ca="1"/>
        <v/>
      </c>
      <c r="C35" s="443" t="str">
        <f ca="1"/>
        <v/>
      </c>
      <c r="D35" s="443" t="str">
        <f ca="1"/>
        <v/>
      </c>
      <c r="E35" s="443" t="str">
        <f ca="1"/>
        <v/>
      </c>
      <c r="F35" s="443" t="str">
        <f ca="1"/>
        <v/>
      </c>
      <c r="G35" s="443" t="str">
        <f ca="1"/>
        <v/>
      </c>
      <c r="H35" s="443" t="str">
        <f ca="1"/>
        <v/>
      </c>
      <c r="I35" s="443" t="str">
        <f ca="1"/>
        <v/>
      </c>
      <c r="J35" s="443" t="str">
        <f ca="1"/>
        <v/>
      </c>
      <c r="K35" s="443" t="str">
        <f ca="1"/>
        <v/>
      </c>
      <c r="L35" s="443" t="str">
        <f ca="1"/>
        <v/>
      </c>
      <c r="M35" s="444" t="str">
        <f ca="1"/>
        <v/>
      </c>
      <c r="N35" s="587">
        <f t="shared" ca="1" si="3"/>
        <v>0</v>
      </c>
    </row>
    <row r="36" spans="1:20" ht="18.75" customHeight="1">
      <c r="A36" s="2013" t="str">
        <v/>
      </c>
      <c r="B36" s="2016" t="str">
        <f ca="1"/>
        <v/>
      </c>
      <c r="C36" s="443" t="str">
        <f ca="1"/>
        <v/>
      </c>
      <c r="D36" s="443" t="str">
        <f ca="1"/>
        <v/>
      </c>
      <c r="E36" s="443" t="str">
        <f ca="1"/>
        <v/>
      </c>
      <c r="F36" s="443" t="str">
        <f ca="1"/>
        <v/>
      </c>
      <c r="G36" s="443" t="str">
        <f ca="1"/>
        <v/>
      </c>
      <c r="H36" s="443" t="str">
        <f ca="1"/>
        <v/>
      </c>
      <c r="I36" s="443" t="str">
        <f ca="1"/>
        <v/>
      </c>
      <c r="J36" s="443" t="str">
        <f ca="1"/>
        <v/>
      </c>
      <c r="K36" s="443" t="str">
        <f ca="1"/>
        <v/>
      </c>
      <c r="L36" s="443" t="str">
        <f ca="1"/>
        <v/>
      </c>
      <c r="M36" s="444" t="str">
        <f ca="1"/>
        <v/>
      </c>
      <c r="N36" s="587">
        <f t="shared" ca="1" si="3"/>
        <v>0</v>
      </c>
    </row>
    <row r="37" spans="1:20" ht="18.75" customHeight="1">
      <c r="A37" s="2013" t="str">
        <v/>
      </c>
      <c r="B37" s="2016" t="str">
        <f ca="1"/>
        <v/>
      </c>
      <c r="C37" s="443" t="str">
        <f ca="1"/>
        <v/>
      </c>
      <c r="D37" s="443" t="str">
        <f ca="1"/>
        <v/>
      </c>
      <c r="E37" s="443" t="str">
        <f ca="1"/>
        <v/>
      </c>
      <c r="F37" s="443" t="str">
        <f ca="1"/>
        <v/>
      </c>
      <c r="G37" s="443" t="str">
        <f ca="1"/>
        <v/>
      </c>
      <c r="H37" s="443" t="str">
        <f ca="1"/>
        <v/>
      </c>
      <c r="I37" s="443" t="str">
        <f ca="1"/>
        <v/>
      </c>
      <c r="J37" s="443" t="str">
        <f ca="1"/>
        <v/>
      </c>
      <c r="K37" s="443" t="str">
        <f ca="1"/>
        <v/>
      </c>
      <c r="L37" s="443" t="str">
        <f ca="1"/>
        <v/>
      </c>
      <c r="M37" s="444" t="str">
        <f ca="1"/>
        <v/>
      </c>
      <c r="N37" s="587">
        <f t="shared" ca="1" si="3"/>
        <v>0</v>
      </c>
    </row>
    <row r="38" spans="1:20" ht="18.75" customHeight="1">
      <c r="A38" s="2013" t="str">
        <v/>
      </c>
      <c r="B38" s="2016" t="str">
        <f ca="1"/>
        <v/>
      </c>
      <c r="C38" s="443" t="str">
        <f ca="1"/>
        <v/>
      </c>
      <c r="D38" s="443" t="str">
        <f ca="1"/>
        <v/>
      </c>
      <c r="E38" s="443" t="str">
        <f ca="1"/>
        <v/>
      </c>
      <c r="F38" s="443" t="str">
        <f ca="1"/>
        <v/>
      </c>
      <c r="G38" s="443" t="str">
        <f ca="1"/>
        <v/>
      </c>
      <c r="H38" s="443" t="str">
        <f ca="1"/>
        <v/>
      </c>
      <c r="I38" s="443" t="str">
        <f ca="1"/>
        <v/>
      </c>
      <c r="J38" s="443" t="str">
        <f ca="1"/>
        <v/>
      </c>
      <c r="K38" s="443" t="str">
        <f ca="1"/>
        <v/>
      </c>
      <c r="L38" s="443" t="str">
        <f ca="1"/>
        <v/>
      </c>
      <c r="M38" s="444" t="str">
        <f ca="1"/>
        <v/>
      </c>
      <c r="N38" s="587">
        <f t="shared" ca="1" si="3"/>
        <v>0</v>
      </c>
    </row>
    <row r="39" spans="1:20" ht="18.75" customHeight="1" thickBot="1">
      <c r="A39" s="2014" t="str">
        <v/>
      </c>
      <c r="B39" s="2017" t="str">
        <f ca="1"/>
        <v/>
      </c>
      <c r="C39" s="445" t="str">
        <f ca="1"/>
        <v/>
      </c>
      <c r="D39" s="445" t="str">
        <f ca="1"/>
        <v/>
      </c>
      <c r="E39" s="445" t="str">
        <f ca="1"/>
        <v/>
      </c>
      <c r="F39" s="445" t="str">
        <f ca="1"/>
        <v/>
      </c>
      <c r="G39" s="445" t="str">
        <f ca="1"/>
        <v/>
      </c>
      <c r="H39" s="445" t="str">
        <f ca="1"/>
        <v/>
      </c>
      <c r="I39" s="445" t="str">
        <f ca="1"/>
        <v/>
      </c>
      <c r="J39" s="445" t="str">
        <f ca="1"/>
        <v/>
      </c>
      <c r="K39" s="445" t="str">
        <f ca="1"/>
        <v/>
      </c>
      <c r="L39" s="445" t="str">
        <f ca="1"/>
        <v/>
      </c>
      <c r="M39" s="446" t="str">
        <f ca="1"/>
        <v/>
      </c>
      <c r="N39" s="588">
        <f t="shared" ca="1" si="3"/>
        <v>0</v>
      </c>
    </row>
    <row r="40" spans="1:20" s="36" customFormat="1" ht="18.75" customHeight="1" thickBot="1">
      <c r="A40" s="2835" t="str">
        <f>'Prev.Vendas 0'!A40</f>
        <v>Percentágem</v>
      </c>
      <c r="B40" s="2018">
        <f t="array" aca="1" ref="B40:M40" ca="1">B25:M25/$N$25</f>
        <v>8.3333333333333343E-2</v>
      </c>
      <c r="C40" s="447">
        <f ca="1"/>
        <v>8.3333333333333343E-2</v>
      </c>
      <c r="D40" s="447">
        <f ca="1"/>
        <v>8.3333333333333343E-2</v>
      </c>
      <c r="E40" s="447">
        <f ca="1"/>
        <v>8.3333333333333343E-2</v>
      </c>
      <c r="F40" s="447">
        <f ca="1"/>
        <v>8.3333333333333343E-2</v>
      </c>
      <c r="G40" s="447">
        <f ca="1"/>
        <v>8.3333333333333343E-2</v>
      </c>
      <c r="H40" s="447">
        <f ca="1"/>
        <v>8.3333333333333343E-2</v>
      </c>
      <c r="I40" s="447">
        <f ca="1"/>
        <v>8.3333333333333343E-2</v>
      </c>
      <c r="J40" s="447">
        <f ca="1"/>
        <v>8.3333333333333343E-2</v>
      </c>
      <c r="K40" s="447">
        <f ca="1"/>
        <v>8.3333333333333343E-2</v>
      </c>
      <c r="L40" s="447">
        <f ca="1"/>
        <v>8.3333333333333343E-2</v>
      </c>
      <c r="M40" s="447">
        <f ca="1"/>
        <v>8.3333333333333343E-2</v>
      </c>
      <c r="N40" s="448">
        <f t="shared" ca="1" si="3"/>
        <v>1.0000000000000002</v>
      </c>
      <c r="O40" s="239"/>
      <c r="P40" s="62"/>
      <c r="Q40" s="62"/>
      <c r="R40" s="62"/>
      <c r="S40" s="62"/>
      <c r="T40" s="62"/>
    </row>
    <row r="41" spans="1:20" s="36" customFormat="1" ht="18.75" customHeight="1"/>
    <row r="43" spans="1:20">
      <c r="B43" s="62"/>
    </row>
    <row r="44" spans="1:20">
      <c r="B44" s="62"/>
    </row>
    <row r="45" spans="1:20">
      <c r="B45" s="62"/>
    </row>
    <row r="46" spans="1:20">
      <c r="B46" s="62"/>
    </row>
    <row r="47" spans="1:20">
      <c r="B47" s="62"/>
    </row>
    <row r="48" spans="1:20">
      <c r="B48" s="62"/>
    </row>
    <row r="49" spans="2:2">
      <c r="B49" s="62"/>
    </row>
    <row r="50" spans="2:2">
      <c r="B50" s="62"/>
    </row>
    <row r="51" spans="2:2">
      <c r="B51" s="62"/>
    </row>
    <row r="52" spans="2:2">
      <c r="B52" s="62"/>
    </row>
    <row r="53" spans="2:2">
      <c r="B53" s="62"/>
    </row>
    <row r="54" spans="2:2">
      <c r="B54" s="62"/>
    </row>
    <row r="55" spans="2:2">
      <c r="B55" s="62"/>
    </row>
    <row r="56" spans="2:2">
      <c r="B56" s="62"/>
    </row>
    <row r="57" spans="2:2">
      <c r="B57" s="62"/>
    </row>
    <row r="58" spans="2:2">
      <c r="B58" s="62"/>
    </row>
    <row r="59" spans="2:2">
      <c r="B59" s="62"/>
    </row>
    <row r="60" spans="2:2">
      <c r="B60" s="62"/>
    </row>
    <row r="61" spans="2:2">
      <c r="B61" s="62"/>
    </row>
    <row r="62" spans="2:2">
      <c r="B62" s="62"/>
    </row>
    <row r="63" spans="2:2">
      <c r="B63" s="62"/>
    </row>
    <row r="64" spans="2:2">
      <c r="B64" s="62"/>
    </row>
    <row r="65" spans="2:2">
      <c r="B65" s="62"/>
    </row>
    <row r="66" spans="2:2">
      <c r="B66" s="62"/>
    </row>
    <row r="80" spans="2:2">
      <c r="B80" s="62"/>
    </row>
    <row r="81" spans="2:2">
      <c r="B81" s="62"/>
    </row>
  </sheetData>
  <sheetProtection sheet="1" objects="1" scenarios="1"/>
  <phoneticPr fontId="4" type="noConversion"/>
  <conditionalFormatting sqref="B32:M39">
    <cfRule type="expression" dxfId="24"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41">
    <tabColor indexed="61"/>
  </sheetPr>
  <dimension ref="A1:T81"/>
  <sheetViews>
    <sheetView workbookViewId="0"/>
  </sheetViews>
  <sheetFormatPr baseColWidth="10" defaultColWidth="11" defaultRowHeight="12.75"/>
  <cols>
    <col min="1" max="1" width="24.5" style="239" customWidth="1"/>
    <col min="2" max="2" width="15.125" style="61" bestFit="1" customWidth="1"/>
    <col min="3" max="3" width="13" style="62" customWidth="1"/>
    <col min="4" max="9" width="10.125" style="62" customWidth="1"/>
    <col min="10" max="13" width="11.25" style="62" customWidth="1"/>
    <col min="14" max="14" width="10.75" style="62" customWidth="1"/>
    <col min="15" max="15" width="12.25" style="239" customWidth="1"/>
    <col min="16" max="16384" width="11" style="62"/>
  </cols>
  <sheetData>
    <row r="1" spans="1:15" ht="22.5">
      <c r="A1" s="68" t="str">
        <f>'Prev.Vendas 0'!A1</f>
        <v>Previsões das Vendas da empresa</v>
      </c>
      <c r="D1" s="533"/>
      <c r="E1" s="432" t="str">
        <f>Parametros!E77</f>
        <v>Ano 3:  2029</v>
      </c>
    </row>
    <row r="2" spans="1:15" ht="22.5">
      <c r="A2" s="68" t="str">
        <f>'Dados Básicos'!B9</f>
        <v>WWW, S.L.</v>
      </c>
    </row>
    <row r="3" spans="1:15" ht="14.25" customHeight="1" thickBot="1">
      <c r="A3" s="60"/>
    </row>
    <row r="4" spans="1:15" s="458" customFormat="1" ht="15.75" customHeight="1" thickBot="1">
      <c r="A4" s="457" t="s">
        <v>38</v>
      </c>
      <c r="B4" s="455" t="str">
        <f t="array" ref="B4:M4">meses</f>
        <v>janeiro</v>
      </c>
      <c r="C4" s="451" t="str">
        <v>fevereiro</v>
      </c>
      <c r="D4" s="451" t="str">
        <v>março</v>
      </c>
      <c r="E4" s="451" t="str">
        <v>abril</v>
      </c>
      <c r="F4" s="451" t="str">
        <v>maio</v>
      </c>
      <c r="G4" s="451" t="str">
        <v>junho</v>
      </c>
      <c r="H4" s="451" t="str">
        <v>julho</v>
      </c>
      <c r="I4" s="451" t="str">
        <v>agosto</v>
      </c>
      <c r="J4" s="451" t="str">
        <v>setembro</v>
      </c>
      <c r="K4" s="451" t="str">
        <v>outubro</v>
      </c>
      <c r="L4" s="451" t="str">
        <v>novembro</v>
      </c>
      <c r="M4" s="452" t="str">
        <v>dezembro</v>
      </c>
      <c r="N4" s="449" t="s">
        <v>4</v>
      </c>
    </row>
    <row r="5" spans="1:15" ht="15.75" customHeight="1">
      <c r="A5" s="1996" t="str">
        <f t="array" ref="A5:A12">productos</f>
        <v>produto 1</v>
      </c>
      <c r="B5" s="589">
        <f t="array" aca="1" ref="B5:M12" ca="1">'Estimações Vendas'!B45:M52*Parametros!B$88:M$88</f>
        <v>1103</v>
      </c>
      <c r="C5" s="590">
        <f ca="1"/>
        <v>1103</v>
      </c>
      <c r="D5" s="590">
        <f ca="1"/>
        <v>1103</v>
      </c>
      <c r="E5" s="590">
        <f ca="1"/>
        <v>1103</v>
      </c>
      <c r="F5" s="590">
        <f ca="1"/>
        <v>1103</v>
      </c>
      <c r="G5" s="590">
        <f ca="1"/>
        <v>1103</v>
      </c>
      <c r="H5" s="590">
        <f ca="1"/>
        <v>1103</v>
      </c>
      <c r="I5" s="590">
        <f ca="1"/>
        <v>1103</v>
      </c>
      <c r="J5" s="590">
        <f ca="1"/>
        <v>1103</v>
      </c>
      <c r="K5" s="590">
        <f ca="1"/>
        <v>1103</v>
      </c>
      <c r="L5" s="590">
        <f ca="1"/>
        <v>1103</v>
      </c>
      <c r="M5" s="612">
        <f ca="1"/>
        <v>1103</v>
      </c>
      <c r="N5" s="591">
        <f t="shared" ref="N5:N12" ca="1" si="0">SUM(B5:M5)</f>
        <v>13236</v>
      </c>
      <c r="O5" s="62"/>
    </row>
    <row r="6" spans="1:15" ht="15.75" customHeight="1">
      <c r="A6" s="1997" t="str">
        <v/>
      </c>
      <c r="B6" s="592">
        <f ca="1"/>
        <v>0</v>
      </c>
      <c r="C6" s="593">
        <f ca="1"/>
        <v>0</v>
      </c>
      <c r="D6" s="593">
        <f ca="1"/>
        <v>0</v>
      </c>
      <c r="E6" s="593">
        <f ca="1"/>
        <v>0</v>
      </c>
      <c r="F6" s="593">
        <f ca="1"/>
        <v>0</v>
      </c>
      <c r="G6" s="593">
        <f ca="1"/>
        <v>0</v>
      </c>
      <c r="H6" s="593">
        <f ca="1"/>
        <v>0</v>
      </c>
      <c r="I6" s="593">
        <f ca="1"/>
        <v>0</v>
      </c>
      <c r="J6" s="593">
        <f ca="1"/>
        <v>0</v>
      </c>
      <c r="K6" s="593">
        <f ca="1"/>
        <v>0</v>
      </c>
      <c r="L6" s="593">
        <f ca="1"/>
        <v>0</v>
      </c>
      <c r="M6" s="613">
        <f ca="1"/>
        <v>0</v>
      </c>
      <c r="N6" s="594">
        <f t="shared" ca="1" si="0"/>
        <v>0</v>
      </c>
      <c r="O6" s="62"/>
    </row>
    <row r="7" spans="1:15" ht="15.75" customHeight="1">
      <c r="A7" s="1997" t="str">
        <v/>
      </c>
      <c r="B7" s="592">
        <f ca="1"/>
        <v>0</v>
      </c>
      <c r="C7" s="593">
        <f ca="1"/>
        <v>0</v>
      </c>
      <c r="D7" s="593">
        <f ca="1"/>
        <v>0</v>
      </c>
      <c r="E7" s="593">
        <f ca="1"/>
        <v>0</v>
      </c>
      <c r="F7" s="593">
        <f ca="1"/>
        <v>0</v>
      </c>
      <c r="G7" s="593">
        <f ca="1"/>
        <v>0</v>
      </c>
      <c r="H7" s="593">
        <f ca="1"/>
        <v>0</v>
      </c>
      <c r="I7" s="593">
        <f ca="1"/>
        <v>0</v>
      </c>
      <c r="J7" s="593">
        <f ca="1"/>
        <v>0</v>
      </c>
      <c r="K7" s="593">
        <f ca="1"/>
        <v>0</v>
      </c>
      <c r="L7" s="593">
        <f ca="1"/>
        <v>0</v>
      </c>
      <c r="M7" s="613">
        <f ca="1"/>
        <v>0</v>
      </c>
      <c r="N7" s="594">
        <f t="shared" ca="1" si="0"/>
        <v>0</v>
      </c>
      <c r="O7" s="62"/>
    </row>
    <row r="8" spans="1:15" ht="15.75" customHeight="1">
      <c r="A8" s="1997" t="str">
        <v/>
      </c>
      <c r="B8" s="592">
        <f ca="1"/>
        <v>0</v>
      </c>
      <c r="C8" s="593">
        <f ca="1"/>
        <v>0</v>
      </c>
      <c r="D8" s="593">
        <f ca="1"/>
        <v>0</v>
      </c>
      <c r="E8" s="593">
        <f ca="1"/>
        <v>0</v>
      </c>
      <c r="F8" s="593">
        <f ca="1"/>
        <v>0</v>
      </c>
      <c r="G8" s="593">
        <f ca="1"/>
        <v>0</v>
      </c>
      <c r="H8" s="593">
        <f ca="1"/>
        <v>0</v>
      </c>
      <c r="I8" s="593">
        <f ca="1"/>
        <v>0</v>
      </c>
      <c r="J8" s="593">
        <f ca="1"/>
        <v>0</v>
      </c>
      <c r="K8" s="593">
        <f ca="1"/>
        <v>0</v>
      </c>
      <c r="L8" s="593">
        <f ca="1"/>
        <v>0</v>
      </c>
      <c r="M8" s="613">
        <f ca="1"/>
        <v>0</v>
      </c>
      <c r="N8" s="594">
        <f t="shared" ca="1" si="0"/>
        <v>0</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thickBot="1">
      <c r="A12" s="1998" t="str">
        <v/>
      </c>
      <c r="B12" s="595">
        <f ca="1"/>
        <v>0</v>
      </c>
      <c r="C12" s="596">
        <f ca="1"/>
        <v>0</v>
      </c>
      <c r="D12" s="596">
        <f ca="1"/>
        <v>0</v>
      </c>
      <c r="E12" s="596">
        <f ca="1"/>
        <v>0</v>
      </c>
      <c r="F12" s="596">
        <f ca="1"/>
        <v>0</v>
      </c>
      <c r="G12" s="596">
        <f ca="1"/>
        <v>0</v>
      </c>
      <c r="H12" s="596">
        <f ca="1"/>
        <v>0</v>
      </c>
      <c r="I12" s="596">
        <f ca="1"/>
        <v>0</v>
      </c>
      <c r="J12" s="596">
        <f ca="1"/>
        <v>0</v>
      </c>
      <c r="K12" s="596">
        <f ca="1"/>
        <v>0</v>
      </c>
      <c r="L12" s="596">
        <f ca="1"/>
        <v>0</v>
      </c>
      <c r="M12" s="614">
        <f ca="1"/>
        <v>0</v>
      </c>
      <c r="N12" s="597">
        <f t="shared" ca="1" si="0"/>
        <v>0</v>
      </c>
      <c r="O12" s="62"/>
    </row>
    <row r="13" spans="1:15" ht="15">
      <c r="A13" s="73"/>
    </row>
    <row r="14" spans="1:15" ht="15">
      <c r="A14" s="73"/>
    </row>
    <row r="15" spans="1:15" ht="15.75" thickBot="1">
      <c r="A15" s="220"/>
    </row>
    <row r="16" spans="1:15" s="456" customFormat="1" ht="15.75" customHeight="1" thickBot="1">
      <c r="A16" s="457" t="str">
        <f>'Prev.Vendas 0'!A16</f>
        <v>Vendas (Euros)</v>
      </c>
      <c r="B16" s="455" t="str">
        <f t="array" ref="B16:M16">meses</f>
        <v>janeiro</v>
      </c>
      <c r="C16" s="451" t="str">
        <v>fevereiro</v>
      </c>
      <c r="D16" s="451" t="str">
        <v>março</v>
      </c>
      <c r="E16" s="451" t="str">
        <v>abril</v>
      </c>
      <c r="F16" s="451" t="str">
        <v>maio</v>
      </c>
      <c r="G16" s="451" t="str">
        <v>junho</v>
      </c>
      <c r="H16" s="451" t="str">
        <v>julho</v>
      </c>
      <c r="I16" s="451" t="str">
        <v>agosto</v>
      </c>
      <c r="J16" s="451" t="str">
        <v>setembro</v>
      </c>
      <c r="K16" s="451" t="str">
        <v>outubro</v>
      </c>
      <c r="L16" s="451" t="str">
        <v>novembro</v>
      </c>
      <c r="M16" s="452" t="str">
        <v>dezembro</v>
      </c>
      <c r="N16" s="449" t="s">
        <v>4</v>
      </c>
    </row>
    <row r="17" spans="1:15" ht="15.75" customHeight="1">
      <c r="A17" s="1996" t="str">
        <f t="array" ref="A17:A24">productos</f>
        <v>produto 1</v>
      </c>
      <c r="B17" s="598">
        <f t="array" aca="1" ref="B17:M24" ca="1">B5:M12*'Preços-CV'!$H7:$H14</f>
        <v>1205.277881</v>
      </c>
      <c r="C17" s="599">
        <f ca="1"/>
        <v>1205.277881</v>
      </c>
      <c r="D17" s="599">
        <f ca="1"/>
        <v>1205.277881</v>
      </c>
      <c r="E17" s="599">
        <f ca="1"/>
        <v>1205.277881</v>
      </c>
      <c r="F17" s="599">
        <f ca="1"/>
        <v>1205.277881</v>
      </c>
      <c r="G17" s="599">
        <f ca="1"/>
        <v>1205.277881</v>
      </c>
      <c r="H17" s="599">
        <f ca="1"/>
        <v>1205.277881</v>
      </c>
      <c r="I17" s="599">
        <f ca="1"/>
        <v>1205.277881</v>
      </c>
      <c r="J17" s="599">
        <f ca="1"/>
        <v>1205.277881</v>
      </c>
      <c r="K17" s="599">
        <f ca="1"/>
        <v>1205.277881</v>
      </c>
      <c r="L17" s="599">
        <f ca="1"/>
        <v>1205.277881</v>
      </c>
      <c r="M17" s="609">
        <f ca="1"/>
        <v>1205.277881</v>
      </c>
      <c r="N17" s="591">
        <f t="shared" ref="N17:N25" ca="1" si="1">SUM(B17:M17)</f>
        <v>14463.334572</v>
      </c>
      <c r="O17" s="62"/>
    </row>
    <row r="18" spans="1:15" ht="15.75" customHeight="1">
      <c r="A18" s="1997" t="str">
        <v/>
      </c>
      <c r="B18" s="600">
        <f ca="1"/>
        <v>0</v>
      </c>
      <c r="C18" s="601">
        <f ca="1"/>
        <v>0</v>
      </c>
      <c r="D18" s="601">
        <f ca="1"/>
        <v>0</v>
      </c>
      <c r="E18" s="601">
        <f ca="1"/>
        <v>0</v>
      </c>
      <c r="F18" s="601">
        <f ca="1"/>
        <v>0</v>
      </c>
      <c r="G18" s="601">
        <f ca="1"/>
        <v>0</v>
      </c>
      <c r="H18" s="601">
        <f ca="1"/>
        <v>0</v>
      </c>
      <c r="I18" s="601">
        <f ca="1"/>
        <v>0</v>
      </c>
      <c r="J18" s="601">
        <f ca="1"/>
        <v>0</v>
      </c>
      <c r="K18" s="601">
        <f ca="1"/>
        <v>0</v>
      </c>
      <c r="L18" s="601">
        <f ca="1"/>
        <v>0</v>
      </c>
      <c r="M18" s="610">
        <f ca="1"/>
        <v>0</v>
      </c>
      <c r="N18" s="594">
        <f t="shared" ca="1" si="1"/>
        <v>0</v>
      </c>
      <c r="O18" s="62"/>
    </row>
    <row r="19" spans="1:15" ht="15.75" customHeight="1">
      <c r="A19" s="1997" t="str">
        <v/>
      </c>
      <c r="B19" s="600">
        <f ca="1"/>
        <v>0</v>
      </c>
      <c r="C19" s="601">
        <f ca="1"/>
        <v>0</v>
      </c>
      <c r="D19" s="601">
        <f ca="1"/>
        <v>0</v>
      </c>
      <c r="E19" s="601">
        <f ca="1"/>
        <v>0</v>
      </c>
      <c r="F19" s="601">
        <f ca="1"/>
        <v>0</v>
      </c>
      <c r="G19" s="601">
        <f ca="1"/>
        <v>0</v>
      </c>
      <c r="H19" s="601">
        <f ca="1"/>
        <v>0</v>
      </c>
      <c r="I19" s="601">
        <f ca="1"/>
        <v>0</v>
      </c>
      <c r="J19" s="601">
        <f ca="1"/>
        <v>0</v>
      </c>
      <c r="K19" s="601">
        <f ca="1"/>
        <v>0</v>
      </c>
      <c r="L19" s="601">
        <f ca="1"/>
        <v>0</v>
      </c>
      <c r="M19" s="610">
        <f ca="1"/>
        <v>0</v>
      </c>
      <c r="N19" s="594">
        <f t="shared" ca="1" si="1"/>
        <v>0</v>
      </c>
      <c r="O19" s="62"/>
    </row>
    <row r="20" spans="1:15" ht="15.75" customHeight="1">
      <c r="A20" s="1997" t="str">
        <v/>
      </c>
      <c r="B20" s="600">
        <f ca="1"/>
        <v>0</v>
      </c>
      <c r="C20" s="601">
        <f ca="1"/>
        <v>0</v>
      </c>
      <c r="D20" s="601">
        <f ca="1"/>
        <v>0</v>
      </c>
      <c r="E20" s="601">
        <f ca="1"/>
        <v>0</v>
      </c>
      <c r="F20" s="601">
        <f ca="1"/>
        <v>0</v>
      </c>
      <c r="G20" s="601">
        <f ca="1"/>
        <v>0</v>
      </c>
      <c r="H20" s="601">
        <f ca="1"/>
        <v>0</v>
      </c>
      <c r="I20" s="601">
        <f ca="1"/>
        <v>0</v>
      </c>
      <c r="J20" s="601">
        <f ca="1"/>
        <v>0</v>
      </c>
      <c r="K20" s="601">
        <f ca="1"/>
        <v>0</v>
      </c>
      <c r="L20" s="601">
        <f ca="1"/>
        <v>0</v>
      </c>
      <c r="M20" s="610">
        <f ca="1"/>
        <v>0</v>
      </c>
      <c r="N20" s="594">
        <f t="shared" ca="1" si="1"/>
        <v>0</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thickBot="1">
      <c r="A24" s="1998" t="str">
        <v/>
      </c>
      <c r="B24" s="602">
        <f ca="1"/>
        <v>0</v>
      </c>
      <c r="C24" s="603">
        <f ca="1"/>
        <v>0</v>
      </c>
      <c r="D24" s="603">
        <f ca="1"/>
        <v>0</v>
      </c>
      <c r="E24" s="603">
        <f ca="1"/>
        <v>0</v>
      </c>
      <c r="F24" s="603">
        <f ca="1"/>
        <v>0</v>
      </c>
      <c r="G24" s="603">
        <f ca="1"/>
        <v>0</v>
      </c>
      <c r="H24" s="603">
        <f ca="1"/>
        <v>0</v>
      </c>
      <c r="I24" s="603">
        <f ca="1"/>
        <v>0</v>
      </c>
      <c r="J24" s="603">
        <f ca="1"/>
        <v>0</v>
      </c>
      <c r="K24" s="603">
        <f ca="1"/>
        <v>0</v>
      </c>
      <c r="L24" s="603">
        <f ca="1"/>
        <v>0</v>
      </c>
      <c r="M24" s="611">
        <f ca="1"/>
        <v>0</v>
      </c>
      <c r="N24" s="604">
        <f t="shared" ca="1" si="1"/>
        <v>0</v>
      </c>
      <c r="O24" s="62"/>
    </row>
    <row r="25" spans="1:15" ht="15.75" customHeight="1" thickBot="1">
      <c r="A25" s="439" t="s">
        <v>4</v>
      </c>
      <c r="B25" s="606">
        <f t="shared" ref="B25:M25" ca="1" si="2">B17+B18+B19+B20+B21+B22+B23+B24</f>
        <v>1205.277881</v>
      </c>
      <c r="C25" s="607">
        <f t="shared" ca="1" si="2"/>
        <v>1205.277881</v>
      </c>
      <c r="D25" s="607">
        <f t="shared" ca="1" si="2"/>
        <v>1205.277881</v>
      </c>
      <c r="E25" s="607">
        <f t="shared" ca="1" si="2"/>
        <v>1205.277881</v>
      </c>
      <c r="F25" s="607">
        <f t="shared" ca="1" si="2"/>
        <v>1205.277881</v>
      </c>
      <c r="G25" s="607">
        <f t="shared" ca="1" si="2"/>
        <v>1205.277881</v>
      </c>
      <c r="H25" s="607">
        <f t="shared" ca="1" si="2"/>
        <v>1205.277881</v>
      </c>
      <c r="I25" s="607">
        <f t="shared" ca="1" si="2"/>
        <v>1205.277881</v>
      </c>
      <c r="J25" s="607">
        <f t="shared" ca="1" si="2"/>
        <v>1205.277881</v>
      </c>
      <c r="K25" s="607">
        <f t="shared" ca="1" si="2"/>
        <v>1205.277881</v>
      </c>
      <c r="L25" s="607">
        <f t="shared" ca="1" si="2"/>
        <v>1205.277881</v>
      </c>
      <c r="M25" s="608">
        <f t="shared" ca="1" si="2"/>
        <v>1205.277881</v>
      </c>
      <c r="N25" s="605">
        <f t="shared" ca="1" si="1"/>
        <v>14463.334572</v>
      </c>
      <c r="O25" s="62"/>
    </row>
    <row r="26" spans="1:15" ht="15">
      <c r="A26" s="220"/>
    </row>
    <row r="27" spans="1:15" ht="15">
      <c r="A27" s="220"/>
    </row>
    <row r="28" spans="1:15" ht="23.25" customHeight="1">
      <c r="A28" s="68" t="str">
        <f>'Prev.Vendas 0'!A28</f>
        <v>Sazonalidade das Vendas</v>
      </c>
      <c r="B28" s="62"/>
      <c r="D28" s="432" t="str">
        <f>E1</f>
        <v>Ano 3:  2029</v>
      </c>
    </row>
    <row r="29" spans="1:15" ht="22.5">
      <c r="A29" s="68" t="str">
        <f>'Dados Básicos'!B9</f>
        <v>WWW, S.L.</v>
      </c>
    </row>
    <row r="30" spans="1:15" ht="14.25" customHeight="1" thickBot="1">
      <c r="A30" s="60"/>
    </row>
    <row r="31" spans="1:15" s="454" customFormat="1" ht="18.75" customHeight="1" thickBot="1">
      <c r="A31" s="459" t="s">
        <v>7</v>
      </c>
      <c r="B31" s="449" t="str">
        <f t="array" ref="B31:M31">meses</f>
        <v>janeiro</v>
      </c>
      <c r="C31" s="449" t="str">
        <v>fevereiro</v>
      </c>
      <c r="D31" s="449" t="str">
        <v>março</v>
      </c>
      <c r="E31" s="449" t="str">
        <v>abril</v>
      </c>
      <c r="F31" s="449" t="str">
        <v>maio</v>
      </c>
      <c r="G31" s="449" t="str">
        <v>junho</v>
      </c>
      <c r="H31" s="449" t="str">
        <v>julho</v>
      </c>
      <c r="I31" s="449" t="str">
        <v>agosto</v>
      </c>
      <c r="J31" s="449" t="str">
        <v>setembro</v>
      </c>
      <c r="K31" s="449" t="str">
        <v>outubro</v>
      </c>
      <c r="L31" s="449" t="str">
        <v>novembro</v>
      </c>
      <c r="M31" s="459" t="str">
        <v>dezembro</v>
      </c>
      <c r="N31" s="449" t="s">
        <v>4</v>
      </c>
      <c r="O31" s="453"/>
    </row>
    <row r="32" spans="1:15" ht="18.75" customHeight="1">
      <c r="A32" s="2012" t="str">
        <f t="array" ref="A32:A39">productos</f>
        <v>produto 1</v>
      </c>
      <c r="B32" s="2015" t="str">
        <f t="array" aca="1" ref="B32:M39" ca="1">IF(OR($N17:$N24=0,B17:M24=""),"",B17:M24/$N17:$N24)</f>
        <v/>
      </c>
      <c r="C32" s="441" t="str">
        <f ca="1"/>
        <v/>
      </c>
      <c r="D32" s="441" t="str">
        <f ca="1"/>
        <v/>
      </c>
      <c r="E32" s="441" t="str">
        <f ca="1"/>
        <v/>
      </c>
      <c r="F32" s="441" t="str">
        <f ca="1"/>
        <v/>
      </c>
      <c r="G32" s="441" t="str">
        <f ca="1"/>
        <v/>
      </c>
      <c r="H32" s="441" t="str">
        <f ca="1"/>
        <v/>
      </c>
      <c r="I32" s="441" t="str">
        <f ca="1"/>
        <v/>
      </c>
      <c r="J32" s="441" t="str">
        <f ca="1"/>
        <v/>
      </c>
      <c r="K32" s="441" t="str">
        <f ca="1"/>
        <v/>
      </c>
      <c r="L32" s="441" t="str">
        <f ca="1"/>
        <v/>
      </c>
      <c r="M32" s="442" t="str">
        <f ca="1"/>
        <v/>
      </c>
      <c r="N32" s="586">
        <f t="shared" ref="N32:N40" ca="1" si="3">SUM(B32:M32)</f>
        <v>0</v>
      </c>
    </row>
    <row r="33" spans="1:20" ht="18.75" customHeight="1">
      <c r="A33" s="2013" t="str">
        <v/>
      </c>
      <c r="B33" s="2016" t="str">
        <f ca="1"/>
        <v/>
      </c>
      <c r="C33" s="443" t="str">
        <f ca="1"/>
        <v/>
      </c>
      <c r="D33" s="443" t="str">
        <f ca="1"/>
        <v/>
      </c>
      <c r="E33" s="443" t="str">
        <f ca="1"/>
        <v/>
      </c>
      <c r="F33" s="443" t="str">
        <f ca="1"/>
        <v/>
      </c>
      <c r="G33" s="443" t="str">
        <f ca="1"/>
        <v/>
      </c>
      <c r="H33" s="443" t="str">
        <f ca="1"/>
        <v/>
      </c>
      <c r="I33" s="443" t="str">
        <f ca="1"/>
        <v/>
      </c>
      <c r="J33" s="443" t="str">
        <f ca="1"/>
        <v/>
      </c>
      <c r="K33" s="443" t="str">
        <f ca="1"/>
        <v/>
      </c>
      <c r="L33" s="443" t="str">
        <f ca="1"/>
        <v/>
      </c>
      <c r="M33" s="444" t="str">
        <f ca="1"/>
        <v/>
      </c>
      <c r="N33" s="587">
        <f t="shared" ca="1" si="3"/>
        <v>0</v>
      </c>
    </row>
    <row r="34" spans="1:20" ht="18.75" customHeight="1">
      <c r="A34" s="2013" t="str">
        <v/>
      </c>
      <c r="B34" s="2016" t="str">
        <f ca="1"/>
        <v/>
      </c>
      <c r="C34" s="443" t="str">
        <f ca="1"/>
        <v/>
      </c>
      <c r="D34" s="443" t="str">
        <f ca="1"/>
        <v/>
      </c>
      <c r="E34" s="443" t="str">
        <f ca="1"/>
        <v/>
      </c>
      <c r="F34" s="443" t="str">
        <f ca="1"/>
        <v/>
      </c>
      <c r="G34" s="443" t="str">
        <f ca="1"/>
        <v/>
      </c>
      <c r="H34" s="443" t="str">
        <f ca="1"/>
        <v/>
      </c>
      <c r="I34" s="443" t="str">
        <f ca="1"/>
        <v/>
      </c>
      <c r="J34" s="443" t="str">
        <f ca="1"/>
        <v/>
      </c>
      <c r="K34" s="443" t="str">
        <f ca="1"/>
        <v/>
      </c>
      <c r="L34" s="443" t="str">
        <f ca="1"/>
        <v/>
      </c>
      <c r="M34" s="444" t="str">
        <f ca="1"/>
        <v/>
      </c>
      <c r="N34" s="587">
        <f t="shared" ca="1" si="3"/>
        <v>0</v>
      </c>
    </row>
    <row r="35" spans="1:20" ht="18.75" customHeight="1">
      <c r="A35" s="2013" t="str">
        <v/>
      </c>
      <c r="B35" s="2016" t="str">
        <f ca="1"/>
        <v/>
      </c>
      <c r="C35" s="443" t="str">
        <f ca="1"/>
        <v/>
      </c>
      <c r="D35" s="443" t="str">
        <f ca="1"/>
        <v/>
      </c>
      <c r="E35" s="443" t="str">
        <f ca="1"/>
        <v/>
      </c>
      <c r="F35" s="443" t="str">
        <f ca="1"/>
        <v/>
      </c>
      <c r="G35" s="443" t="str">
        <f ca="1"/>
        <v/>
      </c>
      <c r="H35" s="443" t="str">
        <f ca="1"/>
        <v/>
      </c>
      <c r="I35" s="443" t="str">
        <f ca="1"/>
        <v/>
      </c>
      <c r="J35" s="443" t="str">
        <f ca="1"/>
        <v/>
      </c>
      <c r="K35" s="443" t="str">
        <f ca="1"/>
        <v/>
      </c>
      <c r="L35" s="443" t="str">
        <f ca="1"/>
        <v/>
      </c>
      <c r="M35" s="444" t="str">
        <f ca="1"/>
        <v/>
      </c>
      <c r="N35" s="587">
        <f t="shared" ca="1" si="3"/>
        <v>0</v>
      </c>
    </row>
    <row r="36" spans="1:20" ht="18.75" customHeight="1">
      <c r="A36" s="2013" t="str">
        <v/>
      </c>
      <c r="B36" s="2016" t="str">
        <f ca="1"/>
        <v/>
      </c>
      <c r="C36" s="443" t="str">
        <f ca="1"/>
        <v/>
      </c>
      <c r="D36" s="443" t="str">
        <f ca="1"/>
        <v/>
      </c>
      <c r="E36" s="443" t="str">
        <f ca="1"/>
        <v/>
      </c>
      <c r="F36" s="443" t="str">
        <f ca="1"/>
        <v/>
      </c>
      <c r="G36" s="443" t="str">
        <f ca="1"/>
        <v/>
      </c>
      <c r="H36" s="443" t="str">
        <f ca="1"/>
        <v/>
      </c>
      <c r="I36" s="443" t="str">
        <f ca="1"/>
        <v/>
      </c>
      <c r="J36" s="443" t="str">
        <f ca="1"/>
        <v/>
      </c>
      <c r="K36" s="443" t="str">
        <f ca="1"/>
        <v/>
      </c>
      <c r="L36" s="443" t="str">
        <f ca="1"/>
        <v/>
      </c>
      <c r="M36" s="444" t="str">
        <f ca="1"/>
        <v/>
      </c>
      <c r="N36" s="587">
        <f t="shared" ca="1" si="3"/>
        <v>0</v>
      </c>
    </row>
    <row r="37" spans="1:20" ht="18.75" customHeight="1">
      <c r="A37" s="2013" t="str">
        <v/>
      </c>
      <c r="B37" s="2016" t="str">
        <f ca="1"/>
        <v/>
      </c>
      <c r="C37" s="443" t="str">
        <f ca="1"/>
        <v/>
      </c>
      <c r="D37" s="443" t="str">
        <f ca="1"/>
        <v/>
      </c>
      <c r="E37" s="443" t="str">
        <f ca="1"/>
        <v/>
      </c>
      <c r="F37" s="443" t="str">
        <f ca="1"/>
        <v/>
      </c>
      <c r="G37" s="443" t="str">
        <f ca="1"/>
        <v/>
      </c>
      <c r="H37" s="443" t="str">
        <f ca="1"/>
        <v/>
      </c>
      <c r="I37" s="443" t="str">
        <f ca="1"/>
        <v/>
      </c>
      <c r="J37" s="443" t="str">
        <f ca="1"/>
        <v/>
      </c>
      <c r="K37" s="443" t="str">
        <f ca="1"/>
        <v/>
      </c>
      <c r="L37" s="443" t="str">
        <f ca="1"/>
        <v/>
      </c>
      <c r="M37" s="444" t="str">
        <f ca="1"/>
        <v/>
      </c>
      <c r="N37" s="587">
        <f t="shared" ca="1" si="3"/>
        <v>0</v>
      </c>
    </row>
    <row r="38" spans="1:20" ht="18.75" customHeight="1">
      <c r="A38" s="2013" t="str">
        <v/>
      </c>
      <c r="B38" s="2016" t="str">
        <f ca="1"/>
        <v/>
      </c>
      <c r="C38" s="443" t="str">
        <f ca="1"/>
        <v/>
      </c>
      <c r="D38" s="443" t="str">
        <f ca="1"/>
        <v/>
      </c>
      <c r="E38" s="443" t="str">
        <f ca="1"/>
        <v/>
      </c>
      <c r="F38" s="443" t="str">
        <f ca="1"/>
        <v/>
      </c>
      <c r="G38" s="443" t="str">
        <f ca="1"/>
        <v/>
      </c>
      <c r="H38" s="443" t="str">
        <f ca="1"/>
        <v/>
      </c>
      <c r="I38" s="443" t="str">
        <f ca="1"/>
        <v/>
      </c>
      <c r="J38" s="443" t="str">
        <f ca="1"/>
        <v/>
      </c>
      <c r="K38" s="443" t="str">
        <f ca="1"/>
        <v/>
      </c>
      <c r="L38" s="443" t="str">
        <f ca="1"/>
        <v/>
      </c>
      <c r="M38" s="444" t="str">
        <f ca="1"/>
        <v/>
      </c>
      <c r="N38" s="587">
        <f t="shared" ca="1" si="3"/>
        <v>0</v>
      </c>
    </row>
    <row r="39" spans="1:20" ht="18.75" customHeight="1" thickBot="1">
      <c r="A39" s="2014" t="str">
        <v/>
      </c>
      <c r="B39" s="2017" t="str">
        <f ca="1"/>
        <v/>
      </c>
      <c r="C39" s="445" t="str">
        <f ca="1"/>
        <v/>
      </c>
      <c r="D39" s="445" t="str">
        <f ca="1"/>
        <v/>
      </c>
      <c r="E39" s="445" t="str">
        <f ca="1"/>
        <v/>
      </c>
      <c r="F39" s="445" t="str">
        <f ca="1"/>
        <v/>
      </c>
      <c r="G39" s="445" t="str">
        <f ca="1"/>
        <v/>
      </c>
      <c r="H39" s="445" t="str">
        <f ca="1"/>
        <v/>
      </c>
      <c r="I39" s="445" t="str">
        <f ca="1"/>
        <v/>
      </c>
      <c r="J39" s="445" t="str">
        <f ca="1"/>
        <v/>
      </c>
      <c r="K39" s="445" t="str">
        <f ca="1"/>
        <v/>
      </c>
      <c r="L39" s="445" t="str">
        <f ca="1"/>
        <v/>
      </c>
      <c r="M39" s="446" t="str">
        <f ca="1"/>
        <v/>
      </c>
      <c r="N39" s="588">
        <f t="shared" ca="1" si="3"/>
        <v>0</v>
      </c>
    </row>
    <row r="40" spans="1:20" s="36" customFormat="1" ht="18.75" customHeight="1" thickBot="1">
      <c r="A40" s="2835" t="str">
        <f>'Prev.Vendas 0'!A40</f>
        <v>Percentágem</v>
      </c>
      <c r="B40" s="2018">
        <f t="array" aca="1" ref="B40:M40" ca="1">B25:M25/$N$25</f>
        <v>8.3333333333333329E-2</v>
      </c>
      <c r="C40" s="447">
        <f ca="1"/>
        <v>8.3333333333333329E-2</v>
      </c>
      <c r="D40" s="447">
        <f ca="1"/>
        <v>8.3333333333333329E-2</v>
      </c>
      <c r="E40" s="447">
        <f ca="1"/>
        <v>8.3333333333333329E-2</v>
      </c>
      <c r="F40" s="447">
        <f ca="1"/>
        <v>8.3333333333333329E-2</v>
      </c>
      <c r="G40" s="447">
        <f ca="1"/>
        <v>8.3333333333333329E-2</v>
      </c>
      <c r="H40" s="447">
        <f ca="1"/>
        <v>8.3333333333333329E-2</v>
      </c>
      <c r="I40" s="447">
        <f ca="1"/>
        <v>8.3333333333333329E-2</v>
      </c>
      <c r="J40" s="447">
        <f ca="1"/>
        <v>8.3333333333333329E-2</v>
      </c>
      <c r="K40" s="447">
        <f ca="1"/>
        <v>8.3333333333333329E-2</v>
      </c>
      <c r="L40" s="447">
        <f ca="1"/>
        <v>8.3333333333333329E-2</v>
      </c>
      <c r="M40" s="447">
        <f ca="1"/>
        <v>8.3333333333333329E-2</v>
      </c>
      <c r="N40" s="448">
        <f t="shared" ca="1" si="3"/>
        <v>1</v>
      </c>
      <c r="O40" s="239"/>
      <c r="P40" s="62"/>
      <c r="Q40" s="62"/>
      <c r="R40" s="62"/>
      <c r="S40" s="62"/>
      <c r="T40" s="62"/>
    </row>
    <row r="41" spans="1:20" s="36" customFormat="1" ht="18.75" customHeight="1"/>
    <row r="43" spans="1:20">
      <c r="B43" s="62"/>
    </row>
    <row r="44" spans="1:20">
      <c r="B44" s="62"/>
    </row>
    <row r="45" spans="1:20">
      <c r="B45" s="62"/>
    </row>
    <row r="46" spans="1:20">
      <c r="B46" s="62"/>
    </row>
    <row r="47" spans="1:20">
      <c r="B47" s="62"/>
    </row>
    <row r="48" spans="1:20">
      <c r="B48" s="62"/>
    </row>
    <row r="49" spans="2:2">
      <c r="B49" s="62"/>
    </row>
    <row r="50" spans="2:2">
      <c r="B50" s="62"/>
    </row>
    <row r="51" spans="2:2">
      <c r="B51" s="62"/>
    </row>
    <row r="52" spans="2:2">
      <c r="B52" s="62"/>
    </row>
    <row r="53" spans="2:2">
      <c r="B53" s="62"/>
    </row>
    <row r="54" spans="2:2">
      <c r="B54" s="62"/>
    </row>
    <row r="55" spans="2:2">
      <c r="B55" s="62"/>
    </row>
    <row r="56" spans="2:2">
      <c r="B56" s="62"/>
    </row>
    <row r="57" spans="2:2">
      <c r="B57" s="62"/>
    </row>
    <row r="58" spans="2:2">
      <c r="B58" s="62"/>
    </row>
    <row r="59" spans="2:2">
      <c r="B59" s="62"/>
    </row>
    <row r="60" spans="2:2">
      <c r="B60" s="62"/>
    </row>
    <row r="61" spans="2:2">
      <c r="B61" s="62"/>
    </row>
    <row r="62" spans="2:2">
      <c r="B62" s="62"/>
    </row>
    <row r="63" spans="2:2">
      <c r="B63" s="62"/>
    </row>
    <row r="64" spans="2:2">
      <c r="B64" s="62"/>
    </row>
    <row r="65" spans="2:2">
      <c r="B65" s="62"/>
    </row>
    <row r="66" spans="2:2">
      <c r="B66" s="62"/>
    </row>
    <row r="80" spans="2:2">
      <c r="B80" s="62"/>
    </row>
    <row r="81" spans="2:2">
      <c r="B81" s="62"/>
    </row>
  </sheetData>
  <sheetProtection sheet="1" objects="1" scenarios="1"/>
  <phoneticPr fontId="4" type="noConversion"/>
  <conditionalFormatting sqref="B32:M39">
    <cfRule type="expression" dxfId="23"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42">
    <tabColor indexed="61"/>
  </sheetPr>
  <dimension ref="A1:T81"/>
  <sheetViews>
    <sheetView workbookViewId="0"/>
  </sheetViews>
  <sheetFormatPr baseColWidth="10" defaultColWidth="11" defaultRowHeight="12.75"/>
  <cols>
    <col min="1" max="1" width="24.5" style="239" customWidth="1"/>
    <col min="2" max="2" width="15.125" style="61" bestFit="1" customWidth="1"/>
    <col min="3" max="3" width="13" style="62" customWidth="1"/>
    <col min="4" max="4" width="11" style="62"/>
    <col min="5" max="9" width="10.125" style="62" customWidth="1"/>
    <col min="10" max="13" width="11.25" style="62" customWidth="1"/>
    <col min="14" max="14" width="10.75" style="62" customWidth="1"/>
    <col min="15" max="15" width="12.25" style="239" customWidth="1"/>
    <col min="16" max="16384" width="11" style="62"/>
  </cols>
  <sheetData>
    <row r="1" spans="1:15" ht="22.5">
      <c r="A1" s="68" t="str">
        <f>'Prev.Vendas 0'!A1</f>
        <v>Previsões das Vendas da empresa</v>
      </c>
      <c r="D1" s="533"/>
      <c r="E1" s="432" t="str">
        <f>Parametros!F77</f>
        <v>Ano 4:  2030</v>
      </c>
    </row>
    <row r="2" spans="1:15" ht="22.5">
      <c r="A2" s="68" t="str">
        <f>'Dados Básicos'!B9</f>
        <v>WWW, S.L.</v>
      </c>
    </row>
    <row r="3" spans="1:15" ht="14.25" customHeight="1" thickBot="1">
      <c r="A3" s="60"/>
    </row>
    <row r="4" spans="1:15" s="458" customFormat="1" ht="15.75" customHeight="1" thickBot="1">
      <c r="A4" s="457" t="s">
        <v>38</v>
      </c>
      <c r="B4" s="455" t="str">
        <f t="array" ref="B4:M4">meses</f>
        <v>janeiro</v>
      </c>
      <c r="C4" s="451" t="str">
        <v>fevereiro</v>
      </c>
      <c r="D4" s="451" t="str">
        <v>março</v>
      </c>
      <c r="E4" s="451" t="str">
        <v>abril</v>
      </c>
      <c r="F4" s="451" t="str">
        <v>maio</v>
      </c>
      <c r="G4" s="451" t="str">
        <v>junho</v>
      </c>
      <c r="H4" s="451" t="str">
        <v>julho</v>
      </c>
      <c r="I4" s="451" t="str">
        <v>agosto</v>
      </c>
      <c r="J4" s="451" t="str">
        <v>setembro</v>
      </c>
      <c r="K4" s="451" t="str">
        <v>outubro</v>
      </c>
      <c r="L4" s="451" t="str">
        <v>novembro</v>
      </c>
      <c r="M4" s="452" t="str">
        <v>dezembro</v>
      </c>
      <c r="N4" s="449" t="s">
        <v>4</v>
      </c>
    </row>
    <row r="5" spans="1:15" ht="15.75" customHeight="1">
      <c r="A5" s="1996" t="str">
        <f t="array" ref="A5:A12">productos</f>
        <v>produto 1</v>
      </c>
      <c r="B5" s="589">
        <f t="array" aca="1" ref="B5:M12" ca="1">'Estimações Vendas'!B58:M65*Parametros!B$88:M$88</f>
        <v>1158</v>
      </c>
      <c r="C5" s="590">
        <f ca="1"/>
        <v>1158</v>
      </c>
      <c r="D5" s="590">
        <f ca="1"/>
        <v>1158</v>
      </c>
      <c r="E5" s="590">
        <f ca="1"/>
        <v>1158</v>
      </c>
      <c r="F5" s="590">
        <f ca="1"/>
        <v>1158</v>
      </c>
      <c r="G5" s="590">
        <f ca="1"/>
        <v>1158</v>
      </c>
      <c r="H5" s="590">
        <f ca="1"/>
        <v>1158</v>
      </c>
      <c r="I5" s="590">
        <f ca="1"/>
        <v>1158</v>
      </c>
      <c r="J5" s="590">
        <f ca="1"/>
        <v>1158</v>
      </c>
      <c r="K5" s="590">
        <f ca="1"/>
        <v>1158</v>
      </c>
      <c r="L5" s="590">
        <f ca="1"/>
        <v>1158</v>
      </c>
      <c r="M5" s="612">
        <f ca="1"/>
        <v>1158</v>
      </c>
      <c r="N5" s="591">
        <f t="shared" ref="N5:N12" ca="1" si="0">SUM(B5:M5)</f>
        <v>13896</v>
      </c>
      <c r="O5" s="62"/>
    </row>
    <row r="6" spans="1:15" ht="15.75" customHeight="1">
      <c r="A6" s="1997" t="str">
        <v/>
      </c>
      <c r="B6" s="592">
        <f ca="1"/>
        <v>0</v>
      </c>
      <c r="C6" s="593">
        <f ca="1"/>
        <v>0</v>
      </c>
      <c r="D6" s="593">
        <f ca="1"/>
        <v>0</v>
      </c>
      <c r="E6" s="593">
        <f ca="1"/>
        <v>0</v>
      </c>
      <c r="F6" s="593">
        <f ca="1"/>
        <v>0</v>
      </c>
      <c r="G6" s="593">
        <f ca="1"/>
        <v>0</v>
      </c>
      <c r="H6" s="593">
        <f ca="1"/>
        <v>0</v>
      </c>
      <c r="I6" s="593">
        <f ca="1"/>
        <v>0</v>
      </c>
      <c r="J6" s="593">
        <f ca="1"/>
        <v>0</v>
      </c>
      <c r="K6" s="593">
        <f ca="1"/>
        <v>0</v>
      </c>
      <c r="L6" s="593">
        <f ca="1"/>
        <v>0</v>
      </c>
      <c r="M6" s="613">
        <f ca="1"/>
        <v>0</v>
      </c>
      <c r="N6" s="594">
        <f t="shared" ca="1" si="0"/>
        <v>0</v>
      </c>
      <c r="O6" s="62"/>
    </row>
    <row r="7" spans="1:15" ht="15.75" customHeight="1">
      <c r="A7" s="1997" t="str">
        <v/>
      </c>
      <c r="B7" s="592">
        <f ca="1"/>
        <v>0</v>
      </c>
      <c r="C7" s="593">
        <f ca="1"/>
        <v>0</v>
      </c>
      <c r="D7" s="593">
        <f ca="1"/>
        <v>0</v>
      </c>
      <c r="E7" s="593">
        <f ca="1"/>
        <v>0</v>
      </c>
      <c r="F7" s="593">
        <f ca="1"/>
        <v>0</v>
      </c>
      <c r="G7" s="593">
        <f ca="1"/>
        <v>0</v>
      </c>
      <c r="H7" s="593">
        <f ca="1"/>
        <v>0</v>
      </c>
      <c r="I7" s="593">
        <f ca="1"/>
        <v>0</v>
      </c>
      <c r="J7" s="593">
        <f ca="1"/>
        <v>0</v>
      </c>
      <c r="K7" s="593">
        <f ca="1"/>
        <v>0</v>
      </c>
      <c r="L7" s="593">
        <f ca="1"/>
        <v>0</v>
      </c>
      <c r="M7" s="613">
        <f ca="1"/>
        <v>0</v>
      </c>
      <c r="N7" s="594">
        <f t="shared" ca="1" si="0"/>
        <v>0</v>
      </c>
      <c r="O7" s="62"/>
    </row>
    <row r="8" spans="1:15" ht="15.75" customHeight="1">
      <c r="A8" s="1997" t="str">
        <v/>
      </c>
      <c r="B8" s="592">
        <f ca="1"/>
        <v>0</v>
      </c>
      <c r="C8" s="593">
        <f ca="1"/>
        <v>0</v>
      </c>
      <c r="D8" s="593">
        <f ca="1"/>
        <v>0</v>
      </c>
      <c r="E8" s="593">
        <f ca="1"/>
        <v>0</v>
      </c>
      <c r="F8" s="593">
        <f ca="1"/>
        <v>0</v>
      </c>
      <c r="G8" s="593">
        <f ca="1"/>
        <v>0</v>
      </c>
      <c r="H8" s="593">
        <f ca="1"/>
        <v>0</v>
      </c>
      <c r="I8" s="593">
        <f ca="1"/>
        <v>0</v>
      </c>
      <c r="J8" s="593">
        <f ca="1"/>
        <v>0</v>
      </c>
      <c r="K8" s="593">
        <f ca="1"/>
        <v>0</v>
      </c>
      <c r="L8" s="593">
        <f ca="1"/>
        <v>0</v>
      </c>
      <c r="M8" s="613">
        <f ca="1"/>
        <v>0</v>
      </c>
      <c r="N8" s="594">
        <f t="shared" ca="1" si="0"/>
        <v>0</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thickBot="1">
      <c r="A12" s="1998" t="str">
        <v/>
      </c>
      <c r="B12" s="595">
        <f ca="1"/>
        <v>0</v>
      </c>
      <c r="C12" s="596">
        <f ca="1"/>
        <v>0</v>
      </c>
      <c r="D12" s="596">
        <f ca="1"/>
        <v>0</v>
      </c>
      <c r="E12" s="596">
        <f ca="1"/>
        <v>0</v>
      </c>
      <c r="F12" s="596">
        <f ca="1"/>
        <v>0</v>
      </c>
      <c r="G12" s="596">
        <f ca="1"/>
        <v>0</v>
      </c>
      <c r="H12" s="596">
        <f ca="1"/>
        <v>0</v>
      </c>
      <c r="I12" s="596">
        <f ca="1"/>
        <v>0</v>
      </c>
      <c r="J12" s="596">
        <f ca="1"/>
        <v>0</v>
      </c>
      <c r="K12" s="596">
        <f ca="1"/>
        <v>0</v>
      </c>
      <c r="L12" s="596">
        <f ca="1"/>
        <v>0</v>
      </c>
      <c r="M12" s="614">
        <f ca="1"/>
        <v>0</v>
      </c>
      <c r="N12" s="597">
        <f t="shared" ca="1" si="0"/>
        <v>0</v>
      </c>
      <c r="O12" s="62"/>
    </row>
    <row r="13" spans="1:15" ht="15">
      <c r="A13" s="73"/>
    </row>
    <row r="14" spans="1:15" ht="15">
      <c r="A14" s="73"/>
    </row>
    <row r="15" spans="1:15" ht="15.75" thickBot="1">
      <c r="A15" s="220"/>
    </row>
    <row r="16" spans="1:15" s="456" customFormat="1" ht="15.75" customHeight="1" thickBot="1">
      <c r="A16" s="457" t="str">
        <f>'Prev.Vendas 0'!A16</f>
        <v>Vendas (Euros)</v>
      </c>
      <c r="B16" s="455" t="str">
        <f t="array" ref="B16:M16">meses</f>
        <v>janeiro</v>
      </c>
      <c r="C16" s="451" t="str">
        <v>fevereiro</v>
      </c>
      <c r="D16" s="451" t="str">
        <v>março</v>
      </c>
      <c r="E16" s="451" t="str">
        <v>abril</v>
      </c>
      <c r="F16" s="451" t="str">
        <v>maio</v>
      </c>
      <c r="G16" s="451" t="str">
        <v>junho</v>
      </c>
      <c r="H16" s="451" t="str">
        <v>julho</v>
      </c>
      <c r="I16" s="451" t="str">
        <v>agosto</v>
      </c>
      <c r="J16" s="451" t="str">
        <v>setembro</v>
      </c>
      <c r="K16" s="451" t="str">
        <v>outubro</v>
      </c>
      <c r="L16" s="451" t="str">
        <v>novembro</v>
      </c>
      <c r="M16" s="452" t="str">
        <v>dezembro</v>
      </c>
      <c r="N16" s="449" t="s">
        <v>4</v>
      </c>
    </row>
    <row r="17" spans="1:15" ht="15.75" customHeight="1">
      <c r="A17" s="1996" t="str">
        <f t="array" ref="A17:A24">productos</f>
        <v>produto 1</v>
      </c>
      <c r="B17" s="598">
        <f t="array" aca="1" ref="B17:M24" ca="1">B5:M12*'Preços-CV'!$J7:$J14</f>
        <v>1303.3392019800001</v>
      </c>
      <c r="C17" s="599">
        <f ca="1"/>
        <v>1303.3392019800001</v>
      </c>
      <c r="D17" s="599">
        <f ca="1"/>
        <v>1303.3392019800001</v>
      </c>
      <c r="E17" s="599">
        <f ca="1"/>
        <v>1303.3392019800001</v>
      </c>
      <c r="F17" s="599">
        <f ca="1"/>
        <v>1303.3392019800001</v>
      </c>
      <c r="G17" s="599">
        <f ca="1"/>
        <v>1303.3392019800001</v>
      </c>
      <c r="H17" s="599">
        <f ca="1"/>
        <v>1303.3392019800001</v>
      </c>
      <c r="I17" s="599">
        <f ca="1"/>
        <v>1303.3392019800001</v>
      </c>
      <c r="J17" s="599">
        <f ca="1"/>
        <v>1303.3392019800001</v>
      </c>
      <c r="K17" s="599">
        <f ca="1"/>
        <v>1303.3392019800001</v>
      </c>
      <c r="L17" s="599">
        <f ca="1"/>
        <v>1303.3392019800001</v>
      </c>
      <c r="M17" s="609">
        <f ca="1"/>
        <v>1303.3392019800001</v>
      </c>
      <c r="N17" s="591">
        <f t="shared" ref="N17:N25" ca="1" si="1">SUM(B17:M17)</f>
        <v>15640.070423759998</v>
      </c>
      <c r="O17" s="62"/>
    </row>
    <row r="18" spans="1:15" ht="15.75" customHeight="1">
      <c r="A18" s="1997" t="str">
        <v/>
      </c>
      <c r="B18" s="600">
        <f ca="1"/>
        <v>0</v>
      </c>
      <c r="C18" s="601">
        <f ca="1"/>
        <v>0</v>
      </c>
      <c r="D18" s="601">
        <f ca="1"/>
        <v>0</v>
      </c>
      <c r="E18" s="601">
        <f ca="1"/>
        <v>0</v>
      </c>
      <c r="F18" s="601">
        <f ca="1"/>
        <v>0</v>
      </c>
      <c r="G18" s="601">
        <f ca="1"/>
        <v>0</v>
      </c>
      <c r="H18" s="601">
        <f ca="1"/>
        <v>0</v>
      </c>
      <c r="I18" s="601">
        <f ca="1"/>
        <v>0</v>
      </c>
      <c r="J18" s="601">
        <f ca="1"/>
        <v>0</v>
      </c>
      <c r="K18" s="601">
        <f ca="1"/>
        <v>0</v>
      </c>
      <c r="L18" s="601">
        <f ca="1"/>
        <v>0</v>
      </c>
      <c r="M18" s="610">
        <f ca="1"/>
        <v>0</v>
      </c>
      <c r="N18" s="594">
        <f t="shared" ca="1" si="1"/>
        <v>0</v>
      </c>
      <c r="O18" s="62"/>
    </row>
    <row r="19" spans="1:15" ht="15.75" customHeight="1">
      <c r="A19" s="1997" t="str">
        <v/>
      </c>
      <c r="B19" s="600">
        <f ca="1"/>
        <v>0</v>
      </c>
      <c r="C19" s="601">
        <f ca="1"/>
        <v>0</v>
      </c>
      <c r="D19" s="601">
        <f ca="1"/>
        <v>0</v>
      </c>
      <c r="E19" s="601">
        <f ca="1"/>
        <v>0</v>
      </c>
      <c r="F19" s="601">
        <f ca="1"/>
        <v>0</v>
      </c>
      <c r="G19" s="601">
        <f ca="1"/>
        <v>0</v>
      </c>
      <c r="H19" s="601">
        <f ca="1"/>
        <v>0</v>
      </c>
      <c r="I19" s="601">
        <f ca="1"/>
        <v>0</v>
      </c>
      <c r="J19" s="601">
        <f ca="1"/>
        <v>0</v>
      </c>
      <c r="K19" s="601">
        <f ca="1"/>
        <v>0</v>
      </c>
      <c r="L19" s="601">
        <f ca="1"/>
        <v>0</v>
      </c>
      <c r="M19" s="610">
        <f ca="1"/>
        <v>0</v>
      </c>
      <c r="N19" s="594">
        <f t="shared" ca="1" si="1"/>
        <v>0</v>
      </c>
      <c r="O19" s="62"/>
    </row>
    <row r="20" spans="1:15" ht="15.75" customHeight="1">
      <c r="A20" s="1997" t="str">
        <v/>
      </c>
      <c r="B20" s="600">
        <f ca="1"/>
        <v>0</v>
      </c>
      <c r="C20" s="601">
        <f ca="1"/>
        <v>0</v>
      </c>
      <c r="D20" s="601">
        <f ca="1"/>
        <v>0</v>
      </c>
      <c r="E20" s="601">
        <f ca="1"/>
        <v>0</v>
      </c>
      <c r="F20" s="601">
        <f ca="1"/>
        <v>0</v>
      </c>
      <c r="G20" s="601">
        <f ca="1"/>
        <v>0</v>
      </c>
      <c r="H20" s="601">
        <f ca="1"/>
        <v>0</v>
      </c>
      <c r="I20" s="601">
        <f ca="1"/>
        <v>0</v>
      </c>
      <c r="J20" s="601">
        <f ca="1"/>
        <v>0</v>
      </c>
      <c r="K20" s="601">
        <f ca="1"/>
        <v>0</v>
      </c>
      <c r="L20" s="601">
        <f ca="1"/>
        <v>0</v>
      </c>
      <c r="M20" s="610">
        <f ca="1"/>
        <v>0</v>
      </c>
      <c r="N20" s="594">
        <f t="shared" ca="1" si="1"/>
        <v>0</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thickBot="1">
      <c r="A24" s="1998" t="str">
        <v/>
      </c>
      <c r="B24" s="602">
        <f ca="1"/>
        <v>0</v>
      </c>
      <c r="C24" s="603">
        <f ca="1"/>
        <v>0</v>
      </c>
      <c r="D24" s="603">
        <f ca="1"/>
        <v>0</v>
      </c>
      <c r="E24" s="603">
        <f ca="1"/>
        <v>0</v>
      </c>
      <c r="F24" s="603">
        <f ca="1"/>
        <v>0</v>
      </c>
      <c r="G24" s="603">
        <f ca="1"/>
        <v>0</v>
      </c>
      <c r="H24" s="603">
        <f ca="1"/>
        <v>0</v>
      </c>
      <c r="I24" s="603">
        <f ca="1"/>
        <v>0</v>
      </c>
      <c r="J24" s="603">
        <f ca="1"/>
        <v>0</v>
      </c>
      <c r="K24" s="603">
        <f ca="1"/>
        <v>0</v>
      </c>
      <c r="L24" s="603">
        <f ca="1"/>
        <v>0</v>
      </c>
      <c r="M24" s="611">
        <f ca="1"/>
        <v>0</v>
      </c>
      <c r="N24" s="604">
        <f t="shared" ca="1" si="1"/>
        <v>0</v>
      </c>
      <c r="O24" s="62"/>
    </row>
    <row r="25" spans="1:15" ht="15.75" customHeight="1" thickBot="1">
      <c r="A25" s="439" t="s">
        <v>4</v>
      </c>
      <c r="B25" s="606">
        <f t="shared" ref="B25:M25" ca="1" si="2">B17+B18+B19+B20+B21+B22+B23+B24</f>
        <v>1303.3392019800001</v>
      </c>
      <c r="C25" s="607">
        <f t="shared" ca="1" si="2"/>
        <v>1303.3392019800001</v>
      </c>
      <c r="D25" s="607">
        <f t="shared" ca="1" si="2"/>
        <v>1303.3392019800001</v>
      </c>
      <c r="E25" s="607">
        <f t="shared" ca="1" si="2"/>
        <v>1303.3392019800001</v>
      </c>
      <c r="F25" s="607">
        <f t="shared" ca="1" si="2"/>
        <v>1303.3392019800001</v>
      </c>
      <c r="G25" s="607">
        <f t="shared" ca="1" si="2"/>
        <v>1303.3392019800001</v>
      </c>
      <c r="H25" s="607">
        <f t="shared" ca="1" si="2"/>
        <v>1303.3392019800001</v>
      </c>
      <c r="I25" s="607">
        <f t="shared" ca="1" si="2"/>
        <v>1303.3392019800001</v>
      </c>
      <c r="J25" s="607">
        <f t="shared" ca="1" si="2"/>
        <v>1303.3392019800001</v>
      </c>
      <c r="K25" s="607">
        <f t="shared" ca="1" si="2"/>
        <v>1303.3392019800001</v>
      </c>
      <c r="L25" s="607">
        <f t="shared" ca="1" si="2"/>
        <v>1303.3392019800001</v>
      </c>
      <c r="M25" s="608">
        <f t="shared" ca="1" si="2"/>
        <v>1303.3392019800001</v>
      </c>
      <c r="N25" s="605">
        <f t="shared" ca="1" si="1"/>
        <v>15640.070423759998</v>
      </c>
      <c r="O25" s="62"/>
    </row>
    <row r="26" spans="1:15" ht="15">
      <c r="A26" s="220"/>
    </row>
    <row r="27" spans="1:15" ht="15">
      <c r="A27" s="220"/>
    </row>
    <row r="28" spans="1:15" ht="23.25" customHeight="1">
      <c r="A28" s="68" t="str">
        <f>'Prev.Vendas 0'!A28</f>
        <v>Sazonalidade das Vendas</v>
      </c>
      <c r="B28" s="62"/>
      <c r="D28" s="432" t="str">
        <f>E1</f>
        <v>Ano 4:  2030</v>
      </c>
    </row>
    <row r="29" spans="1:15" ht="22.5">
      <c r="A29" s="68" t="str">
        <f>'Dados Básicos'!B9</f>
        <v>WWW, S.L.</v>
      </c>
    </row>
    <row r="30" spans="1:15" ht="14.25" customHeight="1" thickBot="1">
      <c r="A30" s="60"/>
    </row>
    <row r="31" spans="1:15" s="454" customFormat="1" ht="18.75" customHeight="1" thickBot="1">
      <c r="A31" s="459" t="s">
        <v>7</v>
      </c>
      <c r="B31" s="449" t="str">
        <f t="array" ref="B31:M31">meses</f>
        <v>janeiro</v>
      </c>
      <c r="C31" s="449" t="str">
        <v>fevereiro</v>
      </c>
      <c r="D31" s="449" t="str">
        <v>março</v>
      </c>
      <c r="E31" s="449" t="str">
        <v>abril</v>
      </c>
      <c r="F31" s="449" t="str">
        <v>maio</v>
      </c>
      <c r="G31" s="449" t="str">
        <v>junho</v>
      </c>
      <c r="H31" s="449" t="str">
        <v>julho</v>
      </c>
      <c r="I31" s="449" t="str">
        <v>agosto</v>
      </c>
      <c r="J31" s="449" t="str">
        <v>setembro</v>
      </c>
      <c r="K31" s="449" t="str">
        <v>outubro</v>
      </c>
      <c r="L31" s="449" t="str">
        <v>novembro</v>
      </c>
      <c r="M31" s="459" t="str">
        <v>dezembro</v>
      </c>
      <c r="N31" s="449" t="s">
        <v>4</v>
      </c>
      <c r="O31" s="453"/>
    </row>
    <row r="32" spans="1:15" ht="18.75" customHeight="1">
      <c r="A32" s="2012" t="str">
        <f t="array" ref="A32:A39">productos</f>
        <v>produto 1</v>
      </c>
      <c r="B32" s="2015" t="str">
        <f t="array" aca="1" ref="B32:M39" ca="1">IF(OR($N17:$N24=0,B17:M24=""),"",B17:M24/$N17:$N24)</f>
        <v/>
      </c>
      <c r="C32" s="441" t="str">
        <f ca="1"/>
        <v/>
      </c>
      <c r="D32" s="441" t="str">
        <f ca="1"/>
        <v/>
      </c>
      <c r="E32" s="441" t="str">
        <f ca="1"/>
        <v/>
      </c>
      <c r="F32" s="441" t="str">
        <f ca="1"/>
        <v/>
      </c>
      <c r="G32" s="441" t="str">
        <f ca="1"/>
        <v/>
      </c>
      <c r="H32" s="441" t="str">
        <f ca="1"/>
        <v/>
      </c>
      <c r="I32" s="441" t="str">
        <f ca="1"/>
        <v/>
      </c>
      <c r="J32" s="441" t="str">
        <f ca="1"/>
        <v/>
      </c>
      <c r="K32" s="441" t="str">
        <f ca="1"/>
        <v/>
      </c>
      <c r="L32" s="441" t="str">
        <f ca="1"/>
        <v/>
      </c>
      <c r="M32" s="442" t="str">
        <f ca="1"/>
        <v/>
      </c>
      <c r="N32" s="586">
        <f t="shared" ref="N32:N40" ca="1" si="3">SUM(B32:M32)</f>
        <v>0</v>
      </c>
    </row>
    <row r="33" spans="1:20" ht="18.75" customHeight="1">
      <c r="A33" s="2013" t="str">
        <v/>
      </c>
      <c r="B33" s="2016" t="str">
        <f ca="1"/>
        <v/>
      </c>
      <c r="C33" s="443" t="str">
        <f ca="1"/>
        <v/>
      </c>
      <c r="D33" s="443" t="str">
        <f ca="1"/>
        <v/>
      </c>
      <c r="E33" s="443" t="str">
        <f ca="1"/>
        <v/>
      </c>
      <c r="F33" s="443" t="str">
        <f ca="1"/>
        <v/>
      </c>
      <c r="G33" s="443" t="str">
        <f ca="1"/>
        <v/>
      </c>
      <c r="H33" s="443" t="str">
        <f ca="1"/>
        <v/>
      </c>
      <c r="I33" s="443" t="str">
        <f ca="1"/>
        <v/>
      </c>
      <c r="J33" s="443" t="str">
        <f ca="1"/>
        <v/>
      </c>
      <c r="K33" s="443" t="str">
        <f ca="1"/>
        <v/>
      </c>
      <c r="L33" s="443" t="str">
        <f ca="1"/>
        <v/>
      </c>
      <c r="M33" s="444" t="str">
        <f ca="1"/>
        <v/>
      </c>
      <c r="N33" s="587">
        <f t="shared" ca="1" si="3"/>
        <v>0</v>
      </c>
    </row>
    <row r="34" spans="1:20" ht="18.75" customHeight="1">
      <c r="A34" s="2013" t="str">
        <v/>
      </c>
      <c r="B34" s="2016" t="str">
        <f ca="1"/>
        <v/>
      </c>
      <c r="C34" s="443" t="str">
        <f ca="1"/>
        <v/>
      </c>
      <c r="D34" s="443" t="str">
        <f ca="1"/>
        <v/>
      </c>
      <c r="E34" s="443" t="str">
        <f ca="1"/>
        <v/>
      </c>
      <c r="F34" s="443" t="str">
        <f ca="1"/>
        <v/>
      </c>
      <c r="G34" s="443" t="str">
        <f ca="1"/>
        <v/>
      </c>
      <c r="H34" s="443" t="str">
        <f ca="1"/>
        <v/>
      </c>
      <c r="I34" s="443" t="str">
        <f ca="1"/>
        <v/>
      </c>
      <c r="J34" s="443" t="str">
        <f ca="1"/>
        <v/>
      </c>
      <c r="K34" s="443" t="str">
        <f ca="1"/>
        <v/>
      </c>
      <c r="L34" s="443" t="str">
        <f ca="1"/>
        <v/>
      </c>
      <c r="M34" s="444" t="str">
        <f ca="1"/>
        <v/>
      </c>
      <c r="N34" s="587">
        <f t="shared" ca="1" si="3"/>
        <v>0</v>
      </c>
    </row>
    <row r="35" spans="1:20" ht="18.75" customHeight="1">
      <c r="A35" s="2013" t="str">
        <v/>
      </c>
      <c r="B35" s="2016" t="str">
        <f ca="1"/>
        <v/>
      </c>
      <c r="C35" s="443" t="str">
        <f ca="1"/>
        <v/>
      </c>
      <c r="D35" s="443" t="str">
        <f ca="1"/>
        <v/>
      </c>
      <c r="E35" s="443" t="str">
        <f ca="1"/>
        <v/>
      </c>
      <c r="F35" s="443" t="str">
        <f ca="1"/>
        <v/>
      </c>
      <c r="G35" s="443" t="str">
        <f ca="1"/>
        <v/>
      </c>
      <c r="H35" s="443" t="str">
        <f ca="1"/>
        <v/>
      </c>
      <c r="I35" s="443" t="str">
        <f ca="1"/>
        <v/>
      </c>
      <c r="J35" s="443" t="str">
        <f ca="1"/>
        <v/>
      </c>
      <c r="K35" s="443" t="str">
        <f ca="1"/>
        <v/>
      </c>
      <c r="L35" s="443" t="str">
        <f ca="1"/>
        <v/>
      </c>
      <c r="M35" s="444" t="str">
        <f ca="1"/>
        <v/>
      </c>
      <c r="N35" s="587">
        <f t="shared" ca="1" si="3"/>
        <v>0</v>
      </c>
    </row>
    <row r="36" spans="1:20" ht="18.75" customHeight="1">
      <c r="A36" s="2013" t="str">
        <v/>
      </c>
      <c r="B36" s="2016" t="str">
        <f ca="1"/>
        <v/>
      </c>
      <c r="C36" s="443" t="str">
        <f ca="1"/>
        <v/>
      </c>
      <c r="D36" s="443" t="str">
        <f ca="1"/>
        <v/>
      </c>
      <c r="E36" s="443" t="str">
        <f ca="1"/>
        <v/>
      </c>
      <c r="F36" s="443" t="str">
        <f ca="1"/>
        <v/>
      </c>
      <c r="G36" s="443" t="str">
        <f ca="1"/>
        <v/>
      </c>
      <c r="H36" s="443" t="str">
        <f ca="1"/>
        <v/>
      </c>
      <c r="I36" s="443" t="str">
        <f ca="1"/>
        <v/>
      </c>
      <c r="J36" s="443" t="str">
        <f ca="1"/>
        <v/>
      </c>
      <c r="K36" s="443" t="str">
        <f ca="1"/>
        <v/>
      </c>
      <c r="L36" s="443" t="str">
        <f ca="1"/>
        <v/>
      </c>
      <c r="M36" s="444" t="str">
        <f ca="1"/>
        <v/>
      </c>
      <c r="N36" s="587">
        <f t="shared" ca="1" si="3"/>
        <v>0</v>
      </c>
    </row>
    <row r="37" spans="1:20" ht="18.75" customHeight="1">
      <c r="A37" s="2013" t="str">
        <v/>
      </c>
      <c r="B37" s="2016" t="str">
        <f ca="1"/>
        <v/>
      </c>
      <c r="C37" s="443" t="str">
        <f ca="1"/>
        <v/>
      </c>
      <c r="D37" s="443" t="str">
        <f ca="1"/>
        <v/>
      </c>
      <c r="E37" s="443" t="str">
        <f ca="1"/>
        <v/>
      </c>
      <c r="F37" s="443" t="str">
        <f ca="1"/>
        <v/>
      </c>
      <c r="G37" s="443" t="str">
        <f ca="1"/>
        <v/>
      </c>
      <c r="H37" s="443" t="str">
        <f ca="1"/>
        <v/>
      </c>
      <c r="I37" s="443" t="str">
        <f ca="1"/>
        <v/>
      </c>
      <c r="J37" s="443" t="str">
        <f ca="1"/>
        <v/>
      </c>
      <c r="K37" s="443" t="str">
        <f ca="1"/>
        <v/>
      </c>
      <c r="L37" s="443" t="str">
        <f ca="1"/>
        <v/>
      </c>
      <c r="M37" s="444" t="str">
        <f ca="1"/>
        <v/>
      </c>
      <c r="N37" s="587">
        <f t="shared" ca="1" si="3"/>
        <v>0</v>
      </c>
    </row>
    <row r="38" spans="1:20" ht="18.75" customHeight="1">
      <c r="A38" s="2013" t="str">
        <v/>
      </c>
      <c r="B38" s="2016" t="str">
        <f ca="1"/>
        <v/>
      </c>
      <c r="C38" s="443" t="str">
        <f ca="1"/>
        <v/>
      </c>
      <c r="D38" s="443" t="str">
        <f ca="1"/>
        <v/>
      </c>
      <c r="E38" s="443" t="str">
        <f ca="1"/>
        <v/>
      </c>
      <c r="F38" s="443" t="str">
        <f ca="1"/>
        <v/>
      </c>
      <c r="G38" s="443" t="str">
        <f ca="1"/>
        <v/>
      </c>
      <c r="H38" s="443" t="str">
        <f ca="1"/>
        <v/>
      </c>
      <c r="I38" s="443" t="str">
        <f ca="1"/>
        <v/>
      </c>
      <c r="J38" s="443" t="str">
        <f ca="1"/>
        <v/>
      </c>
      <c r="K38" s="443" t="str">
        <f ca="1"/>
        <v/>
      </c>
      <c r="L38" s="443" t="str">
        <f ca="1"/>
        <v/>
      </c>
      <c r="M38" s="444" t="str">
        <f ca="1"/>
        <v/>
      </c>
      <c r="N38" s="587">
        <f t="shared" ca="1" si="3"/>
        <v>0</v>
      </c>
    </row>
    <row r="39" spans="1:20" ht="18.75" customHeight="1" thickBot="1">
      <c r="A39" s="2014" t="str">
        <v/>
      </c>
      <c r="B39" s="2017" t="str">
        <f ca="1"/>
        <v/>
      </c>
      <c r="C39" s="445" t="str">
        <f ca="1"/>
        <v/>
      </c>
      <c r="D39" s="445" t="str">
        <f ca="1"/>
        <v/>
      </c>
      <c r="E39" s="445" t="str">
        <f ca="1"/>
        <v/>
      </c>
      <c r="F39" s="445" t="str">
        <f ca="1"/>
        <v/>
      </c>
      <c r="G39" s="445" t="str">
        <f ca="1"/>
        <v/>
      </c>
      <c r="H39" s="445" t="str">
        <f ca="1"/>
        <v/>
      </c>
      <c r="I39" s="445" t="str">
        <f ca="1"/>
        <v/>
      </c>
      <c r="J39" s="445" t="str">
        <f ca="1"/>
        <v/>
      </c>
      <c r="K39" s="445" t="str">
        <f ca="1"/>
        <v/>
      </c>
      <c r="L39" s="445" t="str">
        <f ca="1"/>
        <v/>
      </c>
      <c r="M39" s="446" t="str">
        <f ca="1"/>
        <v/>
      </c>
      <c r="N39" s="588">
        <f t="shared" ca="1" si="3"/>
        <v>0</v>
      </c>
    </row>
    <row r="40" spans="1:20" s="36" customFormat="1" ht="18.75" customHeight="1" thickBot="1">
      <c r="A40" s="2835" t="str">
        <f>'Prev.Vendas 0'!A40</f>
        <v>Percentágem</v>
      </c>
      <c r="B40" s="2018">
        <f t="array" aca="1" ref="B40:M40" ca="1">B25:M25/$N$25</f>
        <v>8.3333333333333343E-2</v>
      </c>
      <c r="C40" s="447">
        <f ca="1"/>
        <v>8.3333333333333343E-2</v>
      </c>
      <c r="D40" s="447">
        <f ca="1"/>
        <v>8.3333333333333343E-2</v>
      </c>
      <c r="E40" s="447">
        <f ca="1"/>
        <v>8.3333333333333343E-2</v>
      </c>
      <c r="F40" s="447">
        <f ca="1"/>
        <v>8.3333333333333343E-2</v>
      </c>
      <c r="G40" s="447">
        <f ca="1"/>
        <v>8.3333333333333343E-2</v>
      </c>
      <c r="H40" s="447">
        <f ca="1"/>
        <v>8.3333333333333343E-2</v>
      </c>
      <c r="I40" s="447">
        <f ca="1"/>
        <v>8.3333333333333343E-2</v>
      </c>
      <c r="J40" s="447">
        <f ca="1"/>
        <v>8.3333333333333343E-2</v>
      </c>
      <c r="K40" s="447">
        <f ca="1"/>
        <v>8.3333333333333343E-2</v>
      </c>
      <c r="L40" s="447">
        <f ca="1"/>
        <v>8.3333333333333343E-2</v>
      </c>
      <c r="M40" s="447">
        <f ca="1"/>
        <v>8.3333333333333343E-2</v>
      </c>
      <c r="N40" s="448">
        <f t="shared" ca="1" si="3"/>
        <v>1.0000000000000002</v>
      </c>
      <c r="O40" s="239"/>
      <c r="P40" s="62"/>
      <c r="Q40" s="62"/>
      <c r="R40" s="62"/>
      <c r="S40" s="62"/>
      <c r="T40" s="62"/>
    </row>
    <row r="41" spans="1:20" s="36" customFormat="1" ht="18.75" customHeight="1"/>
    <row r="43" spans="1:20">
      <c r="B43" s="62"/>
    </row>
    <row r="44" spans="1:20">
      <c r="B44" s="62"/>
    </row>
    <row r="45" spans="1:20">
      <c r="B45" s="62"/>
    </row>
    <row r="46" spans="1:20">
      <c r="B46" s="62"/>
    </row>
    <row r="47" spans="1:20">
      <c r="B47" s="62"/>
    </row>
    <row r="48" spans="1:20">
      <c r="B48" s="62"/>
    </row>
    <row r="49" spans="2:2">
      <c r="B49" s="62"/>
    </row>
    <row r="50" spans="2:2">
      <c r="B50" s="62"/>
    </row>
    <row r="51" spans="2:2">
      <c r="B51" s="62"/>
    </row>
    <row r="52" spans="2:2">
      <c r="B52" s="62"/>
    </row>
    <row r="53" spans="2:2">
      <c r="B53" s="62"/>
    </row>
    <row r="54" spans="2:2">
      <c r="B54" s="62"/>
    </row>
    <row r="55" spans="2:2">
      <c r="B55" s="62"/>
    </row>
    <row r="56" spans="2:2">
      <c r="B56" s="62"/>
    </row>
    <row r="57" spans="2:2">
      <c r="B57" s="62"/>
    </row>
    <row r="58" spans="2:2">
      <c r="B58" s="62"/>
    </row>
    <row r="59" spans="2:2">
      <c r="B59" s="62"/>
    </row>
    <row r="60" spans="2:2">
      <c r="B60" s="62"/>
    </row>
    <row r="61" spans="2:2">
      <c r="B61" s="62"/>
    </row>
    <row r="62" spans="2:2">
      <c r="B62" s="62"/>
    </row>
    <row r="63" spans="2:2">
      <c r="B63" s="62"/>
    </row>
    <row r="64" spans="2:2">
      <c r="B64" s="62"/>
    </row>
    <row r="65" spans="2:2">
      <c r="B65" s="62"/>
    </row>
    <row r="66" spans="2:2">
      <c r="B66" s="62"/>
    </row>
    <row r="80" spans="2:2">
      <c r="B80" s="62"/>
    </row>
    <row r="81" spans="2:2">
      <c r="B81" s="62"/>
    </row>
  </sheetData>
  <sheetProtection sheet="1" objects="1" scenarios="1"/>
  <phoneticPr fontId="4" type="noConversion"/>
  <conditionalFormatting sqref="B32:M39">
    <cfRule type="expression" dxfId="22"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63">
    <tabColor indexed="53"/>
    <pageSetUpPr fitToPage="1"/>
  </sheetPr>
  <dimension ref="A1:Q17"/>
  <sheetViews>
    <sheetView workbookViewId="0"/>
  </sheetViews>
  <sheetFormatPr baseColWidth="10" defaultColWidth="11" defaultRowHeight="12.75"/>
  <cols>
    <col min="1" max="1" width="24" style="239" customWidth="1"/>
    <col min="2" max="2" width="15.125" style="61" bestFit="1" customWidth="1"/>
    <col min="3" max="3" width="13" style="62" customWidth="1"/>
    <col min="4" max="4" width="11.5" style="62" customWidth="1"/>
    <col min="5" max="9" width="10.125" style="62" customWidth="1"/>
    <col min="10" max="13" width="11.25" style="62" customWidth="1"/>
    <col min="14" max="14" width="10.75" style="62" customWidth="1"/>
    <col min="15" max="15" width="11.5" style="239" customWidth="1"/>
    <col min="16" max="16384" width="11" style="62"/>
  </cols>
  <sheetData>
    <row r="1" spans="1:17" ht="27.75" customHeight="1">
      <c r="A1" s="68" t="s">
        <v>737</v>
      </c>
    </row>
    <row r="2" spans="1:17" ht="26.25" customHeight="1">
      <c r="A2" s="68" t="str">
        <f>'Dados Básicos'!B9</f>
        <v>WWW, S.L.</v>
      </c>
    </row>
    <row r="3" spans="1:17" ht="14.25" customHeight="1">
      <c r="A3" s="60"/>
    </row>
    <row r="4" spans="1:17" ht="14.25" customHeight="1">
      <c r="A4" s="60"/>
    </row>
    <row r="5" spans="1:17" ht="25.5" customHeight="1" thickBot="1">
      <c r="A5" s="433" t="s">
        <v>738</v>
      </c>
    </row>
    <row r="6" spans="1:17" ht="22.5" customHeight="1" thickBot="1">
      <c r="A6" s="457" t="s">
        <v>740</v>
      </c>
      <c r="B6" s="457">
        <v>-360</v>
      </c>
      <c r="C6" s="457">
        <v>-330</v>
      </c>
      <c r="D6" s="457">
        <v>-300</v>
      </c>
      <c r="E6" s="457">
        <v>-270</v>
      </c>
      <c r="F6" s="457">
        <v>-240</v>
      </c>
      <c r="G6" s="457">
        <v>-210</v>
      </c>
      <c r="H6" s="457">
        <v>-180</v>
      </c>
      <c r="I6" s="457">
        <v>-150</v>
      </c>
      <c r="J6" s="457">
        <v>-120</v>
      </c>
      <c r="K6" s="457">
        <v>-90</v>
      </c>
      <c r="L6" s="457">
        <v>-60</v>
      </c>
      <c r="M6" s="457">
        <v>-30</v>
      </c>
      <c r="N6" s="457">
        <v>0</v>
      </c>
      <c r="O6" s="1999" t="s">
        <v>739</v>
      </c>
      <c r="P6" s="1999" t="s">
        <v>612</v>
      </c>
    </row>
    <row r="7" spans="1:17" ht="22.5" customHeight="1" thickBot="1">
      <c r="A7" s="1984" t="s">
        <v>741</v>
      </c>
      <c r="B7" s="457">
        <v>12</v>
      </c>
      <c r="C7" s="457">
        <v>11</v>
      </c>
      <c r="D7" s="457">
        <v>10</v>
      </c>
      <c r="E7" s="457">
        <v>9</v>
      </c>
      <c r="F7" s="457">
        <v>8</v>
      </c>
      <c r="G7" s="457">
        <v>7</v>
      </c>
      <c r="H7" s="457">
        <v>6</v>
      </c>
      <c r="I7" s="457">
        <v>5</v>
      </c>
      <c r="J7" s="457">
        <v>4</v>
      </c>
      <c r="K7" s="457">
        <v>3</v>
      </c>
      <c r="L7" s="457">
        <v>2</v>
      </c>
      <c r="M7" s="457">
        <v>1</v>
      </c>
      <c r="N7" s="449">
        <v>0</v>
      </c>
      <c r="O7" s="457"/>
      <c r="P7" s="457"/>
    </row>
    <row r="8" spans="1:17" ht="21" customHeight="1">
      <c r="A8" s="2836" t="str">
        <f t="array" ref="A8:A15">productos</f>
        <v>produto 1</v>
      </c>
      <c r="B8" s="1784">
        <v>0</v>
      </c>
      <c r="C8" s="1784">
        <v>0</v>
      </c>
      <c r="D8" s="1784">
        <v>0</v>
      </c>
      <c r="E8" s="1784">
        <v>0</v>
      </c>
      <c r="F8" s="1784">
        <v>0</v>
      </c>
      <c r="G8" s="1784">
        <v>0</v>
      </c>
      <c r="H8" s="1784">
        <v>0</v>
      </c>
      <c r="I8" s="1784">
        <v>0</v>
      </c>
      <c r="J8" s="1784">
        <v>0</v>
      </c>
      <c r="K8" s="1784">
        <v>0</v>
      </c>
      <c r="L8" s="1784">
        <v>0</v>
      </c>
      <c r="M8" s="1784">
        <v>0</v>
      </c>
      <c r="N8" s="1783">
        <f t="shared" ref="N8:N15" si="0">IF(SUM(B8:M8)&gt;1,"ERROR",1-SUM(B8:M8))</f>
        <v>1</v>
      </c>
      <c r="O8" s="1985">
        <f t="array" ref="O8">-SUM($B$6:$N$6*B8:N8)</f>
        <v>0</v>
      </c>
      <c r="P8" s="1785">
        <f t="shared" ref="P8:P15" si="1">SUM(B8:N8)</f>
        <v>1</v>
      </c>
      <c r="Q8" s="1782" t="str">
        <f t="shared" ref="Q8:Q15" si="2">IF(P8&lt;&gt;1,"ERROR EN PORCENTAJES DE PRODUCCIÓN","")</f>
        <v/>
      </c>
    </row>
    <row r="9" spans="1:17" ht="21" customHeight="1">
      <c r="A9" s="2837" t="str">
        <v/>
      </c>
      <c r="B9" s="1784">
        <v>0</v>
      </c>
      <c r="C9" s="1784">
        <v>0</v>
      </c>
      <c r="D9" s="1784">
        <v>0</v>
      </c>
      <c r="E9" s="1784">
        <v>0</v>
      </c>
      <c r="F9" s="1784">
        <v>0</v>
      </c>
      <c r="G9" s="1784">
        <v>0</v>
      </c>
      <c r="H9" s="1784">
        <v>0</v>
      </c>
      <c r="I9" s="1784">
        <v>0</v>
      </c>
      <c r="J9" s="1784">
        <v>0</v>
      </c>
      <c r="K9" s="1784">
        <v>0</v>
      </c>
      <c r="L9" s="1784">
        <v>0</v>
      </c>
      <c r="M9" s="1784">
        <v>0</v>
      </c>
      <c r="N9" s="1783">
        <f t="shared" si="0"/>
        <v>1</v>
      </c>
      <c r="O9" s="1985">
        <f t="array" ref="O9">-SUM($B$6:$N$6*B9:N9)</f>
        <v>0</v>
      </c>
      <c r="P9" s="1785">
        <f t="shared" si="1"/>
        <v>1</v>
      </c>
      <c r="Q9" s="1782" t="str">
        <f t="shared" si="2"/>
        <v/>
      </c>
    </row>
    <row r="10" spans="1:17" ht="21" customHeight="1">
      <c r="A10" s="2837" t="str">
        <v/>
      </c>
      <c r="B10" s="1784">
        <v>0</v>
      </c>
      <c r="C10" s="1784">
        <v>0</v>
      </c>
      <c r="D10" s="1784">
        <v>0</v>
      </c>
      <c r="E10" s="1784">
        <v>0</v>
      </c>
      <c r="F10" s="1784">
        <v>0</v>
      </c>
      <c r="G10" s="1784">
        <v>0</v>
      </c>
      <c r="H10" s="1784">
        <v>0</v>
      </c>
      <c r="I10" s="1784">
        <v>0</v>
      </c>
      <c r="J10" s="1784">
        <v>0</v>
      </c>
      <c r="K10" s="1784">
        <v>0</v>
      </c>
      <c r="L10" s="1784">
        <v>0</v>
      </c>
      <c r="M10" s="1784">
        <v>0</v>
      </c>
      <c r="N10" s="1783">
        <f t="shared" si="0"/>
        <v>1</v>
      </c>
      <c r="O10" s="1985">
        <f t="array" ref="O10">-SUM($B$6:$N$6*B10:N10)</f>
        <v>0</v>
      </c>
      <c r="P10" s="1785">
        <f t="shared" si="1"/>
        <v>1</v>
      </c>
      <c r="Q10" s="1782" t="str">
        <f t="shared" si="2"/>
        <v/>
      </c>
    </row>
    <row r="11" spans="1:17" ht="21" customHeight="1">
      <c r="A11" s="2837" t="str">
        <v/>
      </c>
      <c r="B11" s="1784">
        <v>0</v>
      </c>
      <c r="C11" s="1784">
        <v>0</v>
      </c>
      <c r="D11" s="1784">
        <v>0</v>
      </c>
      <c r="E11" s="1784">
        <v>0</v>
      </c>
      <c r="F11" s="1784">
        <v>0</v>
      </c>
      <c r="G11" s="1784">
        <v>0</v>
      </c>
      <c r="H11" s="1784">
        <v>0</v>
      </c>
      <c r="I11" s="1784">
        <v>0</v>
      </c>
      <c r="J11" s="1784">
        <v>0</v>
      </c>
      <c r="K11" s="1784">
        <v>0</v>
      </c>
      <c r="L11" s="1784">
        <v>0</v>
      </c>
      <c r="M11" s="1784">
        <v>0</v>
      </c>
      <c r="N11" s="1783">
        <f t="shared" si="0"/>
        <v>1</v>
      </c>
      <c r="O11" s="1985">
        <f t="array" ref="O11">-SUM($B$6:$N$6*B11:N11)</f>
        <v>0</v>
      </c>
      <c r="P11" s="1785">
        <f t="shared" si="1"/>
        <v>1</v>
      </c>
      <c r="Q11" s="1782" t="str">
        <f t="shared" si="2"/>
        <v/>
      </c>
    </row>
    <row r="12" spans="1:17" ht="21" customHeight="1">
      <c r="A12" s="2837" t="str">
        <v/>
      </c>
      <c r="B12" s="1784">
        <v>0</v>
      </c>
      <c r="C12" s="1784">
        <v>0</v>
      </c>
      <c r="D12" s="1784">
        <v>0</v>
      </c>
      <c r="E12" s="1784">
        <v>0</v>
      </c>
      <c r="F12" s="1784">
        <v>0</v>
      </c>
      <c r="G12" s="1784">
        <v>0</v>
      </c>
      <c r="H12" s="1784">
        <v>0</v>
      </c>
      <c r="I12" s="1784">
        <v>0</v>
      </c>
      <c r="J12" s="1784">
        <v>0</v>
      </c>
      <c r="K12" s="1784">
        <v>0</v>
      </c>
      <c r="L12" s="1784">
        <v>0</v>
      </c>
      <c r="M12" s="1784">
        <v>0</v>
      </c>
      <c r="N12" s="1783">
        <f t="shared" si="0"/>
        <v>1</v>
      </c>
      <c r="O12" s="1985">
        <f t="array" ref="O12">-SUM($B$6:$N$6*B12:N12)</f>
        <v>0</v>
      </c>
      <c r="P12" s="1785">
        <f t="shared" si="1"/>
        <v>1</v>
      </c>
      <c r="Q12" s="1782" t="str">
        <f t="shared" si="2"/>
        <v/>
      </c>
    </row>
    <row r="13" spans="1:17" ht="21" customHeight="1">
      <c r="A13" s="2837" t="str">
        <v/>
      </c>
      <c r="B13" s="1784">
        <v>0</v>
      </c>
      <c r="C13" s="1784">
        <v>0</v>
      </c>
      <c r="D13" s="1784">
        <v>0</v>
      </c>
      <c r="E13" s="1784">
        <v>0</v>
      </c>
      <c r="F13" s="1784">
        <v>0</v>
      </c>
      <c r="G13" s="1784">
        <v>0</v>
      </c>
      <c r="H13" s="1784">
        <v>0</v>
      </c>
      <c r="I13" s="1784">
        <v>0</v>
      </c>
      <c r="J13" s="1784">
        <v>0</v>
      </c>
      <c r="K13" s="1784">
        <v>0</v>
      </c>
      <c r="L13" s="1784">
        <v>0</v>
      </c>
      <c r="M13" s="1784">
        <v>0</v>
      </c>
      <c r="N13" s="1783">
        <f t="shared" si="0"/>
        <v>1</v>
      </c>
      <c r="O13" s="1985">
        <f t="array" ref="O13">-SUM($B$6:$N$6*B13:N13)</f>
        <v>0</v>
      </c>
      <c r="P13" s="1785">
        <f t="shared" si="1"/>
        <v>1</v>
      </c>
      <c r="Q13" s="1782" t="str">
        <f t="shared" si="2"/>
        <v/>
      </c>
    </row>
    <row r="14" spans="1:17" ht="21" customHeight="1">
      <c r="A14" s="2837" t="str">
        <v/>
      </c>
      <c r="B14" s="1784">
        <v>0</v>
      </c>
      <c r="C14" s="1784">
        <v>0</v>
      </c>
      <c r="D14" s="1784">
        <v>0</v>
      </c>
      <c r="E14" s="1784">
        <v>0</v>
      </c>
      <c r="F14" s="1784">
        <v>0</v>
      </c>
      <c r="G14" s="1784">
        <v>0</v>
      </c>
      <c r="H14" s="1784">
        <v>0</v>
      </c>
      <c r="I14" s="1784">
        <v>0</v>
      </c>
      <c r="J14" s="1784">
        <v>0</v>
      </c>
      <c r="K14" s="1784">
        <v>0</v>
      </c>
      <c r="L14" s="1784">
        <v>0</v>
      </c>
      <c r="M14" s="1784">
        <v>0</v>
      </c>
      <c r="N14" s="1783">
        <f t="shared" si="0"/>
        <v>1</v>
      </c>
      <c r="O14" s="1985">
        <f t="array" ref="O14">-SUM($B$6:$N$6*B14:N14)</f>
        <v>0</v>
      </c>
      <c r="P14" s="1785">
        <f t="shared" si="1"/>
        <v>1</v>
      </c>
      <c r="Q14" s="1782" t="str">
        <f t="shared" si="2"/>
        <v/>
      </c>
    </row>
    <row r="15" spans="1:17" ht="21" customHeight="1" thickBot="1">
      <c r="A15" s="2838" t="str">
        <v/>
      </c>
      <c r="B15" s="1787">
        <v>0</v>
      </c>
      <c r="C15" s="1787">
        <v>0</v>
      </c>
      <c r="D15" s="1787">
        <v>0</v>
      </c>
      <c r="E15" s="1787">
        <v>0</v>
      </c>
      <c r="F15" s="1787">
        <v>0</v>
      </c>
      <c r="G15" s="1787">
        <v>0</v>
      </c>
      <c r="H15" s="1787">
        <v>0</v>
      </c>
      <c r="I15" s="1787">
        <v>0</v>
      </c>
      <c r="J15" s="1787">
        <v>0</v>
      </c>
      <c r="K15" s="1787">
        <v>0</v>
      </c>
      <c r="L15" s="1787">
        <v>0</v>
      </c>
      <c r="M15" s="1787">
        <v>0</v>
      </c>
      <c r="N15" s="1786">
        <f t="shared" si="0"/>
        <v>1</v>
      </c>
      <c r="O15" s="1985">
        <f t="array" ref="O15">-SUM($B$6:$N$6*B15:N15)</f>
        <v>0</v>
      </c>
      <c r="P15" s="1788">
        <f t="shared" si="1"/>
        <v>1</v>
      </c>
      <c r="Q15" s="1782" t="str">
        <f t="shared" si="2"/>
        <v/>
      </c>
    </row>
    <row r="16" spans="1:17" ht="14.25" customHeight="1">
      <c r="A16" s="60"/>
    </row>
    <row r="17" spans="1:1" ht="14.25" customHeight="1">
      <c r="A17" s="60"/>
    </row>
  </sheetData>
  <sheetProtection sheet="1" objects="1" scenarios="1"/>
  <phoneticPr fontId="4" type="noConversion"/>
  <dataValidations xWindow="240" yWindow="248" count="1">
    <dataValidation type="decimal" allowBlank="1" showInputMessage="1" showErrorMessage="1" sqref="H8:M15" xr:uid="{00000000-0002-0000-1A00-000000000000}">
      <formula1>0</formula1>
      <formula2>1</formula2>
    </dataValidation>
  </dataValidations>
  <printOptions horizontalCentered="1" verticalCentered="1"/>
  <pageMargins left="0.38" right="0.19685039370078741" top="0.53" bottom="0.71" header="0.51181102362204722" footer="0.39370078740157483"/>
  <pageSetup paperSize="9" scale="62" fitToHeight="2" orientation="landscape" horizontalDpi="300" verticalDpi="300" r:id="rId1"/>
  <headerFooter alignWithMargins="0">
    <oddFooter>&amp;C&amp;"Tahoma,Normal"&amp;10&amp;A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67">
    <tabColor indexed="10"/>
    <pageSetUpPr fitToPage="1"/>
  </sheetPr>
  <dimension ref="A1:Z251"/>
  <sheetViews>
    <sheetView workbookViewId="0"/>
  </sheetViews>
  <sheetFormatPr baseColWidth="10" defaultColWidth="11" defaultRowHeight="12.75"/>
  <cols>
    <col min="1" max="1" width="24" style="239" customWidth="1"/>
    <col min="2" max="2" width="11.375" style="61" customWidth="1"/>
    <col min="3" max="14" width="11.375" style="62" customWidth="1"/>
    <col min="15" max="15" width="11.5" style="239" customWidth="1"/>
    <col min="16" max="18" width="11" style="62"/>
    <col min="19" max="19" width="12.125" style="62" customWidth="1"/>
    <col min="20" max="16384" width="11" style="62"/>
  </cols>
  <sheetData>
    <row r="1" spans="1:16" ht="22.5">
      <c r="A1" s="68" t="s">
        <v>742</v>
      </c>
      <c r="K1" s="2740" t="str">
        <f>Parametros!B$77</f>
        <v>Ano 0:  2026</v>
      </c>
      <c r="L1" s="432"/>
    </row>
    <row r="2" spans="1:16" ht="22.5">
      <c r="A2" s="68" t="str">
        <f>'Dados Básicos'!B9</f>
        <v>WWW, S.L.</v>
      </c>
    </row>
    <row r="3" spans="1:16" ht="14.25" customHeight="1">
      <c r="A3" s="60"/>
    </row>
    <row r="4" spans="1:16" ht="14.25" customHeight="1">
      <c r="A4" s="60"/>
    </row>
    <row r="5" spans="1:16" ht="14.25" customHeight="1">
      <c r="A5" s="60"/>
    </row>
    <row r="6" spans="1:16" ht="24" customHeight="1" thickBot="1">
      <c r="A6" s="433" t="s">
        <v>743</v>
      </c>
    </row>
    <row r="7" spans="1:16" s="458" customFormat="1" ht="15.75" customHeight="1" thickBot="1">
      <c r="A7" s="457" t="s">
        <v>625</v>
      </c>
      <c r="B7" s="455" t="str">
        <f t="array" ref="B7:M7">meses</f>
        <v>janeiro</v>
      </c>
      <c r="C7" s="451" t="str">
        <v>fevereiro</v>
      </c>
      <c r="D7" s="451" t="str">
        <v>março</v>
      </c>
      <c r="E7" s="451" t="str">
        <v>abril</v>
      </c>
      <c r="F7" s="451" t="str">
        <v>maio</v>
      </c>
      <c r="G7" s="451" t="str">
        <v>junho</v>
      </c>
      <c r="H7" s="451" t="str">
        <v>julho</v>
      </c>
      <c r="I7" s="451" t="str">
        <v>agosto</v>
      </c>
      <c r="J7" s="451" t="str">
        <v>setembro</v>
      </c>
      <c r="K7" s="451" t="str">
        <v>outubro</v>
      </c>
      <c r="L7" s="451" t="str">
        <v>novembro</v>
      </c>
      <c r="M7" s="452" t="str">
        <v>dezembro</v>
      </c>
      <c r="N7" s="449" t="s">
        <v>612</v>
      </c>
    </row>
    <row r="8" spans="1:16" ht="15.75" customHeight="1">
      <c r="A8" s="1996" t="str">
        <f t="array" ref="A8:A15">productos</f>
        <v>produto 1</v>
      </c>
      <c r="B8" s="589">
        <f t="array" aca="1" ref="B8:M15" ca="1">'Prev.Vendas 0'!B5:M12</f>
        <v>200</v>
      </c>
      <c r="C8" s="590">
        <f ca="1"/>
        <v>272.72727272727275</v>
      </c>
      <c r="D8" s="590">
        <f ca="1"/>
        <v>345.4545454545455</v>
      </c>
      <c r="E8" s="590">
        <f ca="1"/>
        <v>418.18181818181819</v>
      </c>
      <c r="F8" s="590">
        <f ca="1"/>
        <v>490.90909090909093</v>
      </c>
      <c r="G8" s="590">
        <f ca="1"/>
        <v>563.63636363636363</v>
      </c>
      <c r="H8" s="590">
        <f ca="1"/>
        <v>636.36363636363637</v>
      </c>
      <c r="I8" s="590">
        <f ca="1"/>
        <v>709.09090909090901</v>
      </c>
      <c r="J8" s="590">
        <f ca="1"/>
        <v>781.81818181818187</v>
      </c>
      <c r="K8" s="590">
        <f ca="1"/>
        <v>854.5454545454545</v>
      </c>
      <c r="L8" s="590">
        <f ca="1"/>
        <v>927.27272727272725</v>
      </c>
      <c r="M8" s="612">
        <f ca="1"/>
        <v>1000</v>
      </c>
      <c r="N8" s="591">
        <f t="shared" ref="N8:N15" ca="1" si="0">SUM(B8:M8)</f>
        <v>7199.9999999999991</v>
      </c>
      <c r="O8" s="62"/>
      <c r="P8" s="458"/>
    </row>
    <row r="9" spans="1:16"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c r="P9" s="458"/>
    </row>
    <row r="10" spans="1:16"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c r="P10" s="458"/>
    </row>
    <row r="11" spans="1:16"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c r="P11" s="458"/>
    </row>
    <row r="12" spans="1:16" ht="15.75" customHeight="1">
      <c r="A12" s="1997" t="str">
        <v/>
      </c>
      <c r="B12" s="592">
        <f ca="1"/>
        <v>0</v>
      </c>
      <c r="C12" s="593">
        <f ca="1"/>
        <v>0</v>
      </c>
      <c r="D12" s="593">
        <f ca="1"/>
        <v>0</v>
      </c>
      <c r="E12" s="593">
        <f ca="1"/>
        <v>0</v>
      </c>
      <c r="F12" s="593">
        <f ca="1"/>
        <v>0</v>
      </c>
      <c r="G12" s="593">
        <f ca="1"/>
        <v>0</v>
      </c>
      <c r="H12" s="593">
        <f ca="1"/>
        <v>0</v>
      </c>
      <c r="I12" s="593">
        <f ca="1"/>
        <v>0</v>
      </c>
      <c r="J12" s="593">
        <f ca="1"/>
        <v>0</v>
      </c>
      <c r="K12" s="593">
        <f ca="1"/>
        <v>0</v>
      </c>
      <c r="L12" s="593">
        <f ca="1"/>
        <v>0</v>
      </c>
      <c r="M12" s="613">
        <f ca="1"/>
        <v>0</v>
      </c>
      <c r="N12" s="594">
        <f t="shared" ca="1" si="0"/>
        <v>0</v>
      </c>
      <c r="O12" s="62"/>
      <c r="P12" s="458"/>
    </row>
    <row r="13" spans="1:16" ht="15.75" customHeight="1">
      <c r="A13" s="1997" t="str">
        <v/>
      </c>
      <c r="B13" s="592">
        <f ca="1"/>
        <v>0</v>
      </c>
      <c r="C13" s="593">
        <f ca="1"/>
        <v>0</v>
      </c>
      <c r="D13" s="593">
        <f ca="1"/>
        <v>0</v>
      </c>
      <c r="E13" s="593">
        <f ca="1"/>
        <v>0</v>
      </c>
      <c r="F13" s="593">
        <f ca="1"/>
        <v>0</v>
      </c>
      <c r="G13" s="593">
        <f ca="1"/>
        <v>0</v>
      </c>
      <c r="H13" s="593">
        <f ca="1"/>
        <v>0</v>
      </c>
      <c r="I13" s="593">
        <f ca="1"/>
        <v>0</v>
      </c>
      <c r="J13" s="593">
        <f ca="1"/>
        <v>0</v>
      </c>
      <c r="K13" s="593">
        <f ca="1"/>
        <v>0</v>
      </c>
      <c r="L13" s="593">
        <f ca="1"/>
        <v>0</v>
      </c>
      <c r="M13" s="613">
        <f ca="1"/>
        <v>0</v>
      </c>
      <c r="N13" s="594">
        <f t="shared" ca="1" si="0"/>
        <v>0</v>
      </c>
      <c r="O13" s="62"/>
      <c r="P13" s="458"/>
    </row>
    <row r="14" spans="1:16" ht="15.75" customHeight="1">
      <c r="A14" s="1997" t="str">
        <v/>
      </c>
      <c r="B14" s="592">
        <f ca="1"/>
        <v>0</v>
      </c>
      <c r="C14" s="593">
        <f ca="1"/>
        <v>0</v>
      </c>
      <c r="D14" s="593">
        <f ca="1"/>
        <v>0</v>
      </c>
      <c r="E14" s="593">
        <f ca="1"/>
        <v>0</v>
      </c>
      <c r="F14" s="593">
        <f ca="1"/>
        <v>0</v>
      </c>
      <c r="G14" s="593">
        <f ca="1"/>
        <v>0</v>
      </c>
      <c r="H14" s="593">
        <f ca="1"/>
        <v>0</v>
      </c>
      <c r="I14" s="593">
        <f ca="1"/>
        <v>0</v>
      </c>
      <c r="J14" s="593">
        <f ca="1"/>
        <v>0</v>
      </c>
      <c r="K14" s="593">
        <f ca="1"/>
        <v>0</v>
      </c>
      <c r="L14" s="593">
        <f ca="1"/>
        <v>0</v>
      </c>
      <c r="M14" s="613">
        <f ca="1"/>
        <v>0</v>
      </c>
      <c r="N14" s="594">
        <f t="shared" ca="1" si="0"/>
        <v>0</v>
      </c>
      <c r="O14" s="62"/>
      <c r="P14" s="458"/>
    </row>
    <row r="15" spans="1:16" ht="15.75" customHeight="1" thickBot="1">
      <c r="A15" s="1998" t="str">
        <v/>
      </c>
      <c r="B15" s="595">
        <f ca="1"/>
        <v>0</v>
      </c>
      <c r="C15" s="596">
        <f ca="1"/>
        <v>0</v>
      </c>
      <c r="D15" s="596">
        <f ca="1"/>
        <v>0</v>
      </c>
      <c r="E15" s="596">
        <f ca="1"/>
        <v>0</v>
      </c>
      <c r="F15" s="596">
        <f ca="1"/>
        <v>0</v>
      </c>
      <c r="G15" s="596">
        <f ca="1"/>
        <v>0</v>
      </c>
      <c r="H15" s="596">
        <f ca="1"/>
        <v>0</v>
      </c>
      <c r="I15" s="596">
        <f ca="1"/>
        <v>0</v>
      </c>
      <c r="J15" s="596">
        <f ca="1"/>
        <v>0</v>
      </c>
      <c r="K15" s="596">
        <f ca="1"/>
        <v>0</v>
      </c>
      <c r="L15" s="596">
        <f ca="1"/>
        <v>0</v>
      </c>
      <c r="M15" s="614">
        <f ca="1"/>
        <v>0</v>
      </c>
      <c r="N15" s="597">
        <f t="shared" ca="1" si="0"/>
        <v>0</v>
      </c>
      <c r="O15" s="62"/>
      <c r="P15" s="458"/>
    </row>
    <row r="16" spans="1:16" ht="15">
      <c r="A16" s="73"/>
    </row>
    <row r="17" spans="1:16" ht="15">
      <c r="A17" s="220"/>
    </row>
    <row r="18" spans="1:16" ht="18.75" thickBot="1">
      <c r="A18" s="1993" t="s">
        <v>744</v>
      </c>
      <c r="G18" s="2741" t="str">
        <f>$K$1</f>
        <v>Ano 0:  2026</v>
      </c>
      <c r="I18" s="1993" t="str">
        <f>'Dados Básicos'!A28&amp;" NÃO incluido"</f>
        <v>IVA NÃO incluido</v>
      </c>
    </row>
    <row r="19" spans="1:16" s="456" customFormat="1" ht="15.75" customHeight="1" thickBot="1">
      <c r="A19" s="457" t="s">
        <v>745</v>
      </c>
      <c r="B19" s="455" t="str">
        <f t="array" ref="B19:M19">meses</f>
        <v>janeiro</v>
      </c>
      <c r="C19" s="451" t="str">
        <v>fevereiro</v>
      </c>
      <c r="D19" s="451" t="str">
        <v>março</v>
      </c>
      <c r="E19" s="451" t="str">
        <v>abril</v>
      </c>
      <c r="F19" s="451" t="str">
        <v>maio</v>
      </c>
      <c r="G19" s="451" t="str">
        <v>junho</v>
      </c>
      <c r="H19" s="451" t="str">
        <v>julho</v>
      </c>
      <c r="I19" s="451" t="str">
        <v>agosto</v>
      </c>
      <c r="J19" s="451" t="str">
        <v>setembro</v>
      </c>
      <c r="K19" s="451" t="str">
        <v>outubro</v>
      </c>
      <c r="L19" s="451" t="str">
        <v>novembro</v>
      </c>
      <c r="M19" s="452" t="str">
        <v>dezembro</v>
      </c>
      <c r="N19" s="449" t="str">
        <f>N$7</f>
        <v>Totais</v>
      </c>
    </row>
    <row r="20" spans="1:16" ht="15.75" customHeight="1">
      <c r="A20" s="1996" t="str">
        <f t="array" ref="A20:A27">productos</f>
        <v>produto 1</v>
      </c>
      <c r="B20" s="598">
        <f t="array" aca="1" ref="B20:M27" ca="1">B8:M15*'Preços-CV'!$B19:$B26</f>
        <v>28.000000000000004</v>
      </c>
      <c r="C20" s="599">
        <f ca="1"/>
        <v>38.181818181818187</v>
      </c>
      <c r="D20" s="599">
        <f ca="1"/>
        <v>48.363636363636374</v>
      </c>
      <c r="E20" s="599">
        <f ca="1"/>
        <v>58.545454545454554</v>
      </c>
      <c r="F20" s="599">
        <f ca="1"/>
        <v>68.727272727272734</v>
      </c>
      <c r="G20" s="599">
        <f ca="1"/>
        <v>78.909090909090921</v>
      </c>
      <c r="H20" s="599">
        <f ca="1"/>
        <v>89.090909090909108</v>
      </c>
      <c r="I20" s="599">
        <f ca="1"/>
        <v>99.272727272727266</v>
      </c>
      <c r="J20" s="599">
        <f ca="1"/>
        <v>109.45454545454547</v>
      </c>
      <c r="K20" s="599">
        <f ca="1"/>
        <v>119.63636363636364</v>
      </c>
      <c r="L20" s="599">
        <f ca="1"/>
        <v>129.81818181818184</v>
      </c>
      <c r="M20" s="609">
        <f ca="1"/>
        <v>140</v>
      </c>
      <c r="N20" s="591">
        <f t="shared" ref="N20:N39" ca="1" si="1">SUM(B20:M20)</f>
        <v>1008.0000000000001</v>
      </c>
      <c r="O20" s="62"/>
      <c r="P20" s="456"/>
    </row>
    <row r="21" spans="1:16"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c r="P21" s="456"/>
    </row>
    <row r="22" spans="1:16"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c r="P22" s="456"/>
    </row>
    <row r="23" spans="1:16"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c r="P23" s="456"/>
    </row>
    <row r="24" spans="1:16" ht="15.75" customHeight="1">
      <c r="A24" s="1997" t="str">
        <v/>
      </c>
      <c r="B24" s="600">
        <f ca="1"/>
        <v>0</v>
      </c>
      <c r="C24" s="601">
        <f ca="1"/>
        <v>0</v>
      </c>
      <c r="D24" s="601">
        <f ca="1"/>
        <v>0</v>
      </c>
      <c r="E24" s="601">
        <f ca="1"/>
        <v>0</v>
      </c>
      <c r="F24" s="601">
        <f ca="1"/>
        <v>0</v>
      </c>
      <c r="G24" s="601">
        <f ca="1"/>
        <v>0</v>
      </c>
      <c r="H24" s="601">
        <f ca="1"/>
        <v>0</v>
      </c>
      <c r="I24" s="601">
        <f ca="1"/>
        <v>0</v>
      </c>
      <c r="J24" s="601">
        <f ca="1"/>
        <v>0</v>
      </c>
      <c r="K24" s="601">
        <f ca="1"/>
        <v>0</v>
      </c>
      <c r="L24" s="601">
        <f ca="1"/>
        <v>0</v>
      </c>
      <c r="M24" s="610">
        <f ca="1"/>
        <v>0</v>
      </c>
      <c r="N24" s="594">
        <f t="shared" ca="1" si="1"/>
        <v>0</v>
      </c>
      <c r="O24" s="62"/>
      <c r="P24" s="456"/>
    </row>
    <row r="25" spans="1:16" ht="15.75" customHeight="1">
      <c r="A25" s="1997" t="str">
        <v/>
      </c>
      <c r="B25" s="600">
        <f ca="1"/>
        <v>0</v>
      </c>
      <c r="C25" s="601">
        <f ca="1"/>
        <v>0</v>
      </c>
      <c r="D25" s="601">
        <f ca="1"/>
        <v>0</v>
      </c>
      <c r="E25" s="601">
        <f ca="1"/>
        <v>0</v>
      </c>
      <c r="F25" s="601">
        <f ca="1"/>
        <v>0</v>
      </c>
      <c r="G25" s="601">
        <f ca="1"/>
        <v>0</v>
      </c>
      <c r="H25" s="601">
        <f ca="1"/>
        <v>0</v>
      </c>
      <c r="I25" s="601">
        <f ca="1"/>
        <v>0</v>
      </c>
      <c r="J25" s="601">
        <f ca="1"/>
        <v>0</v>
      </c>
      <c r="K25" s="601">
        <f ca="1"/>
        <v>0</v>
      </c>
      <c r="L25" s="601">
        <f ca="1"/>
        <v>0</v>
      </c>
      <c r="M25" s="610">
        <f ca="1"/>
        <v>0</v>
      </c>
      <c r="N25" s="594">
        <f t="shared" ca="1" si="1"/>
        <v>0</v>
      </c>
      <c r="O25" s="62"/>
      <c r="P25" s="456"/>
    </row>
    <row r="26" spans="1:16" ht="15.75" customHeight="1">
      <c r="A26" s="1997" t="str">
        <v/>
      </c>
      <c r="B26" s="600">
        <f ca="1"/>
        <v>0</v>
      </c>
      <c r="C26" s="601">
        <f ca="1"/>
        <v>0</v>
      </c>
      <c r="D26" s="601">
        <f ca="1"/>
        <v>0</v>
      </c>
      <c r="E26" s="601">
        <f ca="1"/>
        <v>0</v>
      </c>
      <c r="F26" s="601">
        <f ca="1"/>
        <v>0</v>
      </c>
      <c r="G26" s="601">
        <f ca="1"/>
        <v>0</v>
      </c>
      <c r="H26" s="601">
        <f ca="1"/>
        <v>0</v>
      </c>
      <c r="I26" s="601">
        <f ca="1"/>
        <v>0</v>
      </c>
      <c r="J26" s="601">
        <f ca="1"/>
        <v>0</v>
      </c>
      <c r="K26" s="601">
        <f ca="1"/>
        <v>0</v>
      </c>
      <c r="L26" s="601">
        <f ca="1"/>
        <v>0</v>
      </c>
      <c r="M26" s="610">
        <f ca="1"/>
        <v>0</v>
      </c>
      <c r="N26" s="594">
        <f t="shared" ca="1" si="1"/>
        <v>0</v>
      </c>
      <c r="O26" s="62"/>
      <c r="P26" s="456"/>
    </row>
    <row r="27" spans="1:16" ht="15.75" customHeight="1" thickBot="1">
      <c r="A27" s="1998" t="str">
        <v/>
      </c>
      <c r="B27" s="602">
        <f ca="1"/>
        <v>0</v>
      </c>
      <c r="C27" s="603">
        <f ca="1"/>
        <v>0</v>
      </c>
      <c r="D27" s="603">
        <f ca="1"/>
        <v>0</v>
      </c>
      <c r="E27" s="603">
        <f ca="1"/>
        <v>0</v>
      </c>
      <c r="F27" s="603">
        <f ca="1"/>
        <v>0</v>
      </c>
      <c r="G27" s="603">
        <f ca="1"/>
        <v>0</v>
      </c>
      <c r="H27" s="603">
        <f ca="1"/>
        <v>0</v>
      </c>
      <c r="I27" s="603">
        <f ca="1"/>
        <v>0</v>
      </c>
      <c r="J27" s="603">
        <f ca="1"/>
        <v>0</v>
      </c>
      <c r="K27" s="603">
        <f ca="1"/>
        <v>0</v>
      </c>
      <c r="L27" s="603">
        <f ca="1"/>
        <v>0</v>
      </c>
      <c r="M27" s="611">
        <f ca="1"/>
        <v>0</v>
      </c>
      <c r="N27" s="604">
        <f t="shared" ca="1" si="1"/>
        <v>0</v>
      </c>
      <c r="O27" s="62"/>
      <c r="P27" s="456"/>
    </row>
    <row r="28" spans="1:16" ht="15.75" customHeight="1" thickBot="1">
      <c r="A28" s="105" t="s">
        <v>612</v>
      </c>
      <c r="B28" s="606">
        <f t="shared" ref="B28:M28" ca="1" si="2">SUM(B20:B27)</f>
        <v>28.000000000000004</v>
      </c>
      <c r="C28" s="607">
        <f t="shared" ca="1" si="2"/>
        <v>38.181818181818187</v>
      </c>
      <c r="D28" s="607">
        <f t="shared" ca="1" si="2"/>
        <v>48.363636363636374</v>
      </c>
      <c r="E28" s="607">
        <f t="shared" ca="1" si="2"/>
        <v>58.545454545454554</v>
      </c>
      <c r="F28" s="607">
        <f t="shared" ca="1" si="2"/>
        <v>68.727272727272734</v>
      </c>
      <c r="G28" s="607">
        <f t="shared" ca="1" si="2"/>
        <v>78.909090909090921</v>
      </c>
      <c r="H28" s="607">
        <f t="shared" ca="1" si="2"/>
        <v>89.090909090909108</v>
      </c>
      <c r="I28" s="607">
        <f t="shared" ca="1" si="2"/>
        <v>99.272727272727266</v>
      </c>
      <c r="J28" s="607">
        <f t="shared" ca="1" si="2"/>
        <v>109.45454545454547</v>
      </c>
      <c r="K28" s="607">
        <f t="shared" ca="1" si="2"/>
        <v>119.63636363636364</v>
      </c>
      <c r="L28" s="607">
        <f t="shared" ca="1" si="2"/>
        <v>129.81818181818184</v>
      </c>
      <c r="M28" s="608">
        <f t="shared" ca="1" si="2"/>
        <v>140</v>
      </c>
      <c r="N28" s="605">
        <f t="shared" ca="1" si="1"/>
        <v>1008.0000000000001</v>
      </c>
      <c r="O28" s="62"/>
      <c r="P28" s="456"/>
    </row>
    <row r="29" spans="1:16" ht="15">
      <c r="A29" s="220"/>
      <c r="P29" s="456"/>
    </row>
    <row r="30" spans="1:16" ht="15.75" thickBot="1">
      <c r="A30" s="220"/>
    </row>
    <row r="31" spans="1:16" ht="19.5" customHeight="1" thickBot="1">
      <c r="A31" s="457" t="str">
        <f>'Dados Básicos'!A28&amp;" sop. Custos produç."</f>
        <v>IVA sop. Custos produç.</v>
      </c>
      <c r="B31" s="455"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tr">
        <f>N$7</f>
        <v>Totais</v>
      </c>
    </row>
    <row r="32" spans="1:16" ht="15.75" customHeight="1">
      <c r="A32" s="1996" t="str">
        <f t="array" ref="A32:A39">productos</f>
        <v>produto 1</v>
      </c>
      <c r="B32" s="598">
        <f t="array" aca="1" ref="B32:M39" ca="1">B20:M27*Parametros!$F24:$F31</f>
        <v>5.8800000000000008</v>
      </c>
      <c r="C32" s="599">
        <f ca="1"/>
        <v>8.0181818181818194</v>
      </c>
      <c r="D32" s="599">
        <f ca="1"/>
        <v>10.156363636363638</v>
      </c>
      <c r="E32" s="599">
        <f ca="1"/>
        <v>12.294545454545457</v>
      </c>
      <c r="F32" s="599">
        <f ca="1"/>
        <v>14.432727272727274</v>
      </c>
      <c r="G32" s="599">
        <f ca="1"/>
        <v>16.570909090909094</v>
      </c>
      <c r="H32" s="599">
        <f ca="1"/>
        <v>18.709090909090911</v>
      </c>
      <c r="I32" s="599">
        <f ca="1"/>
        <v>20.847272727272724</v>
      </c>
      <c r="J32" s="599">
        <f ca="1"/>
        <v>22.985454545454548</v>
      </c>
      <c r="K32" s="599">
        <f ca="1"/>
        <v>25.123636363636365</v>
      </c>
      <c r="L32" s="599">
        <f ca="1"/>
        <v>27.261818181818185</v>
      </c>
      <c r="M32" s="609">
        <f ca="1"/>
        <v>29.4</v>
      </c>
      <c r="N32" s="591">
        <f t="shared" ca="1" si="1"/>
        <v>211.68000000000004</v>
      </c>
      <c r="O32" s="62"/>
    </row>
    <row r="33" spans="1:16" ht="15.75" customHeight="1">
      <c r="A33" s="1997" t="str">
        <v/>
      </c>
      <c r="B33" s="600">
        <f ca="1"/>
        <v>0</v>
      </c>
      <c r="C33" s="601">
        <f ca="1"/>
        <v>0</v>
      </c>
      <c r="D33" s="601">
        <f ca="1"/>
        <v>0</v>
      </c>
      <c r="E33" s="601">
        <f ca="1"/>
        <v>0</v>
      </c>
      <c r="F33" s="601">
        <f ca="1"/>
        <v>0</v>
      </c>
      <c r="G33" s="601">
        <f ca="1"/>
        <v>0</v>
      </c>
      <c r="H33" s="601">
        <f ca="1"/>
        <v>0</v>
      </c>
      <c r="I33" s="601">
        <f ca="1"/>
        <v>0</v>
      </c>
      <c r="J33" s="601">
        <f ca="1"/>
        <v>0</v>
      </c>
      <c r="K33" s="601">
        <f ca="1"/>
        <v>0</v>
      </c>
      <c r="L33" s="601">
        <f ca="1"/>
        <v>0</v>
      </c>
      <c r="M33" s="610">
        <f ca="1"/>
        <v>0</v>
      </c>
      <c r="N33" s="594">
        <f t="shared" ca="1" si="1"/>
        <v>0</v>
      </c>
      <c r="O33" s="62"/>
    </row>
    <row r="34" spans="1:16" ht="15.75" customHeight="1">
      <c r="A34" s="1997" t="str">
        <v/>
      </c>
      <c r="B34" s="600">
        <f ca="1"/>
        <v>0</v>
      </c>
      <c r="C34" s="601">
        <f ca="1"/>
        <v>0</v>
      </c>
      <c r="D34" s="601">
        <f ca="1"/>
        <v>0</v>
      </c>
      <c r="E34" s="601">
        <f ca="1"/>
        <v>0</v>
      </c>
      <c r="F34" s="601">
        <f ca="1"/>
        <v>0</v>
      </c>
      <c r="G34" s="601">
        <f ca="1"/>
        <v>0</v>
      </c>
      <c r="H34" s="601">
        <f ca="1"/>
        <v>0</v>
      </c>
      <c r="I34" s="601">
        <f ca="1"/>
        <v>0</v>
      </c>
      <c r="J34" s="601">
        <f ca="1"/>
        <v>0</v>
      </c>
      <c r="K34" s="601">
        <f ca="1"/>
        <v>0</v>
      </c>
      <c r="L34" s="601">
        <f ca="1"/>
        <v>0</v>
      </c>
      <c r="M34" s="610">
        <f ca="1"/>
        <v>0</v>
      </c>
      <c r="N34" s="594">
        <f t="shared" ca="1" si="1"/>
        <v>0</v>
      </c>
      <c r="O34" s="62"/>
    </row>
    <row r="35" spans="1:16" ht="15.75" customHeight="1">
      <c r="A35" s="1997" t="str">
        <v/>
      </c>
      <c r="B35" s="600">
        <f ca="1"/>
        <v>0</v>
      </c>
      <c r="C35" s="601">
        <f ca="1"/>
        <v>0</v>
      </c>
      <c r="D35" s="601">
        <f ca="1"/>
        <v>0</v>
      </c>
      <c r="E35" s="601">
        <f ca="1"/>
        <v>0</v>
      </c>
      <c r="F35" s="601">
        <f ca="1"/>
        <v>0</v>
      </c>
      <c r="G35" s="601">
        <f ca="1"/>
        <v>0</v>
      </c>
      <c r="H35" s="601">
        <f ca="1"/>
        <v>0</v>
      </c>
      <c r="I35" s="601">
        <f ca="1"/>
        <v>0</v>
      </c>
      <c r="J35" s="601">
        <f ca="1"/>
        <v>0</v>
      </c>
      <c r="K35" s="601">
        <f ca="1"/>
        <v>0</v>
      </c>
      <c r="L35" s="601">
        <f ca="1"/>
        <v>0</v>
      </c>
      <c r="M35" s="610">
        <f ca="1"/>
        <v>0</v>
      </c>
      <c r="N35" s="594">
        <f t="shared" ca="1" si="1"/>
        <v>0</v>
      </c>
      <c r="O35" s="62"/>
    </row>
    <row r="36" spans="1:16" ht="15.75" customHeight="1">
      <c r="A36" s="1997" t="str">
        <v/>
      </c>
      <c r="B36" s="600">
        <f ca="1"/>
        <v>0</v>
      </c>
      <c r="C36" s="601">
        <f ca="1"/>
        <v>0</v>
      </c>
      <c r="D36" s="601">
        <f ca="1"/>
        <v>0</v>
      </c>
      <c r="E36" s="601">
        <f ca="1"/>
        <v>0</v>
      </c>
      <c r="F36" s="601">
        <f ca="1"/>
        <v>0</v>
      </c>
      <c r="G36" s="601">
        <f ca="1"/>
        <v>0</v>
      </c>
      <c r="H36" s="601">
        <f ca="1"/>
        <v>0</v>
      </c>
      <c r="I36" s="601">
        <f ca="1"/>
        <v>0</v>
      </c>
      <c r="J36" s="601">
        <f ca="1"/>
        <v>0</v>
      </c>
      <c r="K36" s="601">
        <f ca="1"/>
        <v>0</v>
      </c>
      <c r="L36" s="601">
        <f ca="1"/>
        <v>0</v>
      </c>
      <c r="M36" s="610">
        <f ca="1"/>
        <v>0</v>
      </c>
      <c r="N36" s="594">
        <f t="shared" ca="1" si="1"/>
        <v>0</v>
      </c>
      <c r="O36" s="62"/>
    </row>
    <row r="37" spans="1:16" ht="15.75" customHeight="1">
      <c r="A37" s="1997" t="str">
        <v/>
      </c>
      <c r="B37" s="600">
        <f ca="1"/>
        <v>0</v>
      </c>
      <c r="C37" s="601">
        <f ca="1"/>
        <v>0</v>
      </c>
      <c r="D37" s="601">
        <f ca="1"/>
        <v>0</v>
      </c>
      <c r="E37" s="601">
        <f ca="1"/>
        <v>0</v>
      </c>
      <c r="F37" s="601">
        <f ca="1"/>
        <v>0</v>
      </c>
      <c r="G37" s="601">
        <f ca="1"/>
        <v>0</v>
      </c>
      <c r="H37" s="601">
        <f ca="1"/>
        <v>0</v>
      </c>
      <c r="I37" s="601">
        <f ca="1"/>
        <v>0</v>
      </c>
      <c r="J37" s="601">
        <f ca="1"/>
        <v>0</v>
      </c>
      <c r="K37" s="601">
        <f ca="1"/>
        <v>0</v>
      </c>
      <c r="L37" s="601">
        <f ca="1"/>
        <v>0</v>
      </c>
      <c r="M37" s="610">
        <f ca="1"/>
        <v>0</v>
      </c>
      <c r="N37" s="594">
        <f t="shared" ca="1" si="1"/>
        <v>0</v>
      </c>
      <c r="O37" s="62"/>
    </row>
    <row r="38" spans="1:16" ht="15.75" customHeight="1">
      <c r="A38" s="1997" t="str">
        <v/>
      </c>
      <c r="B38" s="600">
        <f ca="1"/>
        <v>0</v>
      </c>
      <c r="C38" s="601">
        <f ca="1"/>
        <v>0</v>
      </c>
      <c r="D38" s="601">
        <f ca="1"/>
        <v>0</v>
      </c>
      <c r="E38" s="601">
        <f ca="1"/>
        <v>0</v>
      </c>
      <c r="F38" s="601">
        <f ca="1"/>
        <v>0</v>
      </c>
      <c r="G38" s="601">
        <f ca="1"/>
        <v>0</v>
      </c>
      <c r="H38" s="601">
        <f ca="1"/>
        <v>0</v>
      </c>
      <c r="I38" s="601">
        <f ca="1"/>
        <v>0</v>
      </c>
      <c r="J38" s="601">
        <f ca="1"/>
        <v>0</v>
      </c>
      <c r="K38" s="601">
        <f ca="1"/>
        <v>0</v>
      </c>
      <c r="L38" s="601">
        <f ca="1"/>
        <v>0</v>
      </c>
      <c r="M38" s="610">
        <f ca="1"/>
        <v>0</v>
      </c>
      <c r="N38" s="594">
        <f t="shared" ca="1" si="1"/>
        <v>0</v>
      </c>
      <c r="O38" s="62"/>
    </row>
    <row r="39" spans="1:16" ht="15.75" customHeight="1" thickBot="1">
      <c r="A39" s="1998" t="str">
        <v/>
      </c>
      <c r="B39" s="602">
        <f ca="1"/>
        <v>0</v>
      </c>
      <c r="C39" s="603">
        <f ca="1"/>
        <v>0</v>
      </c>
      <c r="D39" s="603">
        <f ca="1"/>
        <v>0</v>
      </c>
      <c r="E39" s="603">
        <f ca="1"/>
        <v>0</v>
      </c>
      <c r="F39" s="603">
        <f ca="1"/>
        <v>0</v>
      </c>
      <c r="G39" s="603">
        <f ca="1"/>
        <v>0</v>
      </c>
      <c r="H39" s="603">
        <f ca="1"/>
        <v>0</v>
      </c>
      <c r="I39" s="603">
        <f ca="1"/>
        <v>0</v>
      </c>
      <c r="J39" s="603">
        <f ca="1"/>
        <v>0</v>
      </c>
      <c r="K39" s="603">
        <f ca="1"/>
        <v>0</v>
      </c>
      <c r="L39" s="603">
        <f ca="1"/>
        <v>0</v>
      </c>
      <c r="M39" s="611">
        <f ca="1"/>
        <v>0</v>
      </c>
      <c r="N39" s="604">
        <f t="shared" ca="1" si="1"/>
        <v>0</v>
      </c>
      <c r="O39" s="62"/>
    </row>
    <row r="40" spans="1:16" ht="15.75" customHeight="1" thickBot="1">
      <c r="A40" s="105" t="str">
        <f>A$28</f>
        <v>Totais</v>
      </c>
      <c r="B40" s="606">
        <f t="shared" ref="B40:M40" ca="1" si="3">SUM(B32:B39)</f>
        <v>5.8800000000000008</v>
      </c>
      <c r="C40" s="607">
        <f t="shared" ca="1" si="3"/>
        <v>8.0181818181818194</v>
      </c>
      <c r="D40" s="607">
        <f t="shared" ca="1" si="3"/>
        <v>10.156363636363638</v>
      </c>
      <c r="E40" s="607">
        <f t="shared" ca="1" si="3"/>
        <v>12.294545454545457</v>
      </c>
      <c r="F40" s="607">
        <f t="shared" ca="1" si="3"/>
        <v>14.432727272727274</v>
      </c>
      <c r="G40" s="607">
        <f t="shared" ca="1" si="3"/>
        <v>16.570909090909094</v>
      </c>
      <c r="H40" s="607">
        <f t="shared" ca="1" si="3"/>
        <v>18.709090909090911</v>
      </c>
      <c r="I40" s="607">
        <f t="shared" ca="1" si="3"/>
        <v>20.847272727272724</v>
      </c>
      <c r="J40" s="607">
        <f t="shared" ca="1" si="3"/>
        <v>22.985454545454548</v>
      </c>
      <c r="K40" s="607">
        <f t="shared" ca="1" si="3"/>
        <v>25.123636363636365</v>
      </c>
      <c r="L40" s="607">
        <f t="shared" ca="1" si="3"/>
        <v>27.261818181818185</v>
      </c>
      <c r="M40" s="608">
        <f t="shared" ca="1" si="3"/>
        <v>29.4</v>
      </c>
      <c r="N40" s="605">
        <f ca="1">SUM(B40:M40)</f>
        <v>211.68000000000004</v>
      </c>
      <c r="O40" s="62"/>
    </row>
    <row r="41" spans="1:16" ht="15">
      <c r="A41" s="220"/>
      <c r="B41" s="62" t="str">
        <f>"Não faz sentido calcular o "&amp; 'Dados Básicos'!A28&amp;" dos CV no mes no que fosse imputado (mes de venda) senão no mes no que se produzira a compra"</f>
        <v>Não faz sentido calcular o IVA dos CV no mes no que fosse imputado (mes de venda) senão no mes no que se produzira a compra</v>
      </c>
    </row>
    <row r="42" spans="1:16" ht="15">
      <c r="A42" s="220"/>
    </row>
    <row r="43" spans="1:16" ht="15">
      <c r="A43" s="220"/>
      <c r="B43" s="2274">
        <v>1</v>
      </c>
      <c r="C43" s="2274">
        <v>2</v>
      </c>
      <c r="D43" s="2274">
        <v>3</v>
      </c>
      <c r="E43" s="2274">
        <v>4</v>
      </c>
      <c r="F43" s="2274">
        <v>5</v>
      </c>
      <c r="G43" s="2274">
        <v>6</v>
      </c>
      <c r="H43" s="2274">
        <v>7</v>
      </c>
      <c r="I43" s="2274">
        <v>8</v>
      </c>
      <c r="J43" s="2274">
        <v>9</v>
      </c>
      <c r="K43" s="2274">
        <v>10</v>
      </c>
      <c r="L43" s="2274">
        <v>11</v>
      </c>
      <c r="M43" s="2274">
        <v>12</v>
      </c>
    </row>
    <row r="44" spans="1:16" ht="18.75" thickBot="1">
      <c r="A44" s="1993" t="s">
        <v>746</v>
      </c>
      <c r="G44" s="2741" t="str">
        <f>$K$1</f>
        <v>Ano 0:  2026</v>
      </c>
      <c r="I44" s="1993" t="str">
        <f>I18</f>
        <v>IVA NÃO incluido</v>
      </c>
    </row>
    <row r="45" spans="1:16" s="456" customFormat="1" ht="15.75" customHeight="1" thickBot="1">
      <c r="A45" s="457" t="str">
        <f>A$19</f>
        <v>Custos produção</v>
      </c>
      <c r="B45" s="455" t="str">
        <f t="array" ref="B45:M45">meses</f>
        <v>janeiro</v>
      </c>
      <c r="C45" s="451" t="str">
        <v>fevereiro</v>
      </c>
      <c r="D45" s="451" t="str">
        <v>março</v>
      </c>
      <c r="E45" s="451" t="str">
        <v>abril</v>
      </c>
      <c r="F45" s="451" t="str">
        <v>maio</v>
      </c>
      <c r="G45" s="451" t="str">
        <v>junho</v>
      </c>
      <c r="H45" s="451" t="str">
        <v>julho</v>
      </c>
      <c r="I45" s="451" t="str">
        <v>agosto</v>
      </c>
      <c r="J45" s="451" t="str">
        <v>setembro</v>
      </c>
      <c r="K45" s="451" t="str">
        <v>outubro</v>
      </c>
      <c r="L45" s="451" t="str">
        <v>novembro</v>
      </c>
      <c r="M45" s="452" t="str">
        <v>dezembro</v>
      </c>
      <c r="N45" s="449" t="str">
        <f>N$7</f>
        <v>Totais</v>
      </c>
      <c r="P45" s="62"/>
    </row>
    <row r="46" spans="1:16" ht="15.75" customHeight="1">
      <c r="A46" s="1996" t="str">
        <f t="array" ref="A46:A53">productos</f>
        <v>produto 1</v>
      </c>
      <c r="B46" s="599">
        <f t="array" aca="1" ref="B46:M46" ca="1">IF(B$43:M$43&lt;mes0,0,N124:Y124)</f>
        <v>28.000000000000004</v>
      </c>
      <c r="C46" s="599">
        <f ca="1"/>
        <v>38.181818181818187</v>
      </c>
      <c r="D46" s="599">
        <f ca="1"/>
        <v>48.363636363636374</v>
      </c>
      <c r="E46" s="599">
        <f ca="1"/>
        <v>58.545454545454554</v>
      </c>
      <c r="F46" s="599">
        <f ca="1"/>
        <v>68.727272727272734</v>
      </c>
      <c r="G46" s="599">
        <f ca="1"/>
        <v>78.909090909090921</v>
      </c>
      <c r="H46" s="599">
        <f ca="1"/>
        <v>89.090909090909108</v>
      </c>
      <c r="I46" s="599">
        <f ca="1"/>
        <v>99.272727272727266</v>
      </c>
      <c r="J46" s="599">
        <f ca="1"/>
        <v>109.45454545454547</v>
      </c>
      <c r="K46" s="599">
        <f ca="1"/>
        <v>119.63636363636364</v>
      </c>
      <c r="L46" s="599">
        <f ca="1"/>
        <v>129.81818181818184</v>
      </c>
      <c r="M46" s="609">
        <f ca="1"/>
        <v>140</v>
      </c>
      <c r="N46" s="591">
        <f t="shared" ref="N46:N54" ca="1" si="4">SUM(B46:M46)</f>
        <v>1008.0000000000001</v>
      </c>
      <c r="O46" s="62"/>
    </row>
    <row r="47" spans="1:16" ht="15.75" customHeight="1">
      <c r="A47" s="1997" t="str">
        <v/>
      </c>
      <c r="B47" s="600">
        <f t="array" aca="1" ref="B47:M47" ca="1">IF(B$43:M$43&lt;mes0,0,N142:Y142)</f>
        <v>0</v>
      </c>
      <c r="C47" s="601">
        <f ca="1"/>
        <v>0</v>
      </c>
      <c r="D47" s="601">
        <f ca="1"/>
        <v>0</v>
      </c>
      <c r="E47" s="601">
        <f ca="1"/>
        <v>0</v>
      </c>
      <c r="F47" s="601">
        <f ca="1"/>
        <v>0</v>
      </c>
      <c r="G47" s="601">
        <f ca="1"/>
        <v>0</v>
      </c>
      <c r="H47" s="601">
        <f ca="1"/>
        <v>0</v>
      </c>
      <c r="I47" s="601">
        <f ca="1"/>
        <v>0</v>
      </c>
      <c r="J47" s="601">
        <f ca="1"/>
        <v>0</v>
      </c>
      <c r="K47" s="601">
        <f ca="1"/>
        <v>0</v>
      </c>
      <c r="L47" s="601">
        <f ca="1"/>
        <v>0</v>
      </c>
      <c r="M47" s="610">
        <f ca="1"/>
        <v>0</v>
      </c>
      <c r="N47" s="594">
        <f t="shared" ca="1" si="4"/>
        <v>0</v>
      </c>
      <c r="O47" s="62"/>
    </row>
    <row r="48" spans="1:16" ht="15.75" customHeight="1">
      <c r="A48" s="1997" t="str">
        <v/>
      </c>
      <c r="B48" s="600">
        <f t="array" aca="1" ref="B48:M48" ca="1">IF(B$43:M$43&lt;mes0,0,N160:Y160)</f>
        <v>0</v>
      </c>
      <c r="C48" s="601">
        <f ca="1"/>
        <v>0</v>
      </c>
      <c r="D48" s="601">
        <f ca="1"/>
        <v>0</v>
      </c>
      <c r="E48" s="601">
        <f ca="1"/>
        <v>0</v>
      </c>
      <c r="F48" s="601">
        <f ca="1"/>
        <v>0</v>
      </c>
      <c r="G48" s="601">
        <f ca="1"/>
        <v>0</v>
      </c>
      <c r="H48" s="601">
        <f ca="1"/>
        <v>0</v>
      </c>
      <c r="I48" s="601">
        <f ca="1"/>
        <v>0</v>
      </c>
      <c r="J48" s="601">
        <f ca="1"/>
        <v>0</v>
      </c>
      <c r="K48" s="601">
        <f ca="1"/>
        <v>0</v>
      </c>
      <c r="L48" s="601">
        <f ca="1"/>
        <v>0</v>
      </c>
      <c r="M48" s="610">
        <f ca="1"/>
        <v>0</v>
      </c>
      <c r="N48" s="594">
        <f t="shared" ca="1" si="4"/>
        <v>0</v>
      </c>
      <c r="O48" s="62"/>
    </row>
    <row r="49" spans="1:16" ht="15.75" customHeight="1">
      <c r="A49" s="1997" t="str">
        <v/>
      </c>
      <c r="B49" s="600">
        <f t="array" aca="1" ref="B49:M49" ca="1">IF(B$43:M$43&lt;mes0,0,N178:Y178)</f>
        <v>0</v>
      </c>
      <c r="C49" s="601">
        <f ca="1"/>
        <v>0</v>
      </c>
      <c r="D49" s="601">
        <f ca="1"/>
        <v>0</v>
      </c>
      <c r="E49" s="601">
        <f ca="1"/>
        <v>0</v>
      </c>
      <c r="F49" s="601">
        <f ca="1"/>
        <v>0</v>
      </c>
      <c r="G49" s="601">
        <f ca="1"/>
        <v>0</v>
      </c>
      <c r="H49" s="601">
        <f ca="1"/>
        <v>0</v>
      </c>
      <c r="I49" s="601">
        <f ca="1"/>
        <v>0</v>
      </c>
      <c r="J49" s="601">
        <f ca="1"/>
        <v>0</v>
      </c>
      <c r="K49" s="601">
        <f ca="1"/>
        <v>0</v>
      </c>
      <c r="L49" s="601">
        <f ca="1"/>
        <v>0</v>
      </c>
      <c r="M49" s="610">
        <f ca="1"/>
        <v>0</v>
      </c>
      <c r="N49" s="594">
        <f t="shared" ca="1" si="4"/>
        <v>0</v>
      </c>
      <c r="O49" s="62"/>
    </row>
    <row r="50" spans="1:16" ht="15.75" customHeight="1">
      <c r="A50" s="1997" t="str">
        <v/>
      </c>
      <c r="B50" s="600">
        <f t="array" aca="1" ref="B50:M50" ca="1">IF(B$43:M$43&lt;mes0,0,N196:Y196)</f>
        <v>0</v>
      </c>
      <c r="C50" s="601">
        <f ca="1"/>
        <v>0</v>
      </c>
      <c r="D50" s="601">
        <f ca="1"/>
        <v>0</v>
      </c>
      <c r="E50" s="601">
        <f ca="1"/>
        <v>0</v>
      </c>
      <c r="F50" s="601">
        <f ca="1"/>
        <v>0</v>
      </c>
      <c r="G50" s="601">
        <f ca="1"/>
        <v>0</v>
      </c>
      <c r="H50" s="601">
        <f ca="1"/>
        <v>0</v>
      </c>
      <c r="I50" s="601">
        <f ca="1"/>
        <v>0</v>
      </c>
      <c r="J50" s="601">
        <f ca="1"/>
        <v>0</v>
      </c>
      <c r="K50" s="601">
        <f ca="1"/>
        <v>0</v>
      </c>
      <c r="L50" s="601">
        <f ca="1"/>
        <v>0</v>
      </c>
      <c r="M50" s="610">
        <f ca="1"/>
        <v>0</v>
      </c>
      <c r="N50" s="594">
        <f t="shared" ca="1" si="4"/>
        <v>0</v>
      </c>
      <c r="O50" s="62"/>
    </row>
    <row r="51" spans="1:16" ht="15.75" customHeight="1">
      <c r="A51" s="1997" t="str">
        <v/>
      </c>
      <c r="B51" s="600">
        <f t="array" aca="1" ref="B51:M51" ca="1">IF(B$43:M$43&lt;mes0,0,N214:Y214)</f>
        <v>0</v>
      </c>
      <c r="C51" s="601">
        <f ca="1"/>
        <v>0</v>
      </c>
      <c r="D51" s="601">
        <f ca="1"/>
        <v>0</v>
      </c>
      <c r="E51" s="601">
        <f ca="1"/>
        <v>0</v>
      </c>
      <c r="F51" s="601">
        <f ca="1"/>
        <v>0</v>
      </c>
      <c r="G51" s="601">
        <f ca="1"/>
        <v>0</v>
      </c>
      <c r="H51" s="601">
        <f ca="1"/>
        <v>0</v>
      </c>
      <c r="I51" s="601">
        <f ca="1"/>
        <v>0</v>
      </c>
      <c r="J51" s="601">
        <f ca="1"/>
        <v>0</v>
      </c>
      <c r="K51" s="601">
        <f ca="1"/>
        <v>0</v>
      </c>
      <c r="L51" s="601">
        <f ca="1"/>
        <v>0</v>
      </c>
      <c r="M51" s="610">
        <f ca="1"/>
        <v>0</v>
      </c>
      <c r="N51" s="594">
        <f t="shared" ca="1" si="4"/>
        <v>0</v>
      </c>
      <c r="O51" s="62"/>
    </row>
    <row r="52" spans="1:16" ht="15.75" customHeight="1">
      <c r="A52" s="1997" t="str">
        <v/>
      </c>
      <c r="B52" s="600">
        <f t="array" aca="1" ref="B52:M52" ca="1">IF(B$43:M$43&lt;mes0,0,N232:Y232)</f>
        <v>0</v>
      </c>
      <c r="C52" s="601">
        <f ca="1"/>
        <v>0</v>
      </c>
      <c r="D52" s="601">
        <f ca="1"/>
        <v>0</v>
      </c>
      <c r="E52" s="601">
        <f ca="1"/>
        <v>0</v>
      </c>
      <c r="F52" s="601">
        <f ca="1"/>
        <v>0</v>
      </c>
      <c r="G52" s="601">
        <f ca="1"/>
        <v>0</v>
      </c>
      <c r="H52" s="601">
        <f ca="1"/>
        <v>0</v>
      </c>
      <c r="I52" s="601">
        <f ca="1"/>
        <v>0</v>
      </c>
      <c r="J52" s="601">
        <f ca="1"/>
        <v>0</v>
      </c>
      <c r="K52" s="601">
        <f ca="1"/>
        <v>0</v>
      </c>
      <c r="L52" s="601">
        <f ca="1"/>
        <v>0</v>
      </c>
      <c r="M52" s="610">
        <f ca="1"/>
        <v>0</v>
      </c>
      <c r="N52" s="594">
        <f t="shared" ca="1" si="4"/>
        <v>0</v>
      </c>
      <c r="O52" s="62"/>
    </row>
    <row r="53" spans="1:16" ht="15.75" customHeight="1" thickBot="1">
      <c r="A53" s="1998" t="str">
        <v/>
      </c>
      <c r="B53" s="602">
        <f t="array" aca="1" ref="B53:M53" ca="1">IF(B$43:M$43&lt;mes0,0,N250:Y250)</f>
        <v>0</v>
      </c>
      <c r="C53" s="603">
        <f ca="1"/>
        <v>0</v>
      </c>
      <c r="D53" s="603">
        <f ca="1"/>
        <v>0</v>
      </c>
      <c r="E53" s="603">
        <f ca="1"/>
        <v>0</v>
      </c>
      <c r="F53" s="603">
        <f ca="1"/>
        <v>0</v>
      </c>
      <c r="G53" s="603">
        <f ca="1"/>
        <v>0</v>
      </c>
      <c r="H53" s="603">
        <f ca="1"/>
        <v>0</v>
      </c>
      <c r="I53" s="603">
        <f ca="1"/>
        <v>0</v>
      </c>
      <c r="J53" s="603">
        <f ca="1"/>
        <v>0</v>
      </c>
      <c r="K53" s="603">
        <f ca="1"/>
        <v>0</v>
      </c>
      <c r="L53" s="603">
        <f ca="1"/>
        <v>0</v>
      </c>
      <c r="M53" s="611">
        <f ca="1"/>
        <v>0</v>
      </c>
      <c r="N53" s="604">
        <f t="shared" ca="1" si="4"/>
        <v>0</v>
      </c>
      <c r="O53" s="62"/>
    </row>
    <row r="54" spans="1:16" ht="15.75" customHeight="1" thickBot="1">
      <c r="A54" s="105" t="str">
        <f>A$28</f>
        <v>Totais</v>
      </c>
      <c r="B54" s="606">
        <f t="shared" ref="B54:M54" ca="1" si="5">SUM(B46:B53)</f>
        <v>28.000000000000004</v>
      </c>
      <c r="C54" s="607">
        <f t="shared" ca="1" si="5"/>
        <v>38.181818181818187</v>
      </c>
      <c r="D54" s="607">
        <f t="shared" ca="1" si="5"/>
        <v>48.363636363636374</v>
      </c>
      <c r="E54" s="607">
        <f t="shared" ca="1" si="5"/>
        <v>58.545454545454554</v>
      </c>
      <c r="F54" s="607">
        <f t="shared" ca="1" si="5"/>
        <v>68.727272727272734</v>
      </c>
      <c r="G54" s="607">
        <f t="shared" ca="1" si="5"/>
        <v>78.909090909090921</v>
      </c>
      <c r="H54" s="607">
        <f t="shared" ca="1" si="5"/>
        <v>89.090909090909108</v>
      </c>
      <c r="I54" s="607">
        <f t="shared" ca="1" si="5"/>
        <v>99.272727272727266</v>
      </c>
      <c r="J54" s="607">
        <f t="shared" ca="1" si="5"/>
        <v>109.45454545454547</v>
      </c>
      <c r="K54" s="607">
        <f t="shared" ca="1" si="5"/>
        <v>119.63636363636364</v>
      </c>
      <c r="L54" s="607">
        <f t="shared" ca="1" si="5"/>
        <v>129.81818181818184</v>
      </c>
      <c r="M54" s="608">
        <f t="shared" ca="1" si="5"/>
        <v>140</v>
      </c>
      <c r="N54" s="605">
        <f t="shared" ca="1" si="4"/>
        <v>1008.0000000000001</v>
      </c>
      <c r="O54" s="62"/>
    </row>
    <row r="55" spans="1:16">
      <c r="B55" s="62"/>
    </row>
    <row r="57" spans="1:16" ht="18.75" thickBot="1">
      <c r="A57" s="1993" t="str">
        <f>'Dados Básicos'!A28&amp;" soportado dos custos de produção no ano"</f>
        <v>IVA soportado dos custos de produção no ano</v>
      </c>
      <c r="G57" s="2741" t="str">
        <f>$K$1</f>
        <v>Ano 0:  2026</v>
      </c>
      <c r="I57" s="1993"/>
    </row>
    <row r="58" spans="1:16" s="456" customFormat="1" ht="15.75" customHeight="1" thickBot="1">
      <c r="A58" s="457" t="str">
        <f>A$19</f>
        <v>Custos produção</v>
      </c>
      <c r="B58" s="455" t="str">
        <f t="array" ref="B58:M58">meses</f>
        <v>janeiro</v>
      </c>
      <c r="C58" s="451" t="str">
        <v>fevereiro</v>
      </c>
      <c r="D58" s="451" t="str">
        <v>março</v>
      </c>
      <c r="E58" s="451" t="str">
        <v>abril</v>
      </c>
      <c r="F58" s="451" t="str">
        <v>maio</v>
      </c>
      <c r="G58" s="451" t="str">
        <v>junho</v>
      </c>
      <c r="H58" s="451" t="str">
        <v>julho</v>
      </c>
      <c r="I58" s="451" t="str">
        <v>agosto</v>
      </c>
      <c r="J58" s="451" t="str">
        <v>setembro</v>
      </c>
      <c r="K58" s="451" t="str">
        <v>outubro</v>
      </c>
      <c r="L58" s="451" t="str">
        <v>novembro</v>
      </c>
      <c r="M58" s="452" t="str">
        <v>dezembro</v>
      </c>
      <c r="N58" s="449" t="str">
        <f>N$7</f>
        <v>Totais</v>
      </c>
    </row>
    <row r="59" spans="1:16" ht="15.75" customHeight="1">
      <c r="A59" s="1996" t="str">
        <f t="array" ref="A59:A66">productos</f>
        <v>produto 1</v>
      </c>
      <c r="B59" s="599">
        <f t="array" aca="1" ref="B59:M59" ca="1">IF(B$43:M$43&lt;mes0,0,N125:Y125)</f>
        <v>5.8800000000000008</v>
      </c>
      <c r="C59" s="599">
        <f ca="1"/>
        <v>8.0181818181818194</v>
      </c>
      <c r="D59" s="599">
        <f ca="1"/>
        <v>10.156363636363638</v>
      </c>
      <c r="E59" s="599">
        <f ca="1"/>
        <v>12.294545454545457</v>
      </c>
      <c r="F59" s="599">
        <f ca="1"/>
        <v>14.432727272727274</v>
      </c>
      <c r="G59" s="599">
        <f ca="1"/>
        <v>16.570909090909094</v>
      </c>
      <c r="H59" s="599">
        <f ca="1"/>
        <v>18.709090909090911</v>
      </c>
      <c r="I59" s="599">
        <f ca="1"/>
        <v>20.847272727272724</v>
      </c>
      <c r="J59" s="599">
        <f ca="1"/>
        <v>22.985454545454548</v>
      </c>
      <c r="K59" s="599">
        <f ca="1"/>
        <v>25.123636363636365</v>
      </c>
      <c r="L59" s="599">
        <f ca="1"/>
        <v>27.261818181818185</v>
      </c>
      <c r="M59" s="609">
        <f ca="1"/>
        <v>29.4</v>
      </c>
      <c r="N59" s="591">
        <f t="shared" ref="N59:N67" ca="1" si="6">SUM(B59:M59)</f>
        <v>211.68000000000004</v>
      </c>
      <c r="O59" s="62"/>
      <c r="P59" s="456"/>
    </row>
    <row r="60" spans="1:16" ht="15.75" customHeight="1">
      <c r="A60" s="1997" t="str">
        <v/>
      </c>
      <c r="B60" s="600">
        <f t="array" aca="1" ref="B60:M60" ca="1">IF(B$43:M$43&lt;mes0,0,N143:Y143)</f>
        <v>0</v>
      </c>
      <c r="C60" s="601">
        <f ca="1"/>
        <v>0</v>
      </c>
      <c r="D60" s="601">
        <f ca="1"/>
        <v>0</v>
      </c>
      <c r="E60" s="601">
        <f ca="1"/>
        <v>0</v>
      </c>
      <c r="F60" s="601">
        <f ca="1"/>
        <v>0</v>
      </c>
      <c r="G60" s="601">
        <f ca="1"/>
        <v>0</v>
      </c>
      <c r="H60" s="601">
        <f ca="1"/>
        <v>0</v>
      </c>
      <c r="I60" s="601">
        <f ca="1"/>
        <v>0</v>
      </c>
      <c r="J60" s="601">
        <f ca="1"/>
        <v>0</v>
      </c>
      <c r="K60" s="601">
        <f ca="1"/>
        <v>0</v>
      </c>
      <c r="L60" s="601">
        <f ca="1"/>
        <v>0</v>
      </c>
      <c r="M60" s="610">
        <f ca="1"/>
        <v>0</v>
      </c>
      <c r="N60" s="594">
        <f t="shared" ca="1" si="6"/>
        <v>0</v>
      </c>
      <c r="O60" s="62"/>
      <c r="P60" s="456"/>
    </row>
    <row r="61" spans="1:16" ht="15.75" customHeight="1">
      <c r="A61" s="1997" t="str">
        <v/>
      </c>
      <c r="B61" s="600">
        <f t="array" aca="1" ref="B61:M61" ca="1">IF(B$43:M$43&lt;mes0,0,N161:Y161)</f>
        <v>0</v>
      </c>
      <c r="C61" s="601">
        <f ca="1"/>
        <v>0</v>
      </c>
      <c r="D61" s="601">
        <f ca="1"/>
        <v>0</v>
      </c>
      <c r="E61" s="601">
        <f ca="1"/>
        <v>0</v>
      </c>
      <c r="F61" s="601">
        <f ca="1"/>
        <v>0</v>
      </c>
      <c r="G61" s="601">
        <f ca="1"/>
        <v>0</v>
      </c>
      <c r="H61" s="601">
        <f ca="1"/>
        <v>0</v>
      </c>
      <c r="I61" s="601">
        <f ca="1"/>
        <v>0</v>
      </c>
      <c r="J61" s="601">
        <f ca="1"/>
        <v>0</v>
      </c>
      <c r="K61" s="601">
        <f ca="1"/>
        <v>0</v>
      </c>
      <c r="L61" s="601">
        <f ca="1"/>
        <v>0</v>
      </c>
      <c r="M61" s="610">
        <f ca="1"/>
        <v>0</v>
      </c>
      <c r="N61" s="594">
        <f t="shared" ca="1" si="6"/>
        <v>0</v>
      </c>
      <c r="O61" s="62"/>
      <c r="P61" s="456"/>
    </row>
    <row r="62" spans="1:16" ht="15.75" customHeight="1">
      <c r="A62" s="1997" t="str">
        <v/>
      </c>
      <c r="B62" s="600">
        <f t="array" aca="1" ref="B62:M62" ca="1">IF(B$43:M$43&lt;mes0,0,N179:Y179)</f>
        <v>0</v>
      </c>
      <c r="C62" s="601">
        <f ca="1"/>
        <v>0</v>
      </c>
      <c r="D62" s="601">
        <f ca="1"/>
        <v>0</v>
      </c>
      <c r="E62" s="601">
        <f ca="1"/>
        <v>0</v>
      </c>
      <c r="F62" s="601">
        <f ca="1"/>
        <v>0</v>
      </c>
      <c r="G62" s="601">
        <f ca="1"/>
        <v>0</v>
      </c>
      <c r="H62" s="601">
        <f ca="1"/>
        <v>0</v>
      </c>
      <c r="I62" s="601">
        <f ca="1"/>
        <v>0</v>
      </c>
      <c r="J62" s="601">
        <f ca="1"/>
        <v>0</v>
      </c>
      <c r="K62" s="601">
        <f ca="1"/>
        <v>0</v>
      </c>
      <c r="L62" s="601">
        <f ca="1"/>
        <v>0</v>
      </c>
      <c r="M62" s="610">
        <f ca="1"/>
        <v>0</v>
      </c>
      <c r="N62" s="594">
        <f t="shared" ca="1" si="6"/>
        <v>0</v>
      </c>
      <c r="O62" s="62"/>
      <c r="P62" s="456"/>
    </row>
    <row r="63" spans="1:16" ht="15.75" customHeight="1">
      <c r="A63" s="1997" t="str">
        <v/>
      </c>
      <c r="B63" s="600">
        <f t="array" aca="1" ref="B63:M63" ca="1">IF(B$43:M$43&lt;mes0,0,N197:Y197)</f>
        <v>0</v>
      </c>
      <c r="C63" s="601">
        <f ca="1"/>
        <v>0</v>
      </c>
      <c r="D63" s="601">
        <f ca="1"/>
        <v>0</v>
      </c>
      <c r="E63" s="601">
        <f ca="1"/>
        <v>0</v>
      </c>
      <c r="F63" s="601">
        <f ca="1"/>
        <v>0</v>
      </c>
      <c r="G63" s="601">
        <f ca="1"/>
        <v>0</v>
      </c>
      <c r="H63" s="601">
        <f ca="1"/>
        <v>0</v>
      </c>
      <c r="I63" s="601">
        <f ca="1"/>
        <v>0</v>
      </c>
      <c r="J63" s="601">
        <f ca="1"/>
        <v>0</v>
      </c>
      <c r="K63" s="601">
        <f ca="1"/>
        <v>0</v>
      </c>
      <c r="L63" s="601">
        <f ca="1"/>
        <v>0</v>
      </c>
      <c r="M63" s="610">
        <f ca="1"/>
        <v>0</v>
      </c>
      <c r="N63" s="594">
        <f t="shared" ca="1" si="6"/>
        <v>0</v>
      </c>
      <c r="O63" s="62"/>
      <c r="P63" s="456"/>
    </row>
    <row r="64" spans="1:16" ht="15.75" customHeight="1">
      <c r="A64" s="1997" t="str">
        <v/>
      </c>
      <c r="B64" s="600">
        <f t="array" aca="1" ref="B64:M64" ca="1">IF(B$43:M$43&lt;mes0,0,N215:Y215)</f>
        <v>0</v>
      </c>
      <c r="C64" s="601">
        <f ca="1"/>
        <v>0</v>
      </c>
      <c r="D64" s="601">
        <f ca="1"/>
        <v>0</v>
      </c>
      <c r="E64" s="601">
        <f ca="1"/>
        <v>0</v>
      </c>
      <c r="F64" s="601">
        <f ca="1"/>
        <v>0</v>
      </c>
      <c r="G64" s="601">
        <f ca="1"/>
        <v>0</v>
      </c>
      <c r="H64" s="601">
        <f ca="1"/>
        <v>0</v>
      </c>
      <c r="I64" s="601">
        <f ca="1"/>
        <v>0</v>
      </c>
      <c r="J64" s="601">
        <f ca="1"/>
        <v>0</v>
      </c>
      <c r="K64" s="601">
        <f ca="1"/>
        <v>0</v>
      </c>
      <c r="L64" s="601">
        <f ca="1"/>
        <v>0</v>
      </c>
      <c r="M64" s="610">
        <f ca="1"/>
        <v>0</v>
      </c>
      <c r="N64" s="594">
        <f t="shared" ca="1" si="6"/>
        <v>0</v>
      </c>
      <c r="O64" s="62"/>
      <c r="P64" s="456"/>
    </row>
    <row r="65" spans="1:26" ht="15.75" customHeight="1">
      <c r="A65" s="1997" t="str">
        <v/>
      </c>
      <c r="B65" s="600">
        <f t="array" aca="1" ref="B65:M65" ca="1">IF(B$43:M$43&lt;mes0,0,N233:Y233)</f>
        <v>0</v>
      </c>
      <c r="C65" s="601">
        <f ca="1"/>
        <v>0</v>
      </c>
      <c r="D65" s="601">
        <f ca="1"/>
        <v>0</v>
      </c>
      <c r="E65" s="601">
        <f ca="1"/>
        <v>0</v>
      </c>
      <c r="F65" s="601">
        <f ca="1"/>
        <v>0</v>
      </c>
      <c r="G65" s="601">
        <f ca="1"/>
        <v>0</v>
      </c>
      <c r="H65" s="601">
        <f ca="1"/>
        <v>0</v>
      </c>
      <c r="I65" s="601">
        <f ca="1"/>
        <v>0</v>
      </c>
      <c r="J65" s="601">
        <f ca="1"/>
        <v>0</v>
      </c>
      <c r="K65" s="601">
        <f ca="1"/>
        <v>0</v>
      </c>
      <c r="L65" s="601">
        <f ca="1"/>
        <v>0</v>
      </c>
      <c r="M65" s="610">
        <f ca="1"/>
        <v>0</v>
      </c>
      <c r="N65" s="594">
        <f t="shared" ca="1" si="6"/>
        <v>0</v>
      </c>
      <c r="O65" s="62"/>
      <c r="P65" s="456"/>
    </row>
    <row r="66" spans="1:26" ht="15.75" customHeight="1" thickBot="1">
      <c r="A66" s="1998" t="str">
        <v/>
      </c>
      <c r="B66" s="602">
        <f t="array" aca="1" ref="B66:M66" ca="1">IF(B$43:M$43&lt;mes0,0,N251:Y251)</f>
        <v>0</v>
      </c>
      <c r="C66" s="603">
        <f ca="1"/>
        <v>0</v>
      </c>
      <c r="D66" s="603">
        <f ca="1"/>
        <v>0</v>
      </c>
      <c r="E66" s="603">
        <f ca="1"/>
        <v>0</v>
      </c>
      <c r="F66" s="603">
        <f ca="1"/>
        <v>0</v>
      </c>
      <c r="G66" s="603">
        <f ca="1"/>
        <v>0</v>
      </c>
      <c r="H66" s="603">
        <f ca="1"/>
        <v>0</v>
      </c>
      <c r="I66" s="603">
        <f ca="1"/>
        <v>0</v>
      </c>
      <c r="J66" s="603">
        <f ca="1"/>
        <v>0</v>
      </c>
      <c r="K66" s="603">
        <f ca="1"/>
        <v>0</v>
      </c>
      <c r="L66" s="603">
        <f ca="1"/>
        <v>0</v>
      </c>
      <c r="M66" s="611">
        <f ca="1"/>
        <v>0</v>
      </c>
      <c r="N66" s="604">
        <f t="shared" ca="1" si="6"/>
        <v>0</v>
      </c>
      <c r="O66" s="62"/>
      <c r="P66" s="456"/>
    </row>
    <row r="67" spans="1:26" ht="15.75" customHeight="1" thickBot="1">
      <c r="A67" s="105" t="str">
        <f>A$28</f>
        <v>Totais</v>
      </c>
      <c r="B67" s="606">
        <f t="shared" ref="B67:M67" ca="1" si="7">SUM(B59:B66)</f>
        <v>5.8800000000000008</v>
      </c>
      <c r="C67" s="607">
        <f t="shared" ca="1" si="7"/>
        <v>8.0181818181818194</v>
      </c>
      <c r="D67" s="607">
        <f t="shared" ca="1" si="7"/>
        <v>10.156363636363638</v>
      </c>
      <c r="E67" s="607">
        <f t="shared" ca="1" si="7"/>
        <v>12.294545454545457</v>
      </c>
      <c r="F67" s="607">
        <f t="shared" ca="1" si="7"/>
        <v>14.432727272727274</v>
      </c>
      <c r="G67" s="607">
        <f t="shared" ca="1" si="7"/>
        <v>16.570909090909094</v>
      </c>
      <c r="H67" s="607">
        <f t="shared" ca="1" si="7"/>
        <v>18.709090909090911</v>
      </c>
      <c r="I67" s="607">
        <f t="shared" ca="1" si="7"/>
        <v>20.847272727272724</v>
      </c>
      <c r="J67" s="607">
        <f t="shared" ca="1" si="7"/>
        <v>22.985454545454548</v>
      </c>
      <c r="K67" s="607">
        <f t="shared" ca="1" si="7"/>
        <v>25.123636363636365</v>
      </c>
      <c r="L67" s="607">
        <f t="shared" ca="1" si="7"/>
        <v>27.261818181818185</v>
      </c>
      <c r="M67" s="608">
        <f t="shared" ca="1" si="7"/>
        <v>29.4</v>
      </c>
      <c r="N67" s="605">
        <f t="shared" ca="1" si="6"/>
        <v>211.68000000000004</v>
      </c>
      <c r="O67" s="62"/>
    </row>
    <row r="68" spans="1:26">
      <c r="B68" s="62"/>
    </row>
    <row r="69" spans="1:26" ht="15">
      <c r="A69" s="220"/>
    </row>
    <row r="70" spans="1:26" ht="18.75" thickBot="1">
      <c r="A70" s="1993" t="s">
        <v>747</v>
      </c>
      <c r="I70" s="1993" t="str">
        <f>I44</f>
        <v>IVA NÃO incluido</v>
      </c>
    </row>
    <row r="71" spans="1:26" s="456" customFormat="1" ht="31.5" customHeight="1" thickBot="1">
      <c r="A71" s="457" t="str">
        <f>A$19</f>
        <v>Custos produção</v>
      </c>
      <c r="B71" s="2011" t="str">
        <f t="array" ref="B71:M71">CONCATENATE(meses,"
",Parametros!B76:M76-1)</f>
        <v>janeiro
2025</v>
      </c>
      <c r="C71" s="2011" t="str">
        <v>fevereiro
2025</v>
      </c>
      <c r="D71" s="2011" t="str">
        <v>março
2025</v>
      </c>
      <c r="E71" s="2011" t="str">
        <v>abril
2025</v>
      </c>
      <c r="F71" s="2011" t="str">
        <v>maio
2025</v>
      </c>
      <c r="G71" s="2011" t="str">
        <v>junho
2025</v>
      </c>
      <c r="H71" s="2011" t="str">
        <v>julho
2025</v>
      </c>
      <c r="I71" s="2011" t="str">
        <v>agosto
2025</v>
      </c>
      <c r="J71" s="2011" t="str">
        <v>setembro
2025</v>
      </c>
      <c r="K71" s="2011" t="str">
        <v>outubro
2025</v>
      </c>
      <c r="L71" s="2011" t="str">
        <v>novembro
2025</v>
      </c>
      <c r="M71" s="2011" t="str">
        <v>dezembro
2025</v>
      </c>
      <c r="N71" s="2734" t="str">
        <f t="array" ref="N71:Y71">'Estimações Vendas'!B5:M5</f>
        <v>janeiro 
2026</v>
      </c>
      <c r="O71" s="2735" t="str">
        <v>fevereiro 
2026</v>
      </c>
      <c r="P71" s="2735" t="str">
        <v>março 
2026</v>
      </c>
      <c r="Q71" s="2735" t="str">
        <v>abril 
2026</v>
      </c>
      <c r="R71" s="2735" t="str">
        <v>maio 
2026</v>
      </c>
      <c r="S71" s="2735" t="str">
        <v>junho 
2026</v>
      </c>
      <c r="T71" s="2735" t="str">
        <v>julho 
2026</v>
      </c>
      <c r="U71" s="2735" t="str">
        <v>agosto 
2026</v>
      </c>
      <c r="V71" s="2735" t="str">
        <v>setembro 
2026</v>
      </c>
      <c r="W71" s="2735" t="str">
        <v>outubro 
2026</v>
      </c>
      <c r="X71" s="2735" t="str">
        <v>novembro 
2026</v>
      </c>
      <c r="Y71" s="2736" t="str">
        <v>dezembro 
2026</v>
      </c>
      <c r="Z71" s="62"/>
    </row>
    <row r="72" spans="1:26" ht="15.75" customHeight="1">
      <c r="A72" s="1994" t="s">
        <v>749</v>
      </c>
      <c r="B72" s="1991"/>
      <c r="C72" s="1991"/>
      <c r="D72" s="1991"/>
      <c r="E72" s="1991"/>
      <c r="F72" s="1991"/>
      <c r="G72" s="1991"/>
      <c r="H72" s="1989"/>
      <c r="I72" s="1990"/>
      <c r="J72" s="1990"/>
      <c r="K72" s="1990"/>
      <c r="L72" s="1990"/>
      <c r="M72" s="1990"/>
      <c r="N72" s="599">
        <f t="array" aca="1" ref="N72" ca="1">SUM(B20:B27*Produção!$N$8:$N$15)</f>
        <v>28.000000000000004</v>
      </c>
      <c r="O72" s="599">
        <f t="array" aca="1" ref="O72" ca="1">SUM(C20:C27*Produção!$N$8:$N$15)</f>
        <v>38.181818181818187</v>
      </c>
      <c r="P72" s="599">
        <f t="array" aca="1" ref="P72" ca="1">SUM(D20:D27*Produção!$N$8:$N$15)</f>
        <v>48.363636363636374</v>
      </c>
      <c r="Q72" s="599">
        <f t="array" aca="1" ref="Q72" ca="1">SUM(E20:E27*Produção!$N$8:$N$15)</f>
        <v>58.545454545454554</v>
      </c>
      <c r="R72" s="599">
        <f t="array" aca="1" ref="R72" ca="1">SUM(F20:F27*Produção!$N$8:$N$15)</f>
        <v>68.727272727272734</v>
      </c>
      <c r="S72" s="599">
        <f t="array" aca="1" ref="S72" ca="1">SUM(G20:G27*Produção!$N$8:$N$15)</f>
        <v>78.909090909090921</v>
      </c>
      <c r="T72" s="599">
        <f t="array" aca="1" ref="T72" ca="1">SUM(H20:H27*Produção!$N$8:$N$15)</f>
        <v>89.090909090909108</v>
      </c>
      <c r="U72" s="599">
        <f t="array" aca="1" ref="U72" ca="1">SUM(I20:I27*Produção!$N$8:$N$15)</f>
        <v>99.272727272727266</v>
      </c>
      <c r="V72" s="599">
        <f t="array" aca="1" ref="V72" ca="1">SUM(J20:J27*Produção!$N$8:$N$15)</f>
        <v>109.45454545454547</v>
      </c>
      <c r="W72" s="599">
        <f t="array" aca="1" ref="W72" ca="1">SUM(K20:K27*Produção!$N$8:$N$15)</f>
        <v>119.63636363636364</v>
      </c>
      <c r="X72" s="599">
        <f t="array" aca="1" ref="X72" ca="1">SUM(L20:L27*Produção!$N$8:$N$15)</f>
        <v>129.81818181818184</v>
      </c>
      <c r="Y72" s="2009">
        <f t="array" aca="1" ref="Y72" ca="1">SUM(M20:M27*Produção!$N$8:$N$15)</f>
        <v>140</v>
      </c>
    </row>
    <row r="73" spans="1:26" ht="15.75" customHeight="1">
      <c r="A73" s="1995" t="s">
        <v>260</v>
      </c>
      <c r="B73" s="1991"/>
      <c r="C73" s="1991"/>
      <c r="D73" s="1991"/>
      <c r="E73" s="1991"/>
      <c r="F73" s="1991"/>
      <c r="G73" s="1991"/>
      <c r="H73" s="1991"/>
      <c r="I73" s="1988"/>
      <c r="J73" s="1988"/>
      <c r="K73" s="1988"/>
      <c r="L73" s="1988"/>
      <c r="M73" s="601">
        <f t="array" aca="1" ref="M73" ca="1">SUM(B20:B27*Produção!$M$8:$M$15)</f>
        <v>0</v>
      </c>
      <c r="N73" s="601">
        <f t="array" aca="1" ref="N73" ca="1">SUM(C20:C27*Produção!$M$8:$M$15)</f>
        <v>0</v>
      </c>
      <c r="O73" s="601">
        <f t="array" aca="1" ref="O73" ca="1">SUM(D20:D27*Produção!$M$8:$M$15)</f>
        <v>0</v>
      </c>
      <c r="P73" s="601">
        <f t="array" aca="1" ref="P73" ca="1">SUM(E20:E27*Produção!$M$8:$M$15)</f>
        <v>0</v>
      </c>
      <c r="Q73" s="601">
        <f t="array" aca="1" ref="Q73" ca="1">SUM(F20:F27*Produção!$M$8:$M$15)</f>
        <v>0</v>
      </c>
      <c r="R73" s="601">
        <f t="array" aca="1" ref="R73" ca="1">SUM(G20:G27*Produção!$M$8:$M$15)</f>
        <v>0</v>
      </c>
      <c r="S73" s="601">
        <f t="array" aca="1" ref="S73" ca="1">SUM(H20:H27*Produção!$M$8:$M$15)</f>
        <v>0</v>
      </c>
      <c r="T73" s="601">
        <f t="array" aca="1" ref="T73" ca="1">SUM(I20:I27*Produção!$M$8:$M$15)</f>
        <v>0</v>
      </c>
      <c r="U73" s="601">
        <f t="array" aca="1" ref="U73" ca="1">SUM(J20:J27*Produção!$M$8:$M$15)</f>
        <v>0</v>
      </c>
      <c r="V73" s="601">
        <f t="array" aca="1" ref="V73" ca="1">SUM(K20:K27*Produção!$M$8:$M$15)</f>
        <v>0</v>
      </c>
      <c r="W73" s="601">
        <f t="array" aca="1" ref="W73" ca="1">SUM(L20:L27*Produção!$M$8:$M$15)</f>
        <v>0</v>
      </c>
      <c r="X73" s="601">
        <f t="array" aca="1" ref="X73" ca="1">SUM(M20:M27*Produção!$M$8:$M$15)</f>
        <v>0</v>
      </c>
      <c r="Y73" s="2007">
        <f t="array" aca="1" ref="Y73:Y84" ca="1">'Distr CV 1'!M73:M84</f>
        <v>0</v>
      </c>
    </row>
    <row r="74" spans="1:26" ht="15.75" customHeight="1">
      <c r="A74" s="1995" t="s">
        <v>261</v>
      </c>
      <c r="B74" s="1991"/>
      <c r="C74" s="1991"/>
      <c r="D74" s="1991"/>
      <c r="E74" s="1991"/>
      <c r="F74" s="1991"/>
      <c r="G74" s="1991"/>
      <c r="H74" s="1991"/>
      <c r="I74" s="1988"/>
      <c r="J74" s="1988"/>
      <c r="K74" s="1988"/>
      <c r="L74" s="601">
        <f t="array" aca="1" ref="L74" ca="1">SUM(B20:B27*Produção!$L$8:$L$15)</f>
        <v>0</v>
      </c>
      <c r="M74" s="601">
        <f t="array" aca="1" ref="M74" ca="1">SUM(C20:C27*Produção!$L$8:$L$15)</f>
        <v>0</v>
      </c>
      <c r="N74" s="601">
        <f t="array" aca="1" ref="N74" ca="1">SUM(D20:D27*Produção!$L$8:$L$15)</f>
        <v>0</v>
      </c>
      <c r="O74" s="601">
        <f t="array" aca="1" ref="O74" ca="1">SUM(E20:E27*Produção!$L$8:$L$15)</f>
        <v>0</v>
      </c>
      <c r="P74" s="601">
        <f t="array" aca="1" ref="P74" ca="1">SUM(F20:F27*Produção!$L$8:$L$15)</f>
        <v>0</v>
      </c>
      <c r="Q74" s="601">
        <f t="array" aca="1" ref="Q74" ca="1">SUM(G20:G27*Produção!$L$8:$L$15)</f>
        <v>0</v>
      </c>
      <c r="R74" s="601">
        <f t="array" aca="1" ref="R74" ca="1">SUM(H20:H27*Produção!$L$8:$L$15)</f>
        <v>0</v>
      </c>
      <c r="S74" s="601">
        <f t="array" aca="1" ref="S74" ca="1">SUM(I20:I27*Produção!$L$8:$L$15)</f>
        <v>0</v>
      </c>
      <c r="T74" s="601">
        <f t="array" aca="1" ref="T74" ca="1">SUM(J20:J27*Produção!$L$8:$L$15)</f>
        <v>0</v>
      </c>
      <c r="U74" s="601">
        <f t="array" aca="1" ref="U74" ca="1">SUM(K20:K27*Produção!$L$8:$L$15)</f>
        <v>0</v>
      </c>
      <c r="V74" s="601">
        <f t="array" aca="1" ref="V74" ca="1">SUM(L20:L27*Produção!$L$8:$L$15)</f>
        <v>0</v>
      </c>
      <c r="W74" s="601">
        <f t="array" aca="1" ref="W74" ca="1">SUM(M20:M27*Produção!$L$8:$L$15)</f>
        <v>0</v>
      </c>
      <c r="X74" s="1988">
        <f t="array" aca="1" ref="X74:X84" ca="1">'Distr CV 1'!L74:L84</f>
        <v>0</v>
      </c>
      <c r="Y74" s="2007">
        <f ca="1"/>
        <v>0</v>
      </c>
    </row>
    <row r="75" spans="1:26" ht="15.75" customHeight="1">
      <c r="A75" s="1995" t="s">
        <v>262</v>
      </c>
      <c r="B75" s="1991"/>
      <c r="C75" s="1991"/>
      <c r="D75" s="1991"/>
      <c r="E75" s="1991"/>
      <c r="F75" s="1991"/>
      <c r="G75" s="1991"/>
      <c r="H75" s="1991"/>
      <c r="I75" s="1988"/>
      <c r="J75" s="1988"/>
      <c r="K75" s="601">
        <f t="array" aca="1" ref="K75" ca="1">SUM(B20:B27*Produção!$K$8:$K$15)</f>
        <v>0</v>
      </c>
      <c r="L75" s="601">
        <f t="array" aca="1" ref="L75" ca="1">SUM(C20:C27*Produção!$K$8:$K$15)</f>
        <v>0</v>
      </c>
      <c r="M75" s="601">
        <f t="array" aca="1" ref="M75" ca="1">SUM(D20:D27*Produção!$K$8:$K$15)</f>
        <v>0</v>
      </c>
      <c r="N75" s="601">
        <f t="array" aca="1" ref="N75" ca="1">SUM(E20:E27*Produção!$K$8:$K$15)</f>
        <v>0</v>
      </c>
      <c r="O75" s="601">
        <f t="array" aca="1" ref="O75" ca="1">SUM(F20:F27*Produção!$K$8:$K$15)</f>
        <v>0</v>
      </c>
      <c r="P75" s="601">
        <f t="array" aca="1" ref="P75" ca="1">SUM(G20:G27*Produção!$K$8:$K$15)</f>
        <v>0</v>
      </c>
      <c r="Q75" s="601">
        <f t="array" aca="1" ref="Q75" ca="1">SUM(H20:H27*Produção!$K$8:$K$15)</f>
        <v>0</v>
      </c>
      <c r="R75" s="601">
        <f t="array" aca="1" ref="R75" ca="1">SUM(I20:I27*Produção!$K$8:$K$15)</f>
        <v>0</v>
      </c>
      <c r="S75" s="601">
        <f t="array" aca="1" ref="S75" ca="1">SUM(J20:J27*Produção!$K$8:$K$15)</f>
        <v>0</v>
      </c>
      <c r="T75" s="601">
        <f t="array" aca="1" ref="T75" ca="1">SUM(K20:K27*Produção!$K$8:$K$15)</f>
        <v>0</v>
      </c>
      <c r="U75" s="601">
        <f t="array" aca="1" ref="U75" ca="1">SUM(L20:L27*Produção!$K$8:$K$15)</f>
        <v>0</v>
      </c>
      <c r="V75" s="601">
        <f t="array" aca="1" ref="V75" ca="1">SUM(M20:M27*Produção!$K$8:$K$15)</f>
        <v>0</v>
      </c>
      <c r="W75" s="1988">
        <f t="array" aca="1" ref="W75:W84" ca="1">'Distr CV 1'!K75:K84</f>
        <v>0</v>
      </c>
      <c r="X75" s="1988">
        <f ca="1"/>
        <v>0</v>
      </c>
      <c r="Y75" s="2007">
        <f ca="1"/>
        <v>0</v>
      </c>
    </row>
    <row r="76" spans="1:26" ht="15.75" customHeight="1">
      <c r="A76" s="1995" t="s">
        <v>263</v>
      </c>
      <c r="B76" s="1991"/>
      <c r="C76" s="1991"/>
      <c r="D76" s="1991"/>
      <c r="E76" s="1991"/>
      <c r="F76" s="1991"/>
      <c r="G76" s="1991"/>
      <c r="H76" s="1991"/>
      <c r="I76" s="1988"/>
      <c r="J76" s="601">
        <f t="array" aca="1" ref="J76" ca="1">SUM(B20:B27*Produção!$J$8:$J$15)</f>
        <v>0</v>
      </c>
      <c r="K76" s="601">
        <f t="array" aca="1" ref="K76" ca="1">SUM(C20:C27*Produção!$J$8:$J$15)</f>
        <v>0</v>
      </c>
      <c r="L76" s="601">
        <f t="array" aca="1" ref="L76" ca="1">SUM(D20:D27*Produção!$J$8:$J$15)</f>
        <v>0</v>
      </c>
      <c r="M76" s="601">
        <f t="array" aca="1" ref="M76" ca="1">SUM(E20:E27*Produção!$J$8:$J$15)</f>
        <v>0</v>
      </c>
      <c r="N76" s="601">
        <f t="array" aca="1" ref="N76" ca="1">SUM(F20:F27*Produção!$J$8:$J$15)</f>
        <v>0</v>
      </c>
      <c r="O76" s="601">
        <f t="array" aca="1" ref="O76" ca="1">SUM(G20:G27*Produção!$J$8:$J$15)</f>
        <v>0</v>
      </c>
      <c r="P76" s="601">
        <f t="array" aca="1" ref="P76" ca="1">SUM(H20:H27*Produção!$J$8:$J$15)</f>
        <v>0</v>
      </c>
      <c r="Q76" s="601">
        <f t="array" aca="1" ref="Q76" ca="1">SUM(I20:I27*Produção!$J$8:$J$15)</f>
        <v>0</v>
      </c>
      <c r="R76" s="601">
        <f t="array" aca="1" ref="R76" ca="1">SUM(J20:J27*Produção!$J$8:$J$15)</f>
        <v>0</v>
      </c>
      <c r="S76" s="601">
        <f t="array" aca="1" ref="S76" ca="1">SUM(K20:K27*Produção!$J$8:$J$15)</f>
        <v>0</v>
      </c>
      <c r="T76" s="601">
        <f t="array" aca="1" ref="T76" ca="1">SUM(L20:L27*Produção!$J$8:$J$15)</f>
        <v>0</v>
      </c>
      <c r="U76" s="601">
        <f t="array" aca="1" ref="U76" ca="1">SUM(M20:M27*Produção!$J$8:$J$15)</f>
        <v>0</v>
      </c>
      <c r="V76" s="1988">
        <f t="array" aca="1" ref="V76:V84" ca="1">'Distr CV 1'!J76:J84</f>
        <v>0</v>
      </c>
      <c r="W76" s="1988">
        <f ca="1"/>
        <v>0</v>
      </c>
      <c r="X76" s="1988">
        <f ca="1"/>
        <v>0</v>
      </c>
      <c r="Y76" s="2007">
        <f ca="1"/>
        <v>0</v>
      </c>
    </row>
    <row r="77" spans="1:26" ht="15.75" customHeight="1">
      <c r="A77" s="1995" t="s">
        <v>264</v>
      </c>
      <c r="B77" s="1991"/>
      <c r="C77" s="1991"/>
      <c r="D77" s="1991"/>
      <c r="E77" s="1991"/>
      <c r="F77" s="1991"/>
      <c r="G77" s="1991"/>
      <c r="H77" s="1991"/>
      <c r="I77" s="601">
        <f t="array" aca="1" ref="I77" ca="1">SUM(B20:B27*Produção!$I$8:$I$15)</f>
        <v>0</v>
      </c>
      <c r="J77" s="601">
        <f t="array" aca="1" ref="J77" ca="1">SUM(C20:C27*Produção!$I$8:$I$15)</f>
        <v>0</v>
      </c>
      <c r="K77" s="601">
        <f t="array" aca="1" ref="K77" ca="1">SUM(D20:D27*Produção!$I$8:$I$15)</f>
        <v>0</v>
      </c>
      <c r="L77" s="601">
        <f t="array" aca="1" ref="L77" ca="1">SUM(E20:E27*Produção!$I$8:$I$15)</f>
        <v>0</v>
      </c>
      <c r="M77" s="601">
        <f t="array" aca="1" ref="M77" ca="1">SUM(F20:F27*Produção!$I$8:$I$15)</f>
        <v>0</v>
      </c>
      <c r="N77" s="601">
        <f t="array" aca="1" ref="N77" ca="1">SUM(G20:G27*Produção!$I$8:$I$15)</f>
        <v>0</v>
      </c>
      <c r="O77" s="601">
        <f t="array" aca="1" ref="O77" ca="1">SUM(H20:H27*Produção!$I$8:$I$15)</f>
        <v>0</v>
      </c>
      <c r="P77" s="601">
        <f t="array" aca="1" ref="P77" ca="1">SUM(I20:I27*Produção!$I$8:$I$15)</f>
        <v>0</v>
      </c>
      <c r="Q77" s="601">
        <f t="array" aca="1" ref="Q77" ca="1">SUM(J20:J27*Produção!$I$8:$I$15)</f>
        <v>0</v>
      </c>
      <c r="R77" s="601">
        <f t="array" aca="1" ref="R77" ca="1">SUM(K20:K27*Produção!$I$8:$I$15)</f>
        <v>0</v>
      </c>
      <c r="S77" s="601">
        <f t="array" aca="1" ref="S77" ca="1">SUM(L20:L27*Produção!$I$8:$I$15)</f>
        <v>0</v>
      </c>
      <c r="T77" s="601">
        <f t="array" aca="1" ref="T77" ca="1">SUM(M20:M27*Produção!$I$8:$I$15)</f>
        <v>0</v>
      </c>
      <c r="U77" s="1988">
        <f t="array" aca="1" ref="U77:U84" ca="1">'Distr CV 1'!I77:I84</f>
        <v>0</v>
      </c>
      <c r="V77" s="1988">
        <f ca="1"/>
        <v>0</v>
      </c>
      <c r="W77" s="1988">
        <f ca="1"/>
        <v>0</v>
      </c>
      <c r="X77" s="1988">
        <f ca="1"/>
        <v>0</v>
      </c>
      <c r="Y77" s="2007">
        <f ca="1"/>
        <v>0</v>
      </c>
    </row>
    <row r="78" spans="1:26" ht="15.75" customHeight="1">
      <c r="A78" s="1995" t="s">
        <v>265</v>
      </c>
      <c r="B78" s="1991"/>
      <c r="C78" s="1991"/>
      <c r="D78" s="1991"/>
      <c r="E78" s="1991"/>
      <c r="F78" s="1991"/>
      <c r="G78" s="1991"/>
      <c r="H78" s="601">
        <f t="array" aca="1" ref="H78" ca="1">SUM(B20:B27*Produção!$H$8:$H$15)</f>
        <v>0</v>
      </c>
      <c r="I78" s="601">
        <f t="array" aca="1" ref="I78" ca="1">SUM(C20:C27*Produção!$H$8:$H$15)</f>
        <v>0</v>
      </c>
      <c r="J78" s="601">
        <f t="array" aca="1" ref="J78" ca="1">SUM(D20:D27*Produção!$H$8:$H$15)</f>
        <v>0</v>
      </c>
      <c r="K78" s="601">
        <f t="array" aca="1" ref="K78" ca="1">SUM(E20:E27*Produção!$H$8:$H$15)</f>
        <v>0</v>
      </c>
      <c r="L78" s="601">
        <f t="array" aca="1" ref="L78" ca="1">SUM(F20:F27*Produção!$H$8:$H$15)</f>
        <v>0</v>
      </c>
      <c r="M78" s="601">
        <f t="array" aca="1" ref="M78" ca="1">SUM(G20:G27*Produção!$H$8:$H$15)</f>
        <v>0</v>
      </c>
      <c r="N78" s="601">
        <f t="array" aca="1" ref="N78" ca="1">SUM(H20:H27*Produção!$H$8:$H$15)</f>
        <v>0</v>
      </c>
      <c r="O78" s="601">
        <f t="array" aca="1" ref="O78" ca="1">SUM(I20:I27*Produção!$H$8:$H$15)</f>
        <v>0</v>
      </c>
      <c r="P78" s="601">
        <f t="array" aca="1" ref="P78" ca="1">SUM(J20:J27*Produção!$H$8:$H$15)</f>
        <v>0</v>
      </c>
      <c r="Q78" s="601">
        <f t="array" aca="1" ref="Q78" ca="1">SUM(K20:K27*Produção!$H$8:$H$15)</f>
        <v>0</v>
      </c>
      <c r="R78" s="601">
        <f t="array" aca="1" ref="R78" ca="1">SUM(L20:L27*Produção!$H$8:$H$15)</f>
        <v>0</v>
      </c>
      <c r="S78" s="601">
        <f t="array" aca="1" ref="S78" ca="1">SUM(M20:M27*Produção!$H$8:$H$15)</f>
        <v>0</v>
      </c>
      <c r="T78" s="1988">
        <f t="array" aca="1" ref="T78:T84" ca="1">'Distr CV 1'!H78:H84</f>
        <v>0</v>
      </c>
      <c r="U78" s="1988">
        <f ca="1"/>
        <v>0</v>
      </c>
      <c r="V78" s="1988">
        <f ca="1"/>
        <v>0</v>
      </c>
      <c r="W78" s="1988">
        <f ca="1"/>
        <v>0</v>
      </c>
      <c r="X78" s="1988">
        <f ca="1"/>
        <v>0</v>
      </c>
      <c r="Y78" s="2007">
        <f ca="1"/>
        <v>0</v>
      </c>
    </row>
    <row r="79" spans="1:26" ht="15.75" customHeight="1">
      <c r="A79" s="1995" t="s">
        <v>266</v>
      </c>
      <c r="B79" s="1991"/>
      <c r="C79" s="1991"/>
      <c r="D79" s="1991"/>
      <c r="E79" s="1991"/>
      <c r="F79" s="1991"/>
      <c r="G79" s="603">
        <f t="array" aca="1" ref="G79" ca="1">SUM(B20:B27*Produção!$G$8:$G$15)</f>
        <v>0</v>
      </c>
      <c r="H79" s="603">
        <f t="array" aca="1" ref="H79" ca="1">SUM(C20:C27*Produção!$G$8:$G$15)</f>
        <v>0</v>
      </c>
      <c r="I79" s="603">
        <f t="array" aca="1" ref="I79" ca="1">SUM(D20:D27*Produção!$G$8:$G$15)</f>
        <v>0</v>
      </c>
      <c r="J79" s="603">
        <f t="array" aca="1" ref="J79" ca="1">SUM(E20:E27*Produção!$G$8:$G$15)</f>
        <v>0</v>
      </c>
      <c r="K79" s="603">
        <f t="array" aca="1" ref="K79" ca="1">SUM(F20:F27*Produção!$G$8:$G$15)</f>
        <v>0</v>
      </c>
      <c r="L79" s="603">
        <f t="array" aca="1" ref="L79" ca="1">SUM(G20:G27*Produção!$G$8:$G$15)</f>
        <v>0</v>
      </c>
      <c r="M79" s="603">
        <f t="array" aca="1" ref="M79" ca="1">SUM(H20:H27*Produção!$G$8:$G$15)</f>
        <v>0</v>
      </c>
      <c r="N79" s="603">
        <f t="array" aca="1" ref="N79" ca="1">SUM(I20:I27*Produção!$G$8:$G$15)</f>
        <v>0</v>
      </c>
      <c r="O79" s="603">
        <f t="array" aca="1" ref="O79" ca="1">SUM(J20:J27*Produção!$G$8:$G$15)</f>
        <v>0</v>
      </c>
      <c r="P79" s="603">
        <f t="array" aca="1" ref="P79" ca="1">SUM(K20:K27*Produção!$G$8:$G$15)</f>
        <v>0</v>
      </c>
      <c r="Q79" s="603">
        <f t="array" aca="1" ref="Q79" ca="1">SUM(L20:L27*Produção!$G$8:$G$15)</f>
        <v>0</v>
      </c>
      <c r="R79" s="603">
        <f t="array" aca="1" ref="R79" ca="1">SUM(M20:M27*Produção!$G$8:$G$15)</f>
        <v>0</v>
      </c>
      <c r="S79" s="1992">
        <f t="array" aca="1" ref="S79:S84" ca="1">'Distr CV 1'!G79:G84</f>
        <v>0</v>
      </c>
      <c r="T79" s="1992">
        <f ca="1"/>
        <v>0</v>
      </c>
      <c r="U79" s="1992">
        <f ca="1"/>
        <v>0</v>
      </c>
      <c r="V79" s="1992">
        <f ca="1"/>
        <v>0</v>
      </c>
      <c r="W79" s="1992">
        <f ca="1"/>
        <v>0</v>
      </c>
      <c r="X79" s="1992">
        <f ca="1"/>
        <v>0</v>
      </c>
      <c r="Y79" s="2010">
        <f ca="1"/>
        <v>0</v>
      </c>
    </row>
    <row r="80" spans="1:26" ht="15.75" customHeight="1">
      <c r="A80" s="1995" t="s">
        <v>267</v>
      </c>
      <c r="B80" s="1991"/>
      <c r="C80" s="1991"/>
      <c r="D80" s="1991"/>
      <c r="E80" s="1991"/>
      <c r="F80" s="603">
        <f t="array" aca="1" ref="F80" ca="1">SUM(B20:B27*Produção!$F$8:$F$15)</f>
        <v>0</v>
      </c>
      <c r="G80" s="603">
        <f t="array" aca="1" ref="G80" ca="1">SUM(C20:C27*Produção!$F$8:$F$15)</f>
        <v>0</v>
      </c>
      <c r="H80" s="603">
        <f t="array" aca="1" ref="H80" ca="1">SUM(D20:D27*Produção!$F$8:$F$15)</f>
        <v>0</v>
      </c>
      <c r="I80" s="603">
        <f t="array" aca="1" ref="I80" ca="1">SUM(E20:E27*Produção!$F$8:$F$15)</f>
        <v>0</v>
      </c>
      <c r="J80" s="603">
        <f t="array" aca="1" ref="J80" ca="1">SUM(F20:F27*Produção!$F$8:$F$15)</f>
        <v>0</v>
      </c>
      <c r="K80" s="603">
        <f t="array" aca="1" ref="K80" ca="1">SUM(G20:G27*Produção!$F$8:$F$15)</f>
        <v>0</v>
      </c>
      <c r="L80" s="603">
        <f t="array" aca="1" ref="L80" ca="1">SUM(H20:H27*Produção!$F$8:$F$15)</f>
        <v>0</v>
      </c>
      <c r="M80" s="603">
        <f t="array" aca="1" ref="M80" ca="1">SUM(I20:I27*Produção!$F$8:$F$15)</f>
        <v>0</v>
      </c>
      <c r="N80" s="603">
        <f t="array" aca="1" ref="N80" ca="1">SUM(J20:J27*Produção!$F$8:$F$15)</f>
        <v>0</v>
      </c>
      <c r="O80" s="603">
        <f t="array" aca="1" ref="O80" ca="1">SUM(K20:K27*Produção!$F$8:$F$15)</f>
        <v>0</v>
      </c>
      <c r="P80" s="603">
        <f t="array" aca="1" ref="P80" ca="1">SUM(L20:L27*Produção!$F$8:$F$15)</f>
        <v>0</v>
      </c>
      <c r="Q80" s="603">
        <f t="array" aca="1" ref="Q80" ca="1">SUM(M20:M27*Produção!$F$8:$F$15)</f>
        <v>0</v>
      </c>
      <c r="R80" s="1992">
        <f t="array" aca="1" ref="R80:R84" ca="1">'Distr CV 1'!F80:F84</f>
        <v>0</v>
      </c>
      <c r="S80" s="1992">
        <f ca="1"/>
        <v>0</v>
      </c>
      <c r="T80" s="1992">
        <f ca="1"/>
        <v>0</v>
      </c>
      <c r="U80" s="1992">
        <f ca="1"/>
        <v>0</v>
      </c>
      <c r="V80" s="1992">
        <f ca="1"/>
        <v>0</v>
      </c>
      <c r="W80" s="1992">
        <f ca="1"/>
        <v>0</v>
      </c>
      <c r="X80" s="1992">
        <f ca="1"/>
        <v>0</v>
      </c>
      <c r="Y80" s="2010">
        <f ca="1"/>
        <v>0</v>
      </c>
    </row>
    <row r="81" spans="1:26" ht="15.75" customHeight="1">
      <c r="A81" s="1995" t="s">
        <v>268</v>
      </c>
      <c r="B81" s="1991"/>
      <c r="C81" s="1991"/>
      <c r="D81" s="1991"/>
      <c r="E81" s="603">
        <f t="array" aca="1" ref="E81" ca="1">SUM(B20:B27*Produção!$E$8:$E$15)</f>
        <v>0</v>
      </c>
      <c r="F81" s="603">
        <f t="array" aca="1" ref="F81" ca="1">SUM(C20:C27*Produção!$E$8:$E$15)</f>
        <v>0</v>
      </c>
      <c r="G81" s="603">
        <f t="array" aca="1" ref="G81" ca="1">SUM(D20:D27*Produção!$E$8:$E$15)</f>
        <v>0</v>
      </c>
      <c r="H81" s="603">
        <f t="array" aca="1" ref="H81" ca="1">SUM(E20:E27*Produção!$E$8:$E$15)</f>
        <v>0</v>
      </c>
      <c r="I81" s="603">
        <f t="array" aca="1" ref="I81" ca="1">SUM(F20:F27*Produção!$E$8:$E$15)</f>
        <v>0</v>
      </c>
      <c r="J81" s="603">
        <f t="array" aca="1" ref="J81" ca="1">SUM(G20:G27*Produção!$E$8:$E$15)</f>
        <v>0</v>
      </c>
      <c r="K81" s="603">
        <f t="array" aca="1" ref="K81" ca="1">SUM(H20:H27*Produção!$E$8:$E$15)</f>
        <v>0</v>
      </c>
      <c r="L81" s="603">
        <f t="array" aca="1" ref="L81" ca="1">SUM(I20:I27*Produção!$E$8:$E$15)</f>
        <v>0</v>
      </c>
      <c r="M81" s="603">
        <f t="array" aca="1" ref="M81" ca="1">SUM(J20:J27*Produção!$E$8:$E$15)</f>
        <v>0</v>
      </c>
      <c r="N81" s="603">
        <f t="array" aca="1" ref="N81" ca="1">SUM(K20:K27*Produção!$E$8:$E$15)</f>
        <v>0</v>
      </c>
      <c r="O81" s="603">
        <f t="array" aca="1" ref="O81" ca="1">SUM(L20:L27*Produção!$E$8:$E$15)</f>
        <v>0</v>
      </c>
      <c r="P81" s="603">
        <f t="array" aca="1" ref="P81" ca="1">SUM(M20:M27*Produção!$E$8:$E$15)</f>
        <v>0</v>
      </c>
      <c r="Q81" s="1992">
        <f t="array" aca="1" ref="Q81:Q84" ca="1">'Distr CV 1'!E81:F84</f>
        <v>0</v>
      </c>
      <c r="R81" s="1992">
        <f ca="1"/>
        <v>0</v>
      </c>
      <c r="S81" s="1992">
        <f ca="1"/>
        <v>0</v>
      </c>
      <c r="T81" s="1992">
        <f ca="1"/>
        <v>0</v>
      </c>
      <c r="U81" s="1992">
        <f ca="1"/>
        <v>0</v>
      </c>
      <c r="V81" s="1992">
        <f ca="1"/>
        <v>0</v>
      </c>
      <c r="W81" s="1992">
        <f ca="1"/>
        <v>0</v>
      </c>
      <c r="X81" s="1992">
        <f ca="1"/>
        <v>0</v>
      </c>
      <c r="Y81" s="2010">
        <f ca="1"/>
        <v>0</v>
      </c>
    </row>
    <row r="82" spans="1:26" ht="15.75" customHeight="1">
      <c r="A82" s="1995" t="s">
        <v>269</v>
      </c>
      <c r="B82" s="1991"/>
      <c r="C82" s="1991"/>
      <c r="D82" s="602">
        <f t="array" aca="1" ref="D82" ca="1">SUM(B20:B27*Produção!$D$8:$D$15)</f>
        <v>0</v>
      </c>
      <c r="E82" s="602">
        <f t="array" aca="1" ref="E82" ca="1">SUM(C20:C27*Produção!$D$8:$D$15)</f>
        <v>0</v>
      </c>
      <c r="F82" s="602">
        <f t="array" aca="1" ref="F82" ca="1">SUM(D20:D27*Produção!$D$8:$D$15)</f>
        <v>0</v>
      </c>
      <c r="G82" s="602">
        <f t="array" aca="1" ref="G82" ca="1">SUM(E20:E27*Produção!$D$8:$D$15)</f>
        <v>0</v>
      </c>
      <c r="H82" s="602">
        <f t="array" aca="1" ref="H82" ca="1">SUM(F20:F27*Produção!$D$8:$D$15)</f>
        <v>0</v>
      </c>
      <c r="I82" s="602">
        <f t="array" aca="1" ref="I82" ca="1">SUM(G20:G27*Produção!$D$8:$D$15)</f>
        <v>0</v>
      </c>
      <c r="J82" s="602">
        <f t="array" aca="1" ref="J82" ca="1">SUM(H20:H27*Produção!$D$8:$D$15)</f>
        <v>0</v>
      </c>
      <c r="K82" s="602">
        <f t="array" aca="1" ref="K82" ca="1">SUM(I20:I27*Produção!$D$8:$D$15)</f>
        <v>0</v>
      </c>
      <c r="L82" s="602">
        <f t="array" aca="1" ref="L82" ca="1">SUM(J20:J27*Produção!$D$8:$D$15)</f>
        <v>0</v>
      </c>
      <c r="M82" s="602">
        <f t="array" aca="1" ref="M82" ca="1">SUM(K20:K27*Produção!$D$8:$D$15)</f>
        <v>0</v>
      </c>
      <c r="N82" s="602">
        <f t="array" aca="1" ref="N82" ca="1">SUM(L20:L27*Produção!$D$8:$D$15)</f>
        <v>0</v>
      </c>
      <c r="O82" s="602">
        <f t="array" aca="1" ref="O82" ca="1">SUM(M20:M27*Produção!$D$8:$D$15)</f>
        <v>0</v>
      </c>
      <c r="P82" s="1992">
        <f t="array" aca="1" ref="P82:P84" ca="1">'Distr CV 1'!D82:D84</f>
        <v>0</v>
      </c>
      <c r="Q82" s="1992">
        <f ca="1"/>
        <v>0</v>
      </c>
      <c r="R82" s="1992">
        <f ca="1"/>
        <v>0</v>
      </c>
      <c r="S82" s="1992">
        <f ca="1"/>
        <v>0</v>
      </c>
      <c r="T82" s="1992">
        <f ca="1"/>
        <v>0</v>
      </c>
      <c r="U82" s="1992">
        <f ca="1"/>
        <v>0</v>
      </c>
      <c r="V82" s="1992">
        <f ca="1"/>
        <v>0</v>
      </c>
      <c r="W82" s="1992">
        <f ca="1"/>
        <v>0</v>
      </c>
      <c r="X82" s="1992">
        <f ca="1"/>
        <v>0</v>
      </c>
      <c r="Y82" s="2010">
        <f ca="1"/>
        <v>0</v>
      </c>
    </row>
    <row r="83" spans="1:26" ht="15.75" customHeight="1">
      <c r="A83" s="1995" t="s">
        <v>270</v>
      </c>
      <c r="B83" s="1991"/>
      <c r="C83" s="603">
        <f t="array" aca="1" ref="C83" ca="1">SUM(B20:B27*Produção!$C$8:$C$15)</f>
        <v>0</v>
      </c>
      <c r="D83" s="603">
        <f t="array" aca="1" ref="D83" ca="1">SUM(C20:C27*Produção!$C$8:$C$15)</f>
        <v>0</v>
      </c>
      <c r="E83" s="603">
        <f t="array" aca="1" ref="E83" ca="1">SUM(D20:D27*Produção!$C$8:$C$15)</f>
        <v>0</v>
      </c>
      <c r="F83" s="603">
        <f t="array" aca="1" ref="F83" ca="1">SUM(E20:E27*Produção!$C$8:$C$15)</f>
        <v>0</v>
      </c>
      <c r="G83" s="603">
        <f t="array" aca="1" ref="G83" ca="1">SUM(F20:F27*Produção!$C$8:$C$15)</f>
        <v>0</v>
      </c>
      <c r="H83" s="603">
        <f t="array" aca="1" ref="H83" ca="1">SUM(G20:G27*Produção!$C$8:$C$15)</f>
        <v>0</v>
      </c>
      <c r="I83" s="603">
        <f t="array" aca="1" ref="I83" ca="1">SUM(H20:H27*Produção!$C$8:$C$15)</f>
        <v>0</v>
      </c>
      <c r="J83" s="603">
        <f t="array" aca="1" ref="J83" ca="1">SUM(I20:I27*Produção!$C$8:$C$15)</f>
        <v>0</v>
      </c>
      <c r="K83" s="603">
        <f t="array" aca="1" ref="K83" ca="1">SUM(J20:J27*Produção!$C$8:$C$15)</f>
        <v>0</v>
      </c>
      <c r="L83" s="603">
        <f t="array" aca="1" ref="L83" ca="1">SUM(K20:K27*Produção!$C$8:$C$15)</f>
        <v>0</v>
      </c>
      <c r="M83" s="603">
        <f t="array" aca="1" ref="M83" ca="1">SUM(L20:L27*Produção!$C$8:$C$15)</f>
        <v>0</v>
      </c>
      <c r="N83" s="603">
        <f t="array" aca="1" ref="N83" ca="1">SUM(M20:M27*Produção!$C$8:$C$15)</f>
        <v>0</v>
      </c>
      <c r="O83" s="1992">
        <f t="array" aca="1" ref="O83:O84" ca="1">'Distr CV 1'!C83:C84</f>
        <v>0</v>
      </c>
      <c r="P83" s="1992">
        <f ca="1"/>
        <v>0</v>
      </c>
      <c r="Q83" s="1992">
        <f ca="1"/>
        <v>0</v>
      </c>
      <c r="R83" s="1992">
        <f ca="1"/>
        <v>0</v>
      </c>
      <c r="S83" s="1992">
        <f ca="1"/>
        <v>0</v>
      </c>
      <c r="T83" s="1992">
        <f ca="1"/>
        <v>0</v>
      </c>
      <c r="U83" s="1992">
        <f ca="1"/>
        <v>0</v>
      </c>
      <c r="V83" s="1992">
        <f ca="1"/>
        <v>0</v>
      </c>
      <c r="W83" s="1992">
        <f ca="1"/>
        <v>0</v>
      </c>
      <c r="X83" s="1992">
        <f ca="1"/>
        <v>0</v>
      </c>
      <c r="Y83" s="2010">
        <f ca="1"/>
        <v>0</v>
      </c>
    </row>
    <row r="84" spans="1:26" ht="15.75" customHeight="1" thickBot="1">
      <c r="A84" s="1995" t="s">
        <v>271</v>
      </c>
      <c r="B84" s="603">
        <f t="array" aca="1" ref="B84" ca="1">SUM(B20:B27*Produção!$B$8:$B$15)</f>
        <v>0</v>
      </c>
      <c r="C84" s="603">
        <f t="array" aca="1" ref="C84" ca="1">SUM(C20:C27*Produção!$B$8:$B$15)</f>
        <v>0</v>
      </c>
      <c r="D84" s="603">
        <f t="array" aca="1" ref="D84" ca="1">SUM(D20:D27*Produção!$B$8:$B$15)</f>
        <v>0</v>
      </c>
      <c r="E84" s="603">
        <f t="array" aca="1" ref="E84" ca="1">SUM(E20:E27*Produção!$B$8:$B$15)</f>
        <v>0</v>
      </c>
      <c r="F84" s="603">
        <f t="array" aca="1" ref="F84" ca="1">SUM(F20:F27*Produção!$B$8:$B$15)</f>
        <v>0</v>
      </c>
      <c r="G84" s="603">
        <f t="array" aca="1" ref="G84" ca="1">SUM(G20:G27*Produção!$B$8:$B$15)</f>
        <v>0</v>
      </c>
      <c r="H84" s="603">
        <f t="array" aca="1" ref="H84" ca="1">SUM(H20:H27*Produção!$B$8:$B$15)</f>
        <v>0</v>
      </c>
      <c r="I84" s="603">
        <f t="array" aca="1" ref="I84" ca="1">SUM(I20:I27*Produção!$B$8:$B$15)</f>
        <v>0</v>
      </c>
      <c r="J84" s="603">
        <f t="array" aca="1" ref="J84" ca="1">SUM(J20:J27*Produção!$B$8:$B$15)</f>
        <v>0</v>
      </c>
      <c r="K84" s="603">
        <f t="array" aca="1" ref="K84" ca="1">SUM(K20:K27*Produção!$B$8:$B$15)</f>
        <v>0</v>
      </c>
      <c r="L84" s="603">
        <f t="array" aca="1" ref="L84" ca="1">SUM(L20:L27*Produção!$B$8:$B$15)</f>
        <v>0</v>
      </c>
      <c r="M84" s="603">
        <f t="array" aca="1" ref="M84" ca="1">SUM(M20:M27*Produção!$B$8:$B$15)</f>
        <v>0</v>
      </c>
      <c r="N84" s="1992">
        <f ca="1">'Distr CV 1'!B84</f>
        <v>0</v>
      </c>
      <c r="O84" s="1992">
        <f ca="1"/>
        <v>0</v>
      </c>
      <c r="P84" s="1992">
        <f ca="1"/>
        <v>0</v>
      </c>
      <c r="Q84" s="1992">
        <f ca="1"/>
        <v>0</v>
      </c>
      <c r="R84" s="1992">
        <f ca="1"/>
        <v>0</v>
      </c>
      <c r="S84" s="1992">
        <f ca="1"/>
        <v>0</v>
      </c>
      <c r="T84" s="1992">
        <f ca="1"/>
        <v>0</v>
      </c>
      <c r="U84" s="1992">
        <f ca="1"/>
        <v>0</v>
      </c>
      <c r="V84" s="1992">
        <f ca="1"/>
        <v>0</v>
      </c>
      <c r="W84" s="1992">
        <f ca="1"/>
        <v>0</v>
      </c>
      <c r="X84" s="1992">
        <f ca="1"/>
        <v>0</v>
      </c>
      <c r="Y84" s="2010">
        <f ca="1"/>
        <v>0</v>
      </c>
    </row>
    <row r="85" spans="1:26" ht="15.75" customHeight="1" thickBot="1">
      <c r="A85" s="105" t="str">
        <f>A$28</f>
        <v>Totais</v>
      </c>
      <c r="B85" s="607">
        <f t="shared" ref="B85:Y85" ca="1" si="8">SUM(B72:B84)</f>
        <v>0</v>
      </c>
      <c r="C85" s="607">
        <f t="shared" ca="1" si="8"/>
        <v>0</v>
      </c>
      <c r="D85" s="607">
        <f t="shared" ca="1" si="8"/>
        <v>0</v>
      </c>
      <c r="E85" s="607">
        <f t="shared" ca="1" si="8"/>
        <v>0</v>
      </c>
      <c r="F85" s="607">
        <f t="shared" ca="1" si="8"/>
        <v>0</v>
      </c>
      <c r="G85" s="607">
        <f t="shared" ca="1" si="8"/>
        <v>0</v>
      </c>
      <c r="H85" s="607">
        <f t="shared" ca="1" si="8"/>
        <v>0</v>
      </c>
      <c r="I85" s="607">
        <f t="shared" ca="1" si="8"/>
        <v>0</v>
      </c>
      <c r="J85" s="607">
        <f t="shared" ca="1" si="8"/>
        <v>0</v>
      </c>
      <c r="K85" s="607">
        <f t="shared" ca="1" si="8"/>
        <v>0</v>
      </c>
      <c r="L85" s="607">
        <f t="shared" ca="1" si="8"/>
        <v>0</v>
      </c>
      <c r="M85" s="607">
        <f t="shared" ca="1" si="8"/>
        <v>0</v>
      </c>
      <c r="N85" s="607">
        <f t="shared" ca="1" si="8"/>
        <v>28.000000000000004</v>
      </c>
      <c r="O85" s="607">
        <f t="shared" ca="1" si="8"/>
        <v>38.181818181818187</v>
      </c>
      <c r="P85" s="607">
        <f t="shared" ca="1" si="8"/>
        <v>48.363636363636374</v>
      </c>
      <c r="Q85" s="607">
        <f t="shared" ca="1" si="8"/>
        <v>58.545454545454554</v>
      </c>
      <c r="R85" s="607">
        <f t="shared" ca="1" si="8"/>
        <v>68.727272727272734</v>
      </c>
      <c r="S85" s="607">
        <f t="shared" ca="1" si="8"/>
        <v>78.909090909090921</v>
      </c>
      <c r="T85" s="607">
        <f t="shared" ca="1" si="8"/>
        <v>89.090909090909108</v>
      </c>
      <c r="U85" s="607">
        <f t="shared" ca="1" si="8"/>
        <v>99.272727272727266</v>
      </c>
      <c r="V85" s="607">
        <f t="shared" ca="1" si="8"/>
        <v>109.45454545454547</v>
      </c>
      <c r="W85" s="607">
        <f t="shared" ca="1" si="8"/>
        <v>119.63636363636364</v>
      </c>
      <c r="X85" s="607">
        <f t="shared" ca="1" si="8"/>
        <v>129.81818181818184</v>
      </c>
      <c r="Y85" s="2008">
        <f t="shared" ca="1" si="8"/>
        <v>140</v>
      </c>
    </row>
    <row r="86" spans="1:26">
      <c r="B86" s="62"/>
    </row>
    <row r="87" spans="1:26">
      <c r="A87" s="1011" t="s">
        <v>748</v>
      </c>
      <c r="B87" s="62">
        <f ca="1">SUM(OFFSET(B85,0,0,1,12+mes0-1))</f>
        <v>0</v>
      </c>
    </row>
    <row r="88" spans="1:26">
      <c r="B88" s="62"/>
    </row>
    <row r="89" spans="1:26" ht="18.75" thickBot="1">
      <c r="A89" s="1993" t="str">
        <f>'Dados Básicos'!A28&amp;" dos custos de produção por meses de compra"</f>
        <v>IVA dos custos de produção por meses de compra</v>
      </c>
      <c r="I89" s="1993"/>
    </row>
    <row r="90" spans="1:26" s="456" customFormat="1" ht="39" customHeight="1" thickBot="1">
      <c r="A90" s="457" t="s">
        <v>750</v>
      </c>
      <c r="B90" s="2011" t="str">
        <f t="array" ref="B90:Y90">B$71:Y$71</f>
        <v>janeiro
2025</v>
      </c>
      <c r="C90" s="2011" t="str">
        <v>fevereiro
2025</v>
      </c>
      <c r="D90" s="2011" t="str">
        <v>março
2025</v>
      </c>
      <c r="E90" s="2011" t="str">
        <v>abril
2025</v>
      </c>
      <c r="F90" s="2011" t="str">
        <v>maio
2025</v>
      </c>
      <c r="G90" s="2011" t="str">
        <v>junho
2025</v>
      </c>
      <c r="H90" s="2011" t="str">
        <v>julho
2025</v>
      </c>
      <c r="I90" s="2011" t="str">
        <v>agosto
2025</v>
      </c>
      <c r="J90" s="2011" t="str">
        <v>setembro
2025</v>
      </c>
      <c r="K90" s="2011" t="str">
        <v>outubro
2025</v>
      </c>
      <c r="L90" s="2011" t="str">
        <v>novembro
2025</v>
      </c>
      <c r="M90" s="2011" t="str">
        <v>dezembro
2025</v>
      </c>
      <c r="N90" s="2734" t="str">
        <v>janeiro 
2026</v>
      </c>
      <c r="O90" s="2735" t="str">
        <v>fevereiro 
2026</v>
      </c>
      <c r="P90" s="2735" t="str">
        <v>março 
2026</v>
      </c>
      <c r="Q90" s="2735" t="str">
        <v>abril 
2026</v>
      </c>
      <c r="R90" s="2735" t="str">
        <v>maio 
2026</v>
      </c>
      <c r="S90" s="2735" t="str">
        <v>junho 
2026</v>
      </c>
      <c r="T90" s="2735" t="str">
        <v>julho 
2026</v>
      </c>
      <c r="U90" s="2735" t="str">
        <v>agosto 
2026</v>
      </c>
      <c r="V90" s="2735" t="str">
        <v>setembro 
2026</v>
      </c>
      <c r="W90" s="2735" t="str">
        <v>outubro 
2026</v>
      </c>
      <c r="X90" s="2735" t="str">
        <v>novembro 
2026</v>
      </c>
      <c r="Y90" s="2736" t="str">
        <v>dezembro 
2026</v>
      </c>
      <c r="Z90" s="62"/>
    </row>
    <row r="91" spans="1:26" ht="15.75" customHeight="1">
      <c r="A91" s="1994" t="str">
        <f t="shared" ref="A91:A103" si="9">A72</f>
        <v>mesmo mes</v>
      </c>
      <c r="B91" s="1991"/>
      <c r="C91" s="1991"/>
      <c r="D91" s="1991"/>
      <c r="E91" s="1991"/>
      <c r="F91" s="1991"/>
      <c r="G91" s="1991"/>
      <c r="H91" s="1989"/>
      <c r="I91" s="1990"/>
      <c r="J91" s="1990"/>
      <c r="K91" s="1990"/>
      <c r="L91" s="1990"/>
      <c r="M91" s="1990"/>
      <c r="N91" s="599">
        <f t="array" aca="1" ref="N91" ca="1">SUM(B32:B39*Produção!$N$8:$N$15)</f>
        <v>5.8800000000000008</v>
      </c>
      <c r="O91" s="599">
        <f t="array" aca="1" ref="O91" ca="1">SUM(C32:C39*Produção!$N$8:$N$15)</f>
        <v>8.0181818181818194</v>
      </c>
      <c r="P91" s="599">
        <f t="array" aca="1" ref="P91" ca="1">SUM(D32:D39*Produção!$N$8:$N$15)</f>
        <v>10.156363636363638</v>
      </c>
      <c r="Q91" s="599">
        <f t="array" aca="1" ref="Q91" ca="1">SUM(E32:E39*Produção!$N$8:$N$15)</f>
        <v>12.294545454545457</v>
      </c>
      <c r="R91" s="599">
        <f t="array" aca="1" ref="R91" ca="1">SUM(F32:F39*Produção!$N$8:$N$15)</f>
        <v>14.432727272727274</v>
      </c>
      <c r="S91" s="599">
        <f t="array" aca="1" ref="S91" ca="1">SUM(G32:G39*Produção!$N$8:$N$15)</f>
        <v>16.570909090909094</v>
      </c>
      <c r="T91" s="599">
        <f t="array" aca="1" ref="T91" ca="1">SUM(H32:H39*Produção!$N$8:$N$15)</f>
        <v>18.709090909090911</v>
      </c>
      <c r="U91" s="599">
        <f t="array" aca="1" ref="U91" ca="1">SUM(I32:I39*Produção!$N$8:$N$15)</f>
        <v>20.847272727272724</v>
      </c>
      <c r="V91" s="599">
        <f t="array" aca="1" ref="V91" ca="1">SUM(J32:J39*Produção!$N$8:$N$15)</f>
        <v>22.985454545454548</v>
      </c>
      <c r="W91" s="599">
        <f t="array" aca="1" ref="W91" ca="1">SUM(K32:K39*Produção!$N$8:$N$15)</f>
        <v>25.123636363636365</v>
      </c>
      <c r="X91" s="599">
        <f t="array" aca="1" ref="X91" ca="1">SUM(L32:L39*Produção!$N$8:$N$15)</f>
        <v>27.261818181818185</v>
      </c>
      <c r="Y91" s="2009">
        <f t="array" aca="1" ref="Y91" ca="1">SUM(M32:M39*Produção!$N$8:$N$15)</f>
        <v>29.4</v>
      </c>
    </row>
    <row r="92" spans="1:26" ht="15.75" customHeight="1">
      <c r="A92" s="1995" t="str">
        <f t="shared" si="9"/>
        <v>1 mes antes</v>
      </c>
      <c r="B92" s="1991"/>
      <c r="C92" s="1991"/>
      <c r="D92" s="1991"/>
      <c r="E92" s="1991"/>
      <c r="F92" s="1991"/>
      <c r="G92" s="1991"/>
      <c r="H92" s="1991"/>
      <c r="I92" s="1988"/>
      <c r="J92" s="1988"/>
      <c r="K92" s="1988"/>
      <c r="L92" s="1988"/>
      <c r="M92" s="601">
        <f t="array" aca="1" ref="M92" ca="1">SUM(B32:B39*Produção!$M$8:$M$15)</f>
        <v>0</v>
      </c>
      <c r="N92" s="601">
        <f t="array" aca="1" ref="N92" ca="1">SUM(C32:C39*Produção!$M$8:$M$15)</f>
        <v>0</v>
      </c>
      <c r="O92" s="601">
        <f t="array" aca="1" ref="O92" ca="1">SUM(D32:D39*Produção!$M$8:$M$15)</f>
        <v>0</v>
      </c>
      <c r="P92" s="601">
        <f t="array" aca="1" ref="P92" ca="1">SUM(E32:E39*Produção!$M$8:$M$15)</f>
        <v>0</v>
      </c>
      <c r="Q92" s="601">
        <f t="array" aca="1" ref="Q92" ca="1">SUM(F32:F39*Produção!$M$8:$M$15)</f>
        <v>0</v>
      </c>
      <c r="R92" s="601">
        <f t="array" aca="1" ref="R92" ca="1">SUM(G32:G39*Produção!$M$8:$M$15)</f>
        <v>0</v>
      </c>
      <c r="S92" s="601">
        <f t="array" aca="1" ref="S92" ca="1">SUM(H32:H39*Produção!$M$8:$M$15)</f>
        <v>0</v>
      </c>
      <c r="T92" s="601">
        <f t="array" aca="1" ref="T92" ca="1">SUM(I32:I39*Produção!$M$8:$M$15)</f>
        <v>0</v>
      </c>
      <c r="U92" s="601">
        <f t="array" aca="1" ref="U92" ca="1">SUM(J32:J39*Produção!$M$8:$M$15)</f>
        <v>0</v>
      </c>
      <c r="V92" s="601">
        <f t="array" aca="1" ref="V92" ca="1">SUM(K32:K39*Produção!$M$8:$M$15)</f>
        <v>0</v>
      </c>
      <c r="W92" s="601">
        <f t="array" aca="1" ref="W92" ca="1">SUM(L32:L39*Produção!$M$8:$M$15)</f>
        <v>0</v>
      </c>
      <c r="X92" s="601">
        <f t="array" aca="1" ref="X92" ca="1">SUM(M32:M39*Produção!$M$8:$M$15)</f>
        <v>0</v>
      </c>
      <c r="Y92" s="2007">
        <f t="array" aca="1" ref="Y92:Y103" ca="1">'Distr CV 1'!M92:M103</f>
        <v>0</v>
      </c>
    </row>
    <row r="93" spans="1:26" ht="15.75" customHeight="1">
      <c r="A93" s="1995" t="str">
        <f t="shared" si="9"/>
        <v>2 meses antes</v>
      </c>
      <c r="B93" s="1991"/>
      <c r="C93" s="1991"/>
      <c r="D93" s="1991"/>
      <c r="E93" s="1991"/>
      <c r="F93" s="1991"/>
      <c r="G93" s="1991"/>
      <c r="H93" s="1991"/>
      <c r="I93" s="1988"/>
      <c r="J93" s="1988"/>
      <c r="K93" s="1988"/>
      <c r="L93" s="601">
        <f t="array" aca="1" ref="L93" ca="1">SUM(B32:B39*Produção!$L$8:$L$15)</f>
        <v>0</v>
      </c>
      <c r="M93" s="601">
        <f t="array" aca="1" ref="M93" ca="1">SUM(C32:C39*Produção!$L$8:$L$15)</f>
        <v>0</v>
      </c>
      <c r="N93" s="601">
        <f t="array" aca="1" ref="N93" ca="1">SUM(D32:D39*Produção!$L$8:$L$15)</f>
        <v>0</v>
      </c>
      <c r="O93" s="601">
        <f t="array" aca="1" ref="O93" ca="1">SUM(E32:E39*Produção!$L$8:$L$15)</f>
        <v>0</v>
      </c>
      <c r="P93" s="601">
        <f t="array" aca="1" ref="P93" ca="1">SUM(F32:F39*Produção!$L$8:$L$15)</f>
        <v>0</v>
      </c>
      <c r="Q93" s="601">
        <f t="array" aca="1" ref="Q93" ca="1">SUM(G32:G39*Produção!$L$8:$L$15)</f>
        <v>0</v>
      </c>
      <c r="R93" s="601">
        <f t="array" aca="1" ref="R93" ca="1">SUM(H32:H39*Produção!$L$8:$L$15)</f>
        <v>0</v>
      </c>
      <c r="S93" s="601">
        <f t="array" aca="1" ref="S93" ca="1">SUM(I32:I39*Produção!$L$8:$L$15)</f>
        <v>0</v>
      </c>
      <c r="T93" s="601">
        <f t="array" aca="1" ref="T93" ca="1">SUM(J32:J39*Produção!$L$8:$L$15)</f>
        <v>0</v>
      </c>
      <c r="U93" s="601">
        <f t="array" aca="1" ref="U93" ca="1">SUM(K32:K39*Produção!$L$8:$L$15)</f>
        <v>0</v>
      </c>
      <c r="V93" s="601">
        <f t="array" aca="1" ref="V93" ca="1">SUM(L32:L39*Produção!$L$8:$L$15)</f>
        <v>0</v>
      </c>
      <c r="W93" s="601">
        <f t="array" aca="1" ref="W93" ca="1">SUM(M32:M39*Produção!$L$8:$L$15)</f>
        <v>0</v>
      </c>
      <c r="X93" s="1988">
        <f t="array" aca="1" ref="X93:X103" ca="1">'Distr CV 1'!L93:L103</f>
        <v>0</v>
      </c>
      <c r="Y93" s="2007">
        <f ca="1"/>
        <v>0</v>
      </c>
    </row>
    <row r="94" spans="1:26" ht="15.75" customHeight="1">
      <c r="A94" s="1995" t="str">
        <f t="shared" si="9"/>
        <v>3 meses antes</v>
      </c>
      <c r="B94" s="1991"/>
      <c r="C94" s="1991"/>
      <c r="D94" s="1991"/>
      <c r="E94" s="1991"/>
      <c r="F94" s="1991"/>
      <c r="G94" s="1991"/>
      <c r="H94" s="1991"/>
      <c r="I94" s="1988"/>
      <c r="J94" s="1988"/>
      <c r="K94" s="601">
        <f t="array" aca="1" ref="K94" ca="1">SUM(B32:B39*Produção!$K$8:$K$15)</f>
        <v>0</v>
      </c>
      <c r="L94" s="601">
        <f t="array" aca="1" ref="L94" ca="1">SUM(C32:C39*Produção!$K$8:$K$15)</f>
        <v>0</v>
      </c>
      <c r="M94" s="601">
        <f t="array" aca="1" ref="M94" ca="1">SUM(D32:D39*Produção!$K$8:$K$15)</f>
        <v>0</v>
      </c>
      <c r="N94" s="601">
        <f t="array" aca="1" ref="N94" ca="1">SUM(E32:E39*Produção!$K$8:$K$15)</f>
        <v>0</v>
      </c>
      <c r="O94" s="601">
        <f t="array" aca="1" ref="O94" ca="1">SUM(F32:F39*Produção!$K$8:$K$15)</f>
        <v>0</v>
      </c>
      <c r="P94" s="601">
        <f t="array" aca="1" ref="P94" ca="1">SUM(G32:G39*Produção!$K$8:$K$15)</f>
        <v>0</v>
      </c>
      <c r="Q94" s="601">
        <f t="array" aca="1" ref="Q94" ca="1">SUM(H32:H39*Produção!$K$8:$K$15)</f>
        <v>0</v>
      </c>
      <c r="R94" s="601">
        <f t="array" aca="1" ref="R94" ca="1">SUM(I32:I39*Produção!$K$8:$K$15)</f>
        <v>0</v>
      </c>
      <c r="S94" s="601">
        <f t="array" aca="1" ref="S94" ca="1">SUM(J32:J39*Produção!$K$8:$K$15)</f>
        <v>0</v>
      </c>
      <c r="T94" s="601">
        <f t="array" aca="1" ref="T94" ca="1">SUM(K32:K39*Produção!$K$8:$K$15)</f>
        <v>0</v>
      </c>
      <c r="U94" s="601">
        <f t="array" aca="1" ref="U94" ca="1">SUM(L32:L39*Produção!$K$8:$K$15)</f>
        <v>0</v>
      </c>
      <c r="V94" s="601">
        <f t="array" aca="1" ref="V94" ca="1">SUM(M32:M39*Produção!$K$8:$K$15)</f>
        <v>0</v>
      </c>
      <c r="W94" s="1988">
        <f t="array" aca="1" ref="W94:W103" ca="1">'Distr CV 1'!K94:K103</f>
        <v>0</v>
      </c>
      <c r="X94" s="1988">
        <f ca="1"/>
        <v>0</v>
      </c>
      <c r="Y94" s="2007">
        <f ca="1"/>
        <v>0</v>
      </c>
    </row>
    <row r="95" spans="1:26" ht="15.75" customHeight="1">
      <c r="A95" s="1995" t="str">
        <f t="shared" si="9"/>
        <v>4 meses antes</v>
      </c>
      <c r="B95" s="1991"/>
      <c r="C95" s="1991"/>
      <c r="D95" s="1991"/>
      <c r="E95" s="1991"/>
      <c r="F95" s="1991"/>
      <c r="G95" s="1991"/>
      <c r="H95" s="1991"/>
      <c r="I95" s="1988"/>
      <c r="J95" s="601">
        <f t="array" aca="1" ref="J95" ca="1">SUM(B32:B39*Produção!$J$8:$J$15)</f>
        <v>0</v>
      </c>
      <c r="K95" s="601">
        <f t="array" aca="1" ref="K95" ca="1">SUM(C32:C39*Produção!$J$8:$J$15)</f>
        <v>0</v>
      </c>
      <c r="L95" s="601">
        <f t="array" aca="1" ref="L95" ca="1">SUM(D32:D39*Produção!$J$8:$J$15)</f>
        <v>0</v>
      </c>
      <c r="M95" s="601">
        <f t="array" aca="1" ref="M95" ca="1">SUM(E32:E39*Produção!$J$8:$J$15)</f>
        <v>0</v>
      </c>
      <c r="N95" s="601">
        <f t="array" aca="1" ref="N95" ca="1">SUM(F32:F39*Produção!$J$8:$J$15)</f>
        <v>0</v>
      </c>
      <c r="O95" s="601">
        <f t="array" aca="1" ref="O95" ca="1">SUM(G32:G39*Produção!$J$8:$J$15)</f>
        <v>0</v>
      </c>
      <c r="P95" s="601">
        <f t="array" aca="1" ref="P95" ca="1">SUM(H32:H39*Produção!$J$8:$J$15)</f>
        <v>0</v>
      </c>
      <c r="Q95" s="601">
        <f t="array" aca="1" ref="Q95" ca="1">SUM(I32:I39*Produção!$J$8:$J$15)</f>
        <v>0</v>
      </c>
      <c r="R95" s="601">
        <f t="array" aca="1" ref="R95" ca="1">SUM(J32:J39*Produção!$J$8:$J$15)</f>
        <v>0</v>
      </c>
      <c r="S95" s="601">
        <f t="array" aca="1" ref="S95" ca="1">SUM(K32:K39*Produção!$J$8:$J$15)</f>
        <v>0</v>
      </c>
      <c r="T95" s="601">
        <f t="array" aca="1" ref="T95" ca="1">SUM(L32:L39*Produção!$J$8:$J$15)</f>
        <v>0</v>
      </c>
      <c r="U95" s="601">
        <f t="array" aca="1" ref="U95" ca="1">SUM(M32:M39*Produção!$J$8:$J$15)</f>
        <v>0</v>
      </c>
      <c r="V95" s="1988">
        <f t="array" aca="1" ref="V95:V103" ca="1">'Distr CV 1'!J95:J103</f>
        <v>0</v>
      </c>
      <c r="W95" s="1988">
        <f ca="1"/>
        <v>0</v>
      </c>
      <c r="X95" s="1988">
        <f ca="1"/>
        <v>0</v>
      </c>
      <c r="Y95" s="2007">
        <f ca="1"/>
        <v>0</v>
      </c>
    </row>
    <row r="96" spans="1:26" ht="15.75" customHeight="1">
      <c r="A96" s="1995" t="str">
        <f t="shared" si="9"/>
        <v>5 meses antes</v>
      </c>
      <c r="B96" s="1991"/>
      <c r="C96" s="1991"/>
      <c r="D96" s="1991"/>
      <c r="E96" s="1991"/>
      <c r="F96" s="1991"/>
      <c r="G96" s="1991"/>
      <c r="H96" s="1991"/>
      <c r="I96" s="601">
        <f t="array" aca="1" ref="I96" ca="1">SUM(B32:B39*Produção!$I$8:$I$15)</f>
        <v>0</v>
      </c>
      <c r="J96" s="601">
        <f t="array" aca="1" ref="J96" ca="1">SUM(C32:C39*Produção!$I$8:$I$15)</f>
        <v>0</v>
      </c>
      <c r="K96" s="601">
        <f t="array" aca="1" ref="K96" ca="1">SUM(D32:D39*Produção!$I$8:$I$15)</f>
        <v>0</v>
      </c>
      <c r="L96" s="601">
        <f t="array" aca="1" ref="L96" ca="1">SUM(E32:E39*Produção!$I$8:$I$15)</f>
        <v>0</v>
      </c>
      <c r="M96" s="601">
        <f t="array" aca="1" ref="M96" ca="1">SUM(F32:F39*Produção!$I$8:$I$15)</f>
        <v>0</v>
      </c>
      <c r="N96" s="601">
        <f t="array" aca="1" ref="N96" ca="1">SUM(G32:G39*Produção!$I$8:$I$15)</f>
        <v>0</v>
      </c>
      <c r="O96" s="601">
        <f t="array" aca="1" ref="O96" ca="1">SUM(H32:H39*Produção!$I$8:$I$15)</f>
        <v>0</v>
      </c>
      <c r="P96" s="601">
        <f t="array" aca="1" ref="P96" ca="1">SUM(I32:I39*Produção!$I$8:$I$15)</f>
        <v>0</v>
      </c>
      <c r="Q96" s="601">
        <f t="array" aca="1" ref="Q96" ca="1">SUM(J32:J39*Produção!$I$8:$I$15)</f>
        <v>0</v>
      </c>
      <c r="R96" s="601">
        <f t="array" aca="1" ref="R96" ca="1">SUM(K32:K39*Produção!$I$8:$I$15)</f>
        <v>0</v>
      </c>
      <c r="S96" s="601">
        <f t="array" aca="1" ref="S96" ca="1">SUM(L32:L39*Produção!$I$8:$I$15)</f>
        <v>0</v>
      </c>
      <c r="T96" s="601">
        <f t="array" aca="1" ref="T96" ca="1">SUM(M32:M39*Produção!$I$8:$I$15)</f>
        <v>0</v>
      </c>
      <c r="U96" s="1988">
        <f t="array" aca="1" ref="U96:U103" ca="1">'Distr CV 1'!I96:I103</f>
        <v>0</v>
      </c>
      <c r="V96" s="1988">
        <f ca="1"/>
        <v>0</v>
      </c>
      <c r="W96" s="1988">
        <f ca="1"/>
        <v>0</v>
      </c>
      <c r="X96" s="1988">
        <f ca="1"/>
        <v>0</v>
      </c>
      <c r="Y96" s="2007">
        <f ca="1"/>
        <v>0</v>
      </c>
    </row>
    <row r="97" spans="1:26" ht="15.75" customHeight="1">
      <c r="A97" s="1995" t="str">
        <f t="shared" si="9"/>
        <v>6 meses antes</v>
      </c>
      <c r="B97" s="1991"/>
      <c r="C97" s="1991"/>
      <c r="D97" s="1991"/>
      <c r="E97" s="1991"/>
      <c r="F97" s="1991"/>
      <c r="G97" s="1991"/>
      <c r="H97" s="601">
        <f t="array" aca="1" ref="H97" ca="1">SUM(B32:B39*Produção!$H$8:$H$15)</f>
        <v>0</v>
      </c>
      <c r="I97" s="601">
        <f t="array" aca="1" ref="I97" ca="1">SUM(C32:C39*Produção!$H$8:$H$15)</f>
        <v>0</v>
      </c>
      <c r="J97" s="601">
        <f t="array" aca="1" ref="J97" ca="1">SUM(D32:D39*Produção!$H$8:$H$15)</f>
        <v>0</v>
      </c>
      <c r="K97" s="601">
        <f t="array" aca="1" ref="K97" ca="1">SUM(E32:E39*Produção!$H$8:$H$15)</f>
        <v>0</v>
      </c>
      <c r="L97" s="601">
        <f t="array" aca="1" ref="L97" ca="1">SUM(F32:F39*Produção!$H$8:$H$15)</f>
        <v>0</v>
      </c>
      <c r="M97" s="601">
        <f t="array" aca="1" ref="M97" ca="1">SUM(G32:G39*Produção!$H$8:$H$15)</f>
        <v>0</v>
      </c>
      <c r="N97" s="601">
        <f t="array" aca="1" ref="N97" ca="1">SUM(H32:H39*Produção!$H$8:$H$15)</f>
        <v>0</v>
      </c>
      <c r="O97" s="601">
        <f t="array" aca="1" ref="O97" ca="1">SUM(I32:I39*Produção!$H$8:$H$15)</f>
        <v>0</v>
      </c>
      <c r="P97" s="601">
        <f t="array" aca="1" ref="P97" ca="1">SUM(J32:J39*Produção!$H$8:$H$15)</f>
        <v>0</v>
      </c>
      <c r="Q97" s="601">
        <f t="array" aca="1" ref="Q97" ca="1">SUM(K32:K39*Produção!$H$8:$H$15)</f>
        <v>0</v>
      </c>
      <c r="R97" s="601">
        <f t="array" aca="1" ref="R97" ca="1">SUM(L32:L39*Produção!$H$8:$H$15)</f>
        <v>0</v>
      </c>
      <c r="S97" s="601">
        <f t="array" aca="1" ref="S97" ca="1">SUM(M32:M39*Produção!$H$8:$H$15)</f>
        <v>0</v>
      </c>
      <c r="T97" s="1988">
        <f t="array" aca="1" ref="T97:T103" ca="1">'Distr CV 1'!H97:H103</f>
        <v>0</v>
      </c>
      <c r="U97" s="1988">
        <f ca="1"/>
        <v>0</v>
      </c>
      <c r="V97" s="1988">
        <f ca="1"/>
        <v>0</v>
      </c>
      <c r="W97" s="1988">
        <f ca="1"/>
        <v>0</v>
      </c>
      <c r="X97" s="1988">
        <f ca="1"/>
        <v>0</v>
      </c>
      <c r="Y97" s="2007">
        <f ca="1"/>
        <v>0</v>
      </c>
    </row>
    <row r="98" spans="1:26" ht="15.75" customHeight="1">
      <c r="A98" s="1995" t="str">
        <f t="shared" si="9"/>
        <v>7 meses antes</v>
      </c>
      <c r="B98" s="1991"/>
      <c r="C98" s="1991"/>
      <c r="D98" s="1991"/>
      <c r="E98" s="1991"/>
      <c r="F98" s="1991"/>
      <c r="G98" s="603">
        <f t="array" aca="1" ref="G98" ca="1">SUM(B32:B39*Produção!$G$8:$G$15)</f>
        <v>0</v>
      </c>
      <c r="H98" s="603">
        <f t="array" aca="1" ref="H98" ca="1">SUM(C32:C39*Produção!$G$8:$G$15)</f>
        <v>0</v>
      </c>
      <c r="I98" s="603">
        <f t="array" aca="1" ref="I98" ca="1">SUM(D32:D39*Produção!$G$8:$G$15)</f>
        <v>0</v>
      </c>
      <c r="J98" s="603">
        <f t="array" aca="1" ref="J98" ca="1">SUM(E32:E39*Produção!$G$8:$G$15)</f>
        <v>0</v>
      </c>
      <c r="K98" s="603">
        <f t="array" aca="1" ref="K98" ca="1">SUM(F32:F39*Produção!$G$8:$G$15)</f>
        <v>0</v>
      </c>
      <c r="L98" s="603">
        <f t="array" aca="1" ref="L98" ca="1">SUM(G32:G39*Produção!$G$8:$G$15)</f>
        <v>0</v>
      </c>
      <c r="M98" s="603">
        <f t="array" aca="1" ref="M98" ca="1">SUM(H32:H39*Produção!$G$8:$G$15)</f>
        <v>0</v>
      </c>
      <c r="N98" s="603">
        <f t="array" aca="1" ref="N98" ca="1">SUM(I32:I39*Produção!$G$8:$G$15)</f>
        <v>0</v>
      </c>
      <c r="O98" s="603">
        <f t="array" aca="1" ref="O98" ca="1">SUM(J32:J39*Produção!$G$8:$G$15)</f>
        <v>0</v>
      </c>
      <c r="P98" s="603">
        <f t="array" aca="1" ref="P98" ca="1">SUM(K32:K39*Produção!$G$8:$G$15)</f>
        <v>0</v>
      </c>
      <c r="Q98" s="603">
        <f t="array" aca="1" ref="Q98" ca="1">SUM(L32:L39*Produção!$G$8:$G$15)</f>
        <v>0</v>
      </c>
      <c r="R98" s="603">
        <f t="array" aca="1" ref="R98" ca="1">SUM(M32:M39*Produção!$G$8:$G$15)</f>
        <v>0</v>
      </c>
      <c r="S98" s="1992">
        <f t="array" aca="1" ref="S98:S103" ca="1">'Distr CV 1'!G98:G103</f>
        <v>0</v>
      </c>
      <c r="T98" s="1992">
        <f ca="1"/>
        <v>0</v>
      </c>
      <c r="U98" s="1992">
        <f ca="1"/>
        <v>0</v>
      </c>
      <c r="V98" s="1992">
        <f ca="1"/>
        <v>0</v>
      </c>
      <c r="W98" s="1992">
        <f ca="1"/>
        <v>0</v>
      </c>
      <c r="X98" s="1992">
        <f ca="1"/>
        <v>0</v>
      </c>
      <c r="Y98" s="2010">
        <f ca="1"/>
        <v>0</v>
      </c>
    </row>
    <row r="99" spans="1:26" ht="15.75" customHeight="1">
      <c r="A99" s="1995" t="str">
        <f t="shared" si="9"/>
        <v>8 meses antes</v>
      </c>
      <c r="B99" s="1991"/>
      <c r="C99" s="1991"/>
      <c r="D99" s="1991"/>
      <c r="E99" s="1991"/>
      <c r="F99" s="603">
        <f t="array" aca="1" ref="F99" ca="1">SUM(B32:B39*Produção!$F$8:$F$15)</f>
        <v>0</v>
      </c>
      <c r="G99" s="603">
        <f t="array" aca="1" ref="G99" ca="1">SUM(C32:C39*Produção!$F$8:$F$15)</f>
        <v>0</v>
      </c>
      <c r="H99" s="603">
        <f t="array" aca="1" ref="H99" ca="1">SUM(D32:D39*Produção!$F$8:$F$15)</f>
        <v>0</v>
      </c>
      <c r="I99" s="603">
        <f t="array" aca="1" ref="I99" ca="1">SUM(E32:E39*Produção!$F$8:$F$15)</f>
        <v>0</v>
      </c>
      <c r="J99" s="603">
        <f t="array" aca="1" ref="J99" ca="1">SUM(F32:F39*Produção!$F$8:$F$15)</f>
        <v>0</v>
      </c>
      <c r="K99" s="603">
        <f t="array" aca="1" ref="K99" ca="1">SUM(G32:G39*Produção!$F$8:$F$15)</f>
        <v>0</v>
      </c>
      <c r="L99" s="603">
        <f t="array" aca="1" ref="L99" ca="1">SUM(H32:H39*Produção!$F$8:$F$15)</f>
        <v>0</v>
      </c>
      <c r="M99" s="603">
        <f t="array" aca="1" ref="M99" ca="1">SUM(I32:I39*Produção!$F$8:$F$15)</f>
        <v>0</v>
      </c>
      <c r="N99" s="603">
        <f t="array" aca="1" ref="N99" ca="1">SUM(J32:J39*Produção!$F$8:$F$15)</f>
        <v>0</v>
      </c>
      <c r="O99" s="603">
        <f t="array" aca="1" ref="O99" ca="1">SUM(K32:K39*Produção!$F$8:$F$15)</f>
        <v>0</v>
      </c>
      <c r="P99" s="603">
        <f t="array" aca="1" ref="P99" ca="1">SUM(L32:L39*Produção!$F$8:$F$15)</f>
        <v>0</v>
      </c>
      <c r="Q99" s="603">
        <f t="array" aca="1" ref="Q99" ca="1">SUM(M32:M39*Produção!$F$8:$F$15)</f>
        <v>0</v>
      </c>
      <c r="R99" s="1992">
        <f t="array" aca="1" ref="R99:R103" ca="1">'Distr CV 1'!F99:F103</f>
        <v>0</v>
      </c>
      <c r="S99" s="1992">
        <f ca="1"/>
        <v>0</v>
      </c>
      <c r="T99" s="1992">
        <f ca="1"/>
        <v>0</v>
      </c>
      <c r="U99" s="1992">
        <f ca="1"/>
        <v>0</v>
      </c>
      <c r="V99" s="1992">
        <f ca="1"/>
        <v>0</v>
      </c>
      <c r="W99" s="1992">
        <f ca="1"/>
        <v>0</v>
      </c>
      <c r="X99" s="1992">
        <f ca="1"/>
        <v>0</v>
      </c>
      <c r="Y99" s="2010">
        <f ca="1"/>
        <v>0</v>
      </c>
    </row>
    <row r="100" spans="1:26" ht="15.75" customHeight="1">
      <c r="A100" s="1995" t="str">
        <f t="shared" si="9"/>
        <v>9 meses antes</v>
      </c>
      <c r="B100" s="1991"/>
      <c r="C100" s="1991"/>
      <c r="D100" s="1991"/>
      <c r="E100" s="603">
        <f t="array" aca="1" ref="E100" ca="1">SUM(B32:B39*Produção!$E$8:$E$15)</f>
        <v>0</v>
      </c>
      <c r="F100" s="603">
        <f t="array" aca="1" ref="F100" ca="1">SUM(C32:C39*Produção!$E$8:$E$15)</f>
        <v>0</v>
      </c>
      <c r="G100" s="603">
        <f t="array" aca="1" ref="G100" ca="1">SUM(D32:D39*Produção!$E$8:$E$15)</f>
        <v>0</v>
      </c>
      <c r="H100" s="603">
        <f t="array" aca="1" ref="H100" ca="1">SUM(E32:E39*Produção!$E$8:$E$15)</f>
        <v>0</v>
      </c>
      <c r="I100" s="603">
        <f t="array" aca="1" ref="I100" ca="1">SUM(F32:F39*Produção!$E$8:$E$15)</f>
        <v>0</v>
      </c>
      <c r="J100" s="603">
        <f t="array" aca="1" ref="J100" ca="1">SUM(G32:G39*Produção!$E$8:$E$15)</f>
        <v>0</v>
      </c>
      <c r="K100" s="603">
        <f t="array" aca="1" ref="K100" ca="1">SUM(H32:H39*Produção!$E$8:$E$15)</f>
        <v>0</v>
      </c>
      <c r="L100" s="603">
        <f t="array" aca="1" ref="L100" ca="1">SUM(I32:I39*Produção!$E$8:$E$15)</f>
        <v>0</v>
      </c>
      <c r="M100" s="603">
        <f t="array" aca="1" ref="M100" ca="1">SUM(J32:J39*Produção!$E$8:$E$15)</f>
        <v>0</v>
      </c>
      <c r="N100" s="603">
        <f t="array" aca="1" ref="N100" ca="1">SUM(K32:K39*Produção!$E$8:$E$15)</f>
        <v>0</v>
      </c>
      <c r="O100" s="603">
        <f t="array" aca="1" ref="O100" ca="1">SUM(L32:L39*Produção!$E$8:$E$15)</f>
        <v>0</v>
      </c>
      <c r="P100" s="603">
        <f t="array" aca="1" ref="P100" ca="1">SUM(M32:M39*Produção!$E$8:$E$15)</f>
        <v>0</v>
      </c>
      <c r="Q100" s="1992">
        <f t="array" aca="1" ref="Q100:Q103" ca="1">'Distr CV 1'!E100:F103</f>
        <v>0</v>
      </c>
      <c r="R100" s="1992">
        <f ca="1"/>
        <v>0</v>
      </c>
      <c r="S100" s="1992">
        <f ca="1"/>
        <v>0</v>
      </c>
      <c r="T100" s="1992">
        <f ca="1"/>
        <v>0</v>
      </c>
      <c r="U100" s="1992">
        <f ca="1"/>
        <v>0</v>
      </c>
      <c r="V100" s="1992">
        <f ca="1"/>
        <v>0</v>
      </c>
      <c r="W100" s="1992">
        <f ca="1"/>
        <v>0</v>
      </c>
      <c r="X100" s="1992">
        <f ca="1"/>
        <v>0</v>
      </c>
      <c r="Y100" s="2010">
        <f ca="1"/>
        <v>0</v>
      </c>
    </row>
    <row r="101" spans="1:26" ht="15.75" customHeight="1">
      <c r="A101" s="1995" t="str">
        <f t="shared" si="9"/>
        <v>10 meses antes</v>
      </c>
      <c r="B101" s="1991"/>
      <c r="C101" s="1991"/>
      <c r="D101" s="602">
        <f t="array" aca="1" ref="D101" ca="1">SUM(B32:B39*Produção!$D$8:$D$15)</f>
        <v>0</v>
      </c>
      <c r="E101" s="602">
        <f t="array" aca="1" ref="E101" ca="1">SUM(C32:C39*Produção!$D$8:$D$15)</f>
        <v>0</v>
      </c>
      <c r="F101" s="602">
        <f t="array" aca="1" ref="F101" ca="1">SUM(D32:D39*Produção!$D$8:$D$15)</f>
        <v>0</v>
      </c>
      <c r="G101" s="602">
        <f t="array" aca="1" ref="G101" ca="1">SUM(E32:E39*Produção!$D$8:$D$15)</f>
        <v>0</v>
      </c>
      <c r="H101" s="602">
        <f t="array" aca="1" ref="H101" ca="1">SUM(F32:F39*Produção!$D$8:$D$15)</f>
        <v>0</v>
      </c>
      <c r="I101" s="602">
        <f t="array" aca="1" ref="I101" ca="1">SUM(G32:G39*Produção!$D$8:$D$15)</f>
        <v>0</v>
      </c>
      <c r="J101" s="602">
        <f t="array" aca="1" ref="J101" ca="1">SUM(H32:H39*Produção!$D$8:$D$15)</f>
        <v>0</v>
      </c>
      <c r="K101" s="602">
        <f t="array" aca="1" ref="K101" ca="1">SUM(I32:I39*Produção!$D$8:$D$15)</f>
        <v>0</v>
      </c>
      <c r="L101" s="602">
        <f t="array" aca="1" ref="L101" ca="1">SUM(J32:J39*Produção!$D$8:$D$15)</f>
        <v>0</v>
      </c>
      <c r="M101" s="602">
        <f t="array" aca="1" ref="M101" ca="1">SUM(K32:K39*Produção!$D$8:$D$15)</f>
        <v>0</v>
      </c>
      <c r="N101" s="602">
        <f t="array" aca="1" ref="N101" ca="1">SUM(L32:L39*Produção!$D$8:$D$15)</f>
        <v>0</v>
      </c>
      <c r="O101" s="602">
        <f t="array" aca="1" ref="O101" ca="1">SUM(M32:M39*Produção!$D$8:$D$15)</f>
        <v>0</v>
      </c>
      <c r="P101" s="1992">
        <f t="array" aca="1" ref="P101:P103" ca="1">'Distr CV 1'!D101:D103</f>
        <v>0</v>
      </c>
      <c r="Q101" s="1992">
        <f ca="1"/>
        <v>0</v>
      </c>
      <c r="R101" s="1992">
        <f ca="1"/>
        <v>0</v>
      </c>
      <c r="S101" s="1992">
        <f ca="1"/>
        <v>0</v>
      </c>
      <c r="T101" s="1992">
        <f ca="1"/>
        <v>0</v>
      </c>
      <c r="U101" s="1992">
        <f ca="1"/>
        <v>0</v>
      </c>
      <c r="V101" s="1992">
        <f ca="1"/>
        <v>0</v>
      </c>
      <c r="W101" s="1992">
        <f ca="1"/>
        <v>0</v>
      </c>
      <c r="X101" s="1992">
        <f ca="1"/>
        <v>0</v>
      </c>
      <c r="Y101" s="2010">
        <f ca="1"/>
        <v>0</v>
      </c>
    </row>
    <row r="102" spans="1:26" ht="15.75" customHeight="1">
      <c r="A102" s="1995" t="str">
        <f t="shared" si="9"/>
        <v>11 meses antes</v>
      </c>
      <c r="B102" s="1991"/>
      <c r="C102" s="603">
        <f t="array" aca="1" ref="C102" ca="1">SUM(B32:B39*Produção!$C$8:$C$15)</f>
        <v>0</v>
      </c>
      <c r="D102" s="603">
        <f t="array" aca="1" ref="D102" ca="1">SUM(C32:C39*Produção!$C$8:$C$15)</f>
        <v>0</v>
      </c>
      <c r="E102" s="603">
        <f t="array" aca="1" ref="E102" ca="1">SUM(D32:D39*Produção!$C$8:$C$15)</f>
        <v>0</v>
      </c>
      <c r="F102" s="603">
        <f t="array" aca="1" ref="F102" ca="1">SUM(E32:E39*Produção!$C$8:$C$15)</f>
        <v>0</v>
      </c>
      <c r="G102" s="603">
        <f t="array" aca="1" ref="G102" ca="1">SUM(F32:F39*Produção!$C$8:$C$15)</f>
        <v>0</v>
      </c>
      <c r="H102" s="603">
        <f t="array" aca="1" ref="H102" ca="1">SUM(G32:G39*Produção!$C$8:$C$15)</f>
        <v>0</v>
      </c>
      <c r="I102" s="603">
        <f t="array" aca="1" ref="I102" ca="1">SUM(H32:H39*Produção!$C$8:$C$15)</f>
        <v>0</v>
      </c>
      <c r="J102" s="603">
        <f t="array" aca="1" ref="J102" ca="1">SUM(I32:I39*Produção!$C$8:$C$15)</f>
        <v>0</v>
      </c>
      <c r="K102" s="603">
        <f t="array" aca="1" ref="K102" ca="1">SUM(J32:J39*Produção!$C$8:$C$15)</f>
        <v>0</v>
      </c>
      <c r="L102" s="603">
        <f t="array" aca="1" ref="L102" ca="1">SUM(K32:K39*Produção!$C$8:$C$15)</f>
        <v>0</v>
      </c>
      <c r="M102" s="603">
        <f t="array" aca="1" ref="M102" ca="1">SUM(L32:L39*Produção!$C$8:$C$15)</f>
        <v>0</v>
      </c>
      <c r="N102" s="603">
        <f t="array" aca="1" ref="N102" ca="1">SUM(M32:M39*Produção!$C$8:$C$15)</f>
        <v>0</v>
      </c>
      <c r="O102" s="1992">
        <f t="array" aca="1" ref="O102:O103" ca="1">'Distr CV 1'!C102:C103</f>
        <v>0</v>
      </c>
      <c r="P102" s="1992">
        <f ca="1"/>
        <v>0</v>
      </c>
      <c r="Q102" s="1992">
        <f ca="1"/>
        <v>0</v>
      </c>
      <c r="R102" s="1992">
        <f ca="1"/>
        <v>0</v>
      </c>
      <c r="S102" s="1992">
        <f ca="1"/>
        <v>0</v>
      </c>
      <c r="T102" s="1992">
        <f ca="1"/>
        <v>0</v>
      </c>
      <c r="U102" s="1992">
        <f ca="1"/>
        <v>0</v>
      </c>
      <c r="V102" s="1992">
        <f ca="1"/>
        <v>0</v>
      </c>
      <c r="W102" s="1992">
        <f ca="1"/>
        <v>0</v>
      </c>
      <c r="X102" s="1992">
        <f ca="1"/>
        <v>0</v>
      </c>
      <c r="Y102" s="2010">
        <f ca="1"/>
        <v>0</v>
      </c>
    </row>
    <row r="103" spans="1:26" ht="15.75" customHeight="1" thickBot="1">
      <c r="A103" s="1995" t="str">
        <f t="shared" si="9"/>
        <v>12 meses antes</v>
      </c>
      <c r="B103" s="603">
        <f t="array" aca="1" ref="B103" ca="1">SUM(B32:B39*Produção!$B$8:$B$15)</f>
        <v>0</v>
      </c>
      <c r="C103" s="603">
        <f t="array" aca="1" ref="C103" ca="1">SUM(C32:C39*Produção!$B$8:$B$15)</f>
        <v>0</v>
      </c>
      <c r="D103" s="603">
        <f t="array" aca="1" ref="D103" ca="1">SUM(D32:D39*Produção!$B$8:$B$15)</f>
        <v>0</v>
      </c>
      <c r="E103" s="603">
        <f t="array" aca="1" ref="E103" ca="1">SUM(E32:E39*Produção!$B$8:$B$15)</f>
        <v>0</v>
      </c>
      <c r="F103" s="603">
        <f t="array" aca="1" ref="F103" ca="1">SUM(F32:F39*Produção!$B$8:$B$15)</f>
        <v>0</v>
      </c>
      <c r="G103" s="603">
        <f t="array" aca="1" ref="G103" ca="1">SUM(G32:G39*Produção!$B$8:$B$15)</f>
        <v>0</v>
      </c>
      <c r="H103" s="603">
        <f t="array" aca="1" ref="H103" ca="1">SUM(H32:H39*Produção!$B$8:$B$15)</f>
        <v>0</v>
      </c>
      <c r="I103" s="603">
        <f t="array" aca="1" ref="I103" ca="1">SUM(I32:I39*Produção!$B$8:$B$15)</f>
        <v>0</v>
      </c>
      <c r="J103" s="603">
        <f t="array" aca="1" ref="J103" ca="1">SUM(J32:J39*Produção!$B$8:$B$15)</f>
        <v>0</v>
      </c>
      <c r="K103" s="603">
        <f t="array" aca="1" ref="K103" ca="1">SUM(K32:K39*Produção!$B$8:$B$15)</f>
        <v>0</v>
      </c>
      <c r="L103" s="603">
        <f t="array" aca="1" ref="L103" ca="1">SUM(L32:L39*Produção!$B$8:$B$15)</f>
        <v>0</v>
      </c>
      <c r="M103" s="603">
        <f t="array" aca="1" ref="M103" ca="1">SUM(M32:M39*Produção!$B$8:$B$15)</f>
        <v>0</v>
      </c>
      <c r="N103" s="1992">
        <f ca="1">'Distr CV 1'!B103</f>
        <v>0</v>
      </c>
      <c r="O103" s="1992">
        <f ca="1"/>
        <v>0</v>
      </c>
      <c r="P103" s="1992">
        <f ca="1"/>
        <v>0</v>
      </c>
      <c r="Q103" s="1992">
        <f ca="1"/>
        <v>0</v>
      </c>
      <c r="R103" s="1992">
        <f ca="1"/>
        <v>0</v>
      </c>
      <c r="S103" s="1992">
        <f ca="1"/>
        <v>0</v>
      </c>
      <c r="T103" s="1992">
        <f ca="1"/>
        <v>0</v>
      </c>
      <c r="U103" s="1992">
        <f ca="1"/>
        <v>0</v>
      </c>
      <c r="V103" s="1992">
        <f ca="1"/>
        <v>0</v>
      </c>
      <c r="W103" s="1992">
        <f ca="1"/>
        <v>0</v>
      </c>
      <c r="X103" s="1992">
        <f ca="1"/>
        <v>0</v>
      </c>
      <c r="Y103" s="2010">
        <f ca="1"/>
        <v>0</v>
      </c>
    </row>
    <row r="104" spans="1:26" ht="15.75" customHeight="1" thickBot="1">
      <c r="A104" s="105" t="str">
        <f>A$28</f>
        <v>Totais</v>
      </c>
      <c r="B104" s="607">
        <f t="shared" ref="B104:Y104" ca="1" si="10">SUM(B91:B103)</f>
        <v>0</v>
      </c>
      <c r="C104" s="607">
        <f t="shared" ca="1" si="10"/>
        <v>0</v>
      </c>
      <c r="D104" s="607">
        <f t="shared" ca="1" si="10"/>
        <v>0</v>
      </c>
      <c r="E104" s="607">
        <f t="shared" ca="1" si="10"/>
        <v>0</v>
      </c>
      <c r="F104" s="607">
        <f t="shared" ca="1" si="10"/>
        <v>0</v>
      </c>
      <c r="G104" s="607">
        <f t="shared" ca="1" si="10"/>
        <v>0</v>
      </c>
      <c r="H104" s="607">
        <f t="shared" ca="1" si="10"/>
        <v>0</v>
      </c>
      <c r="I104" s="607">
        <f t="shared" ca="1" si="10"/>
        <v>0</v>
      </c>
      <c r="J104" s="607">
        <f t="shared" ca="1" si="10"/>
        <v>0</v>
      </c>
      <c r="K104" s="607">
        <f t="shared" ca="1" si="10"/>
        <v>0</v>
      </c>
      <c r="L104" s="607">
        <f t="shared" ca="1" si="10"/>
        <v>0</v>
      </c>
      <c r="M104" s="607">
        <f t="shared" ca="1" si="10"/>
        <v>0</v>
      </c>
      <c r="N104" s="607">
        <f t="shared" ca="1" si="10"/>
        <v>5.8800000000000008</v>
      </c>
      <c r="O104" s="607">
        <f t="shared" ca="1" si="10"/>
        <v>8.0181818181818194</v>
      </c>
      <c r="P104" s="607">
        <f t="shared" ca="1" si="10"/>
        <v>10.156363636363638</v>
      </c>
      <c r="Q104" s="607">
        <f t="shared" ca="1" si="10"/>
        <v>12.294545454545457</v>
      </c>
      <c r="R104" s="607">
        <f t="shared" ca="1" si="10"/>
        <v>14.432727272727274</v>
      </c>
      <c r="S104" s="607">
        <f t="shared" ca="1" si="10"/>
        <v>16.570909090909094</v>
      </c>
      <c r="T104" s="607">
        <f t="shared" ca="1" si="10"/>
        <v>18.709090909090911</v>
      </c>
      <c r="U104" s="607">
        <f t="shared" ca="1" si="10"/>
        <v>20.847272727272724</v>
      </c>
      <c r="V104" s="607">
        <f t="shared" ca="1" si="10"/>
        <v>22.985454545454548</v>
      </c>
      <c r="W104" s="607">
        <f t="shared" ca="1" si="10"/>
        <v>25.123636363636365</v>
      </c>
      <c r="X104" s="607">
        <f t="shared" ca="1" si="10"/>
        <v>27.261818181818185</v>
      </c>
      <c r="Y104" s="2008">
        <f t="shared" ca="1" si="10"/>
        <v>29.4</v>
      </c>
    </row>
    <row r="106" spans="1:26">
      <c r="A106" s="1011" t="str">
        <f>'Dados Básicos'!A28&amp;" do pendente anterior"</f>
        <v>IVA do pendente anterior</v>
      </c>
      <c r="B106" s="62">
        <f ca="1">SUM(OFFSET(B104,0,0,1,12+mes0-1))</f>
        <v>0</v>
      </c>
    </row>
    <row r="108" spans="1:26">
      <c r="B108" s="62"/>
      <c r="F108" s="62" t="s">
        <v>753</v>
      </c>
      <c r="K108" s="62" t="s">
        <v>752</v>
      </c>
    </row>
    <row r="109" spans="1:26" ht="18.75" thickBot="1">
      <c r="A109" s="1993" t="str">
        <f>"Compras / custos de produção por meses de "&amp;A$8</f>
        <v>Compras / custos de produção por meses de produto 1</v>
      </c>
      <c r="I109" s="1993" t="str">
        <f>'Dados Básicos'!A28&amp;" NO incluido"</f>
        <v>IVA NO incluido</v>
      </c>
      <c r="K109" s="2005">
        <f>Parametros!$F$24</f>
        <v>0.21</v>
      </c>
    </row>
    <row r="110" spans="1:26" s="456" customFormat="1" ht="30" customHeight="1" thickBot="1">
      <c r="A110" s="457" t="s">
        <v>751</v>
      </c>
      <c r="B110" s="2011" t="str">
        <f t="array" ref="B110:Y110">B$71:Y$71</f>
        <v>janeiro
2025</v>
      </c>
      <c r="C110" s="2011" t="str">
        <v>fevereiro
2025</v>
      </c>
      <c r="D110" s="2011" t="str">
        <v>março
2025</v>
      </c>
      <c r="E110" s="2011" t="str">
        <v>abril
2025</v>
      </c>
      <c r="F110" s="2011" t="str">
        <v>maio
2025</v>
      </c>
      <c r="G110" s="2011" t="str">
        <v>junho
2025</v>
      </c>
      <c r="H110" s="2011" t="str">
        <v>julho
2025</v>
      </c>
      <c r="I110" s="2011" t="str">
        <v>agosto
2025</v>
      </c>
      <c r="J110" s="2011" t="str">
        <v>setembro
2025</v>
      </c>
      <c r="K110" s="2011" t="str">
        <v>outubro
2025</v>
      </c>
      <c r="L110" s="2011" t="str">
        <v>novembro
2025</v>
      </c>
      <c r="M110" s="2011" t="str">
        <v>dezembro
2025</v>
      </c>
      <c r="N110" s="2734" t="str">
        <v>janeiro 
2026</v>
      </c>
      <c r="O110" s="2735" t="str">
        <v>fevereiro 
2026</v>
      </c>
      <c r="P110" s="2735" t="str">
        <v>março 
2026</v>
      </c>
      <c r="Q110" s="2735" t="str">
        <v>abril 
2026</v>
      </c>
      <c r="R110" s="2735" t="str">
        <v>maio 
2026</v>
      </c>
      <c r="S110" s="2735" t="str">
        <v>junho 
2026</v>
      </c>
      <c r="T110" s="2735" t="str">
        <v>julho 
2026</v>
      </c>
      <c r="U110" s="2735" t="str">
        <v>agosto 
2026</v>
      </c>
      <c r="V110" s="2735" t="str">
        <v>setembro 
2026</v>
      </c>
      <c r="W110" s="2735" t="str">
        <v>outubro 
2026</v>
      </c>
      <c r="X110" s="2735" t="str">
        <v>novembro 
2026</v>
      </c>
      <c r="Y110" s="2736" t="str">
        <v>dezembro 
2026</v>
      </c>
      <c r="Z110" s="62"/>
    </row>
    <row r="111" spans="1:26">
      <c r="A111" s="1994" t="str">
        <f>A$72</f>
        <v>mesmo mes</v>
      </c>
      <c r="B111" s="1991"/>
      <c r="C111" s="1991"/>
      <c r="D111" s="1991"/>
      <c r="E111" s="1991"/>
      <c r="F111" s="1991"/>
      <c r="G111" s="1991"/>
      <c r="H111" s="1991"/>
      <c r="I111" s="1991"/>
      <c r="J111" s="1991"/>
      <c r="K111" s="1991"/>
      <c r="L111" s="1991"/>
      <c r="M111" s="1991"/>
      <c r="N111" s="603">
        <f t="array" aca="1" ref="N111:Y111" ca="1">B$20:M20*Produção!$N$8</f>
        <v>28.000000000000004</v>
      </c>
      <c r="O111" s="603">
        <f ca="1"/>
        <v>38.181818181818187</v>
      </c>
      <c r="P111" s="603">
        <f ca="1"/>
        <v>48.363636363636374</v>
      </c>
      <c r="Q111" s="603">
        <f ca="1"/>
        <v>58.545454545454554</v>
      </c>
      <c r="R111" s="603">
        <f ca="1"/>
        <v>68.727272727272734</v>
      </c>
      <c r="S111" s="603">
        <f ca="1"/>
        <v>78.909090909090921</v>
      </c>
      <c r="T111" s="603">
        <f ca="1"/>
        <v>89.090909090909108</v>
      </c>
      <c r="U111" s="603">
        <f ca="1"/>
        <v>99.272727272727266</v>
      </c>
      <c r="V111" s="603">
        <f ca="1"/>
        <v>109.45454545454547</v>
      </c>
      <c r="W111" s="603">
        <f ca="1"/>
        <v>119.63636363636364</v>
      </c>
      <c r="X111" s="603">
        <f ca="1"/>
        <v>129.81818181818184</v>
      </c>
      <c r="Y111" s="2006">
        <f ca="1"/>
        <v>140</v>
      </c>
    </row>
    <row r="112" spans="1:26">
      <c r="A112" s="1995" t="str">
        <f>A$73</f>
        <v>1 mes antes</v>
      </c>
      <c r="B112" s="1991"/>
      <c r="C112" s="1991"/>
      <c r="D112" s="1991"/>
      <c r="E112" s="1991"/>
      <c r="F112" s="1991"/>
      <c r="G112" s="1991"/>
      <c r="H112" s="1991"/>
      <c r="I112" s="1991"/>
      <c r="J112" s="1991"/>
      <c r="K112" s="1991"/>
      <c r="L112" s="1991"/>
      <c r="M112" s="603">
        <f t="array" aca="1" ref="M112:X112" ca="1">B$20:M20*Produção!$M$8</f>
        <v>0</v>
      </c>
      <c r="N112" s="603">
        <f ca="1"/>
        <v>0</v>
      </c>
      <c r="O112" s="603">
        <f ca="1"/>
        <v>0</v>
      </c>
      <c r="P112" s="603">
        <f ca="1"/>
        <v>0</v>
      </c>
      <c r="Q112" s="603">
        <f ca="1"/>
        <v>0</v>
      </c>
      <c r="R112" s="603">
        <f ca="1"/>
        <v>0</v>
      </c>
      <c r="S112" s="603">
        <f ca="1"/>
        <v>0</v>
      </c>
      <c r="T112" s="603">
        <f ca="1"/>
        <v>0</v>
      </c>
      <c r="U112" s="603">
        <f ca="1"/>
        <v>0</v>
      </c>
      <c r="V112" s="603">
        <f ca="1"/>
        <v>0</v>
      </c>
      <c r="W112" s="603">
        <f ca="1"/>
        <v>0</v>
      </c>
      <c r="X112" s="603">
        <f ca="1"/>
        <v>0</v>
      </c>
      <c r="Y112" s="2007">
        <f t="array" aca="1" ref="Y112:Y123" ca="1">'Distr CV 1'!M112:M123</f>
        <v>0</v>
      </c>
    </row>
    <row r="113" spans="1:26">
      <c r="A113" s="1995" t="str">
        <f>A$74</f>
        <v>2 meses antes</v>
      </c>
      <c r="B113" s="1991"/>
      <c r="C113" s="1991"/>
      <c r="D113" s="1991"/>
      <c r="E113" s="1991"/>
      <c r="F113" s="1991"/>
      <c r="G113" s="1991"/>
      <c r="H113" s="1991"/>
      <c r="I113" s="1991"/>
      <c r="J113" s="1991"/>
      <c r="K113" s="1991"/>
      <c r="L113" s="603">
        <f t="array" aca="1" ref="L113:W113" ca="1">B$20:M20*Produção!$L$8</f>
        <v>0</v>
      </c>
      <c r="M113" s="603">
        <f ca="1"/>
        <v>0</v>
      </c>
      <c r="N113" s="603">
        <f ca="1"/>
        <v>0</v>
      </c>
      <c r="O113" s="603">
        <f ca="1"/>
        <v>0</v>
      </c>
      <c r="P113" s="603">
        <f ca="1"/>
        <v>0</v>
      </c>
      <c r="Q113" s="603">
        <f ca="1"/>
        <v>0</v>
      </c>
      <c r="R113" s="603">
        <f ca="1"/>
        <v>0</v>
      </c>
      <c r="S113" s="603">
        <f ca="1"/>
        <v>0</v>
      </c>
      <c r="T113" s="603">
        <f ca="1"/>
        <v>0</v>
      </c>
      <c r="U113" s="603">
        <f ca="1"/>
        <v>0</v>
      </c>
      <c r="V113" s="603">
        <f ca="1"/>
        <v>0</v>
      </c>
      <c r="W113" s="603">
        <f ca="1"/>
        <v>0</v>
      </c>
      <c r="X113" s="1988">
        <f t="array" aca="1" ref="X113:X123" ca="1">'Distr CV 1'!L113:L123</f>
        <v>0</v>
      </c>
      <c r="Y113" s="2007">
        <f ca="1"/>
        <v>0</v>
      </c>
    </row>
    <row r="114" spans="1:26">
      <c r="A114" s="1995" t="str">
        <f>A$75</f>
        <v>3 meses antes</v>
      </c>
      <c r="B114" s="1991"/>
      <c r="C114" s="1991"/>
      <c r="D114" s="1991"/>
      <c r="E114" s="1991"/>
      <c r="F114" s="1991"/>
      <c r="G114" s="1991"/>
      <c r="H114" s="1991"/>
      <c r="I114" s="1991"/>
      <c r="J114" s="1991"/>
      <c r="K114" s="603">
        <f t="array" aca="1" ref="K114:V114" ca="1">B$20:M20*Produção!$K$8</f>
        <v>0</v>
      </c>
      <c r="L114" s="603">
        <f ca="1"/>
        <v>0</v>
      </c>
      <c r="M114" s="603">
        <f ca="1"/>
        <v>0</v>
      </c>
      <c r="N114" s="603">
        <f ca="1"/>
        <v>0</v>
      </c>
      <c r="O114" s="603">
        <f ca="1"/>
        <v>0</v>
      </c>
      <c r="P114" s="603">
        <f ca="1"/>
        <v>0</v>
      </c>
      <c r="Q114" s="603">
        <f ca="1"/>
        <v>0</v>
      </c>
      <c r="R114" s="603">
        <f ca="1"/>
        <v>0</v>
      </c>
      <c r="S114" s="603">
        <f ca="1"/>
        <v>0</v>
      </c>
      <c r="T114" s="603">
        <f ca="1"/>
        <v>0</v>
      </c>
      <c r="U114" s="603">
        <f ca="1"/>
        <v>0</v>
      </c>
      <c r="V114" s="603">
        <f ca="1"/>
        <v>0</v>
      </c>
      <c r="W114" s="1988">
        <f t="array" aca="1" ref="W114:W123" ca="1">'Distr CV 1'!K114:K123</f>
        <v>0</v>
      </c>
      <c r="X114" s="1988">
        <f ca="1"/>
        <v>0</v>
      </c>
      <c r="Y114" s="2007">
        <f ca="1"/>
        <v>0</v>
      </c>
    </row>
    <row r="115" spans="1:26">
      <c r="A115" s="1995" t="str">
        <f>A$76</f>
        <v>4 meses antes</v>
      </c>
      <c r="B115" s="1991"/>
      <c r="C115" s="1991"/>
      <c r="D115" s="1991"/>
      <c r="E115" s="1991"/>
      <c r="F115" s="1991"/>
      <c r="G115" s="1991"/>
      <c r="H115" s="1991"/>
      <c r="I115" s="1991"/>
      <c r="J115" s="603">
        <f t="array" aca="1" ref="J115:U115" ca="1">B$20:M20*Produção!$J$8</f>
        <v>0</v>
      </c>
      <c r="K115" s="603">
        <f ca="1"/>
        <v>0</v>
      </c>
      <c r="L115" s="603">
        <f ca="1"/>
        <v>0</v>
      </c>
      <c r="M115" s="603">
        <f ca="1"/>
        <v>0</v>
      </c>
      <c r="N115" s="603">
        <f ca="1"/>
        <v>0</v>
      </c>
      <c r="O115" s="603">
        <f ca="1"/>
        <v>0</v>
      </c>
      <c r="P115" s="603">
        <f ca="1"/>
        <v>0</v>
      </c>
      <c r="Q115" s="603">
        <f ca="1"/>
        <v>0</v>
      </c>
      <c r="R115" s="603">
        <f ca="1"/>
        <v>0</v>
      </c>
      <c r="S115" s="603">
        <f ca="1"/>
        <v>0</v>
      </c>
      <c r="T115" s="603">
        <f ca="1"/>
        <v>0</v>
      </c>
      <c r="U115" s="603">
        <f ca="1"/>
        <v>0</v>
      </c>
      <c r="V115" s="1988">
        <f t="array" aca="1" ref="V115:V123" ca="1">'Distr CV 1'!J115:J123</f>
        <v>0</v>
      </c>
      <c r="W115" s="1988">
        <f ca="1"/>
        <v>0</v>
      </c>
      <c r="X115" s="1988">
        <f ca="1"/>
        <v>0</v>
      </c>
      <c r="Y115" s="2007">
        <f ca="1"/>
        <v>0</v>
      </c>
    </row>
    <row r="116" spans="1:26">
      <c r="A116" s="1995" t="str">
        <f>A$77</f>
        <v>5 meses antes</v>
      </c>
      <c r="B116" s="1991"/>
      <c r="C116" s="1991"/>
      <c r="D116" s="1991"/>
      <c r="E116" s="1991"/>
      <c r="F116" s="1991"/>
      <c r="G116" s="1991"/>
      <c r="H116" s="1991"/>
      <c r="I116" s="603">
        <f t="array" aca="1" ref="I116:T116" ca="1">B$20:M20*Produção!$I$8</f>
        <v>0</v>
      </c>
      <c r="J116" s="603">
        <f ca="1"/>
        <v>0</v>
      </c>
      <c r="K116" s="603">
        <f ca="1"/>
        <v>0</v>
      </c>
      <c r="L116" s="603">
        <f ca="1"/>
        <v>0</v>
      </c>
      <c r="M116" s="603">
        <f ca="1"/>
        <v>0</v>
      </c>
      <c r="N116" s="603">
        <f ca="1"/>
        <v>0</v>
      </c>
      <c r="O116" s="603">
        <f ca="1"/>
        <v>0</v>
      </c>
      <c r="P116" s="603">
        <f ca="1"/>
        <v>0</v>
      </c>
      <c r="Q116" s="603">
        <f ca="1"/>
        <v>0</v>
      </c>
      <c r="R116" s="603">
        <f ca="1"/>
        <v>0</v>
      </c>
      <c r="S116" s="603">
        <f ca="1"/>
        <v>0</v>
      </c>
      <c r="T116" s="603">
        <f ca="1"/>
        <v>0</v>
      </c>
      <c r="U116" s="1988">
        <f t="array" aca="1" ref="U116:U123" ca="1">'Distr CV 1'!I116:I123</f>
        <v>0</v>
      </c>
      <c r="V116" s="1988">
        <f ca="1"/>
        <v>0</v>
      </c>
      <c r="W116" s="1988">
        <f ca="1"/>
        <v>0</v>
      </c>
      <c r="X116" s="1988">
        <f ca="1"/>
        <v>0</v>
      </c>
      <c r="Y116" s="2007">
        <f ca="1"/>
        <v>0</v>
      </c>
    </row>
    <row r="117" spans="1:26">
      <c r="A117" s="1995" t="str">
        <f>A$78</f>
        <v>6 meses antes</v>
      </c>
      <c r="B117" s="1991"/>
      <c r="C117" s="1991"/>
      <c r="D117" s="1991"/>
      <c r="E117" s="1991"/>
      <c r="F117" s="1991"/>
      <c r="G117" s="1991"/>
      <c r="H117" s="603">
        <f t="array" aca="1" ref="H117:S117" ca="1">B$20:M20*Produção!$H$8</f>
        <v>0</v>
      </c>
      <c r="I117" s="603">
        <f ca="1"/>
        <v>0</v>
      </c>
      <c r="J117" s="603">
        <f ca="1"/>
        <v>0</v>
      </c>
      <c r="K117" s="603">
        <f ca="1"/>
        <v>0</v>
      </c>
      <c r="L117" s="603">
        <f ca="1"/>
        <v>0</v>
      </c>
      <c r="M117" s="603">
        <f ca="1"/>
        <v>0</v>
      </c>
      <c r="N117" s="603">
        <f ca="1"/>
        <v>0</v>
      </c>
      <c r="O117" s="603">
        <f ca="1"/>
        <v>0</v>
      </c>
      <c r="P117" s="603">
        <f ca="1"/>
        <v>0</v>
      </c>
      <c r="Q117" s="603">
        <f ca="1"/>
        <v>0</v>
      </c>
      <c r="R117" s="603">
        <f ca="1"/>
        <v>0</v>
      </c>
      <c r="S117" s="603">
        <f ca="1"/>
        <v>0</v>
      </c>
      <c r="T117" s="1988">
        <f t="array" aca="1" ref="T117:T123" ca="1">'Distr CV 1'!H117:H123</f>
        <v>0</v>
      </c>
      <c r="U117" s="1988">
        <f ca="1"/>
        <v>0</v>
      </c>
      <c r="V117" s="1988">
        <f ca="1"/>
        <v>0</v>
      </c>
      <c r="W117" s="1988">
        <f ca="1"/>
        <v>0</v>
      </c>
      <c r="X117" s="1988">
        <f ca="1"/>
        <v>0</v>
      </c>
      <c r="Y117" s="2007">
        <f ca="1"/>
        <v>0</v>
      </c>
    </row>
    <row r="118" spans="1:26">
      <c r="A118" s="1995" t="str">
        <f>A$79</f>
        <v>7 meses antes</v>
      </c>
      <c r="B118" s="1991"/>
      <c r="C118" s="1991"/>
      <c r="D118" s="1991"/>
      <c r="E118" s="1991"/>
      <c r="F118" s="1991"/>
      <c r="G118" s="603">
        <f t="array" aca="1" ref="G118:R118" ca="1">B$20:M20*Produção!$G$8</f>
        <v>0</v>
      </c>
      <c r="H118" s="603">
        <f ca="1"/>
        <v>0</v>
      </c>
      <c r="I118" s="603">
        <f ca="1"/>
        <v>0</v>
      </c>
      <c r="J118" s="603">
        <f ca="1"/>
        <v>0</v>
      </c>
      <c r="K118" s="603">
        <f ca="1"/>
        <v>0</v>
      </c>
      <c r="L118" s="603">
        <f ca="1"/>
        <v>0</v>
      </c>
      <c r="M118" s="603">
        <f ca="1"/>
        <v>0</v>
      </c>
      <c r="N118" s="603">
        <f ca="1"/>
        <v>0</v>
      </c>
      <c r="O118" s="603">
        <f ca="1"/>
        <v>0</v>
      </c>
      <c r="P118" s="603">
        <f ca="1"/>
        <v>0</v>
      </c>
      <c r="Q118" s="603">
        <f ca="1"/>
        <v>0</v>
      </c>
      <c r="R118" s="603">
        <f ca="1"/>
        <v>0</v>
      </c>
      <c r="S118" s="1992">
        <f t="array" aca="1" ref="S118:S123" ca="1">'Distr CV 1'!G118:G123</f>
        <v>0</v>
      </c>
      <c r="T118" s="1992">
        <f ca="1"/>
        <v>0</v>
      </c>
      <c r="U118" s="1992">
        <f ca="1"/>
        <v>0</v>
      </c>
      <c r="V118" s="1992">
        <f ca="1"/>
        <v>0</v>
      </c>
      <c r="W118" s="1992">
        <f ca="1"/>
        <v>0</v>
      </c>
      <c r="X118" s="1992">
        <f ca="1"/>
        <v>0</v>
      </c>
      <c r="Y118" s="2010">
        <f ca="1"/>
        <v>0</v>
      </c>
    </row>
    <row r="119" spans="1:26">
      <c r="A119" s="1995" t="str">
        <f>A$80</f>
        <v>8 meses antes</v>
      </c>
      <c r="B119" s="1991"/>
      <c r="C119" s="1991"/>
      <c r="D119" s="1991"/>
      <c r="E119" s="1991"/>
      <c r="F119" s="603">
        <f t="array" aca="1" ref="F119:Q119" ca="1">B$20:M20*Produção!$F$8</f>
        <v>0</v>
      </c>
      <c r="G119" s="603">
        <f ca="1"/>
        <v>0</v>
      </c>
      <c r="H119" s="603">
        <f ca="1"/>
        <v>0</v>
      </c>
      <c r="I119" s="603">
        <f ca="1"/>
        <v>0</v>
      </c>
      <c r="J119" s="603">
        <f ca="1"/>
        <v>0</v>
      </c>
      <c r="K119" s="603">
        <f ca="1"/>
        <v>0</v>
      </c>
      <c r="L119" s="603">
        <f ca="1"/>
        <v>0</v>
      </c>
      <c r="M119" s="603">
        <f ca="1"/>
        <v>0</v>
      </c>
      <c r="N119" s="603">
        <f ca="1"/>
        <v>0</v>
      </c>
      <c r="O119" s="603">
        <f ca="1"/>
        <v>0</v>
      </c>
      <c r="P119" s="603">
        <f ca="1"/>
        <v>0</v>
      </c>
      <c r="Q119" s="603">
        <f ca="1"/>
        <v>0</v>
      </c>
      <c r="R119" s="1992">
        <f t="array" aca="1" ref="R119:R123" ca="1">'Distr CV 1'!F119:F123</f>
        <v>0</v>
      </c>
      <c r="S119" s="1992">
        <f ca="1"/>
        <v>0</v>
      </c>
      <c r="T119" s="1992">
        <f ca="1"/>
        <v>0</v>
      </c>
      <c r="U119" s="1992">
        <f ca="1"/>
        <v>0</v>
      </c>
      <c r="V119" s="1992">
        <f ca="1"/>
        <v>0</v>
      </c>
      <c r="W119" s="1992">
        <f ca="1"/>
        <v>0</v>
      </c>
      <c r="X119" s="1992">
        <f ca="1"/>
        <v>0</v>
      </c>
      <c r="Y119" s="2010">
        <f ca="1"/>
        <v>0</v>
      </c>
    </row>
    <row r="120" spans="1:26">
      <c r="A120" s="1995" t="str">
        <f>A$81</f>
        <v>9 meses antes</v>
      </c>
      <c r="B120" s="1991"/>
      <c r="C120" s="1991"/>
      <c r="D120" s="1991"/>
      <c r="E120" s="603">
        <f t="array" aca="1" ref="E120:P120" ca="1">B$20:M20*Produção!$E$8</f>
        <v>0</v>
      </c>
      <c r="F120" s="603">
        <f ca="1"/>
        <v>0</v>
      </c>
      <c r="G120" s="603">
        <f ca="1"/>
        <v>0</v>
      </c>
      <c r="H120" s="603">
        <f ca="1"/>
        <v>0</v>
      </c>
      <c r="I120" s="603">
        <f ca="1"/>
        <v>0</v>
      </c>
      <c r="J120" s="603">
        <f ca="1"/>
        <v>0</v>
      </c>
      <c r="K120" s="603">
        <f ca="1"/>
        <v>0</v>
      </c>
      <c r="L120" s="603">
        <f ca="1"/>
        <v>0</v>
      </c>
      <c r="M120" s="603">
        <f ca="1"/>
        <v>0</v>
      </c>
      <c r="N120" s="603">
        <f ca="1"/>
        <v>0</v>
      </c>
      <c r="O120" s="603">
        <f ca="1"/>
        <v>0</v>
      </c>
      <c r="P120" s="603">
        <f ca="1"/>
        <v>0</v>
      </c>
      <c r="Q120" s="1992">
        <f t="array" aca="1" ref="Q120:Q123" ca="1">'Distr CV 1'!E120:F123</f>
        <v>0</v>
      </c>
      <c r="R120" s="1992">
        <f ca="1"/>
        <v>0</v>
      </c>
      <c r="S120" s="1992">
        <f ca="1"/>
        <v>0</v>
      </c>
      <c r="T120" s="1992">
        <f ca="1"/>
        <v>0</v>
      </c>
      <c r="U120" s="1992">
        <f ca="1"/>
        <v>0</v>
      </c>
      <c r="V120" s="1992">
        <f ca="1"/>
        <v>0</v>
      </c>
      <c r="W120" s="1992">
        <f ca="1"/>
        <v>0</v>
      </c>
      <c r="X120" s="1992">
        <f ca="1"/>
        <v>0</v>
      </c>
      <c r="Y120" s="2010">
        <f ca="1"/>
        <v>0</v>
      </c>
    </row>
    <row r="121" spans="1:26">
      <c r="A121" s="1995" t="str">
        <f>A$82</f>
        <v>10 meses antes</v>
      </c>
      <c r="B121" s="1991"/>
      <c r="C121" s="1991"/>
      <c r="D121" s="603">
        <f t="array" aca="1" ref="D121:O121" ca="1">B$20:M20*Produção!$D$8</f>
        <v>0</v>
      </c>
      <c r="E121" s="603">
        <f ca="1"/>
        <v>0</v>
      </c>
      <c r="F121" s="603">
        <f ca="1"/>
        <v>0</v>
      </c>
      <c r="G121" s="603">
        <f ca="1"/>
        <v>0</v>
      </c>
      <c r="H121" s="603">
        <f ca="1"/>
        <v>0</v>
      </c>
      <c r="I121" s="603">
        <f ca="1"/>
        <v>0</v>
      </c>
      <c r="J121" s="603">
        <f ca="1"/>
        <v>0</v>
      </c>
      <c r="K121" s="603">
        <f ca="1"/>
        <v>0</v>
      </c>
      <c r="L121" s="603">
        <f ca="1"/>
        <v>0</v>
      </c>
      <c r="M121" s="603">
        <f ca="1"/>
        <v>0</v>
      </c>
      <c r="N121" s="603">
        <f ca="1"/>
        <v>0</v>
      </c>
      <c r="O121" s="603">
        <f ca="1"/>
        <v>0</v>
      </c>
      <c r="P121" s="1992">
        <f t="array" aca="1" ref="P121:P123" ca="1">'Distr CV 1'!D121:D123</f>
        <v>0</v>
      </c>
      <c r="Q121" s="1992">
        <f ca="1"/>
        <v>0</v>
      </c>
      <c r="R121" s="1992">
        <f ca="1"/>
        <v>0</v>
      </c>
      <c r="S121" s="1992">
        <f ca="1"/>
        <v>0</v>
      </c>
      <c r="T121" s="1992">
        <f ca="1"/>
        <v>0</v>
      </c>
      <c r="U121" s="1992">
        <f ca="1"/>
        <v>0</v>
      </c>
      <c r="V121" s="1992">
        <f ca="1"/>
        <v>0</v>
      </c>
      <c r="W121" s="1992">
        <f ca="1"/>
        <v>0</v>
      </c>
      <c r="X121" s="1992">
        <f ca="1"/>
        <v>0</v>
      </c>
      <c r="Y121" s="2010">
        <f ca="1"/>
        <v>0</v>
      </c>
    </row>
    <row r="122" spans="1:26">
      <c r="A122" s="1995" t="str">
        <f>A$83</f>
        <v>11 meses antes</v>
      </c>
      <c r="B122" s="1991"/>
      <c r="C122" s="603">
        <f t="array" aca="1" ref="C122:N122" ca="1">B$20:M20*Produção!$C$8</f>
        <v>0</v>
      </c>
      <c r="D122" s="603">
        <f ca="1"/>
        <v>0</v>
      </c>
      <c r="E122" s="603">
        <f ca="1"/>
        <v>0</v>
      </c>
      <c r="F122" s="603">
        <f ca="1"/>
        <v>0</v>
      </c>
      <c r="G122" s="603">
        <f ca="1"/>
        <v>0</v>
      </c>
      <c r="H122" s="603">
        <f ca="1"/>
        <v>0</v>
      </c>
      <c r="I122" s="603">
        <f ca="1"/>
        <v>0</v>
      </c>
      <c r="J122" s="603">
        <f ca="1"/>
        <v>0</v>
      </c>
      <c r="K122" s="603">
        <f ca="1"/>
        <v>0</v>
      </c>
      <c r="L122" s="603">
        <f ca="1"/>
        <v>0</v>
      </c>
      <c r="M122" s="603">
        <f ca="1"/>
        <v>0</v>
      </c>
      <c r="N122" s="603">
        <f ca="1"/>
        <v>0</v>
      </c>
      <c r="O122" s="1992">
        <f t="array" aca="1" ref="O122:O123" ca="1">'Distr CV 1'!C122:C123</f>
        <v>0</v>
      </c>
      <c r="P122" s="1992">
        <f ca="1"/>
        <v>0</v>
      </c>
      <c r="Q122" s="1992">
        <f ca="1"/>
        <v>0</v>
      </c>
      <c r="R122" s="1992">
        <f ca="1"/>
        <v>0</v>
      </c>
      <c r="S122" s="1992">
        <f ca="1"/>
        <v>0</v>
      </c>
      <c r="T122" s="1992">
        <f ca="1"/>
        <v>0</v>
      </c>
      <c r="U122" s="1992">
        <f ca="1"/>
        <v>0</v>
      </c>
      <c r="V122" s="1992">
        <f ca="1"/>
        <v>0</v>
      </c>
      <c r="W122" s="1992">
        <f ca="1"/>
        <v>0</v>
      </c>
      <c r="X122" s="1992">
        <f ca="1"/>
        <v>0</v>
      </c>
      <c r="Y122" s="2010">
        <f ca="1"/>
        <v>0</v>
      </c>
    </row>
    <row r="123" spans="1:26" ht="13.5" thickBot="1">
      <c r="A123" s="1995" t="str">
        <f>A$84</f>
        <v>12 meses antes</v>
      </c>
      <c r="B123" s="603">
        <f t="array" aca="1" ref="B123:M123" ca="1">B$20:M20*Produção!$B$8</f>
        <v>0</v>
      </c>
      <c r="C123" s="603">
        <f ca="1"/>
        <v>0</v>
      </c>
      <c r="D123" s="603">
        <f ca="1"/>
        <v>0</v>
      </c>
      <c r="E123" s="603">
        <f ca="1"/>
        <v>0</v>
      </c>
      <c r="F123" s="603">
        <f ca="1"/>
        <v>0</v>
      </c>
      <c r="G123" s="603">
        <f ca="1"/>
        <v>0</v>
      </c>
      <c r="H123" s="603">
        <f ca="1"/>
        <v>0</v>
      </c>
      <c r="I123" s="603">
        <f ca="1"/>
        <v>0</v>
      </c>
      <c r="J123" s="603">
        <f ca="1"/>
        <v>0</v>
      </c>
      <c r="K123" s="603">
        <f ca="1"/>
        <v>0</v>
      </c>
      <c r="L123" s="603">
        <f ca="1"/>
        <v>0</v>
      </c>
      <c r="M123" s="603">
        <f ca="1"/>
        <v>0</v>
      </c>
      <c r="N123" s="1992">
        <f ca="1">'Distr CV 1'!B123</f>
        <v>0</v>
      </c>
      <c r="O123" s="1992">
        <f ca="1"/>
        <v>0</v>
      </c>
      <c r="P123" s="1992">
        <f ca="1"/>
        <v>0</v>
      </c>
      <c r="Q123" s="1992">
        <f ca="1"/>
        <v>0</v>
      </c>
      <c r="R123" s="1992">
        <f ca="1"/>
        <v>0</v>
      </c>
      <c r="S123" s="1992">
        <f ca="1"/>
        <v>0</v>
      </c>
      <c r="T123" s="1992">
        <f ca="1"/>
        <v>0</v>
      </c>
      <c r="U123" s="1992">
        <f ca="1"/>
        <v>0</v>
      </c>
      <c r="V123" s="1992">
        <f ca="1"/>
        <v>0</v>
      </c>
      <c r="W123" s="1992">
        <f ca="1"/>
        <v>0</v>
      </c>
      <c r="X123" s="1992">
        <f ca="1"/>
        <v>0</v>
      </c>
      <c r="Y123" s="2010">
        <f ca="1"/>
        <v>0</v>
      </c>
    </row>
    <row r="124" spans="1:26" ht="15.75" customHeight="1" thickBot="1">
      <c r="A124" s="105" t="str">
        <f>"Totais CV "&amp;A$8</f>
        <v>Totais CV produto 1</v>
      </c>
      <c r="B124" s="607">
        <f t="shared" ref="B124:Y124" ca="1" si="11">SUM(B111:B123)</f>
        <v>0</v>
      </c>
      <c r="C124" s="607">
        <f t="shared" ca="1" si="11"/>
        <v>0</v>
      </c>
      <c r="D124" s="607">
        <f t="shared" ca="1" si="11"/>
        <v>0</v>
      </c>
      <c r="E124" s="607">
        <f t="shared" ca="1" si="11"/>
        <v>0</v>
      </c>
      <c r="F124" s="607">
        <f t="shared" ca="1" si="11"/>
        <v>0</v>
      </c>
      <c r="G124" s="607">
        <f t="shared" ca="1" si="11"/>
        <v>0</v>
      </c>
      <c r="H124" s="607">
        <f t="shared" ca="1" si="11"/>
        <v>0</v>
      </c>
      <c r="I124" s="607">
        <f t="shared" ca="1" si="11"/>
        <v>0</v>
      </c>
      <c r="J124" s="607">
        <f t="shared" ca="1" si="11"/>
        <v>0</v>
      </c>
      <c r="K124" s="607">
        <f t="shared" ca="1" si="11"/>
        <v>0</v>
      </c>
      <c r="L124" s="607">
        <f t="shared" ca="1" si="11"/>
        <v>0</v>
      </c>
      <c r="M124" s="607">
        <f t="shared" ca="1" si="11"/>
        <v>0</v>
      </c>
      <c r="N124" s="607">
        <f t="shared" ca="1" si="11"/>
        <v>28.000000000000004</v>
      </c>
      <c r="O124" s="607">
        <f t="shared" ca="1" si="11"/>
        <v>38.181818181818187</v>
      </c>
      <c r="P124" s="607">
        <f t="shared" ca="1" si="11"/>
        <v>48.363636363636374</v>
      </c>
      <c r="Q124" s="607">
        <f t="shared" ca="1" si="11"/>
        <v>58.545454545454554</v>
      </c>
      <c r="R124" s="607">
        <f t="shared" ca="1" si="11"/>
        <v>68.727272727272734</v>
      </c>
      <c r="S124" s="607">
        <f t="shared" ca="1" si="11"/>
        <v>78.909090909090921</v>
      </c>
      <c r="T124" s="607">
        <f t="shared" ca="1" si="11"/>
        <v>89.090909090909108</v>
      </c>
      <c r="U124" s="607">
        <f t="shared" ca="1" si="11"/>
        <v>99.272727272727266</v>
      </c>
      <c r="V124" s="607">
        <f t="shared" ca="1" si="11"/>
        <v>109.45454545454547</v>
      </c>
      <c r="W124" s="607">
        <f t="shared" ca="1" si="11"/>
        <v>119.63636363636364</v>
      </c>
      <c r="X124" s="607">
        <f t="shared" ca="1" si="11"/>
        <v>129.81818181818184</v>
      </c>
      <c r="Y124" s="2008">
        <f t="shared" ca="1" si="11"/>
        <v>140</v>
      </c>
    </row>
    <row r="125" spans="1:26" ht="15.75" customHeight="1" thickBot="1">
      <c r="A125" s="105" t="str">
        <f>'Dados Básicos'!A28&amp;" sop. CV "&amp;$A$8</f>
        <v>IVA sop. CV produto 1</v>
      </c>
      <c r="B125" s="607">
        <f t="array" aca="1" ref="B125:Y125" ca="1">$K$109*B124:Y124</f>
        <v>0</v>
      </c>
      <c r="C125" s="607">
        <f ca="1"/>
        <v>0</v>
      </c>
      <c r="D125" s="607">
        <f ca="1"/>
        <v>0</v>
      </c>
      <c r="E125" s="607">
        <f ca="1"/>
        <v>0</v>
      </c>
      <c r="F125" s="607">
        <f ca="1"/>
        <v>0</v>
      </c>
      <c r="G125" s="607">
        <f ca="1"/>
        <v>0</v>
      </c>
      <c r="H125" s="607">
        <f ca="1"/>
        <v>0</v>
      </c>
      <c r="I125" s="607">
        <f ca="1"/>
        <v>0</v>
      </c>
      <c r="J125" s="607">
        <f ca="1"/>
        <v>0</v>
      </c>
      <c r="K125" s="607">
        <f ca="1"/>
        <v>0</v>
      </c>
      <c r="L125" s="607">
        <f ca="1"/>
        <v>0</v>
      </c>
      <c r="M125" s="607">
        <f ca="1"/>
        <v>0</v>
      </c>
      <c r="N125" s="607">
        <f ca="1"/>
        <v>5.8800000000000008</v>
      </c>
      <c r="O125" s="607">
        <f ca="1"/>
        <v>8.0181818181818194</v>
      </c>
      <c r="P125" s="607">
        <f ca="1"/>
        <v>10.156363636363638</v>
      </c>
      <c r="Q125" s="607">
        <f ca="1"/>
        <v>12.294545454545457</v>
      </c>
      <c r="R125" s="607">
        <f ca="1"/>
        <v>14.432727272727274</v>
      </c>
      <c r="S125" s="607">
        <f ca="1"/>
        <v>16.570909090909094</v>
      </c>
      <c r="T125" s="607">
        <f ca="1"/>
        <v>18.709090909090911</v>
      </c>
      <c r="U125" s="607">
        <f ca="1"/>
        <v>20.847272727272724</v>
      </c>
      <c r="V125" s="607">
        <f ca="1"/>
        <v>22.985454545454548</v>
      </c>
      <c r="W125" s="607">
        <f ca="1"/>
        <v>25.123636363636365</v>
      </c>
      <c r="X125" s="607">
        <f ca="1"/>
        <v>27.261818181818185</v>
      </c>
      <c r="Y125" s="2008">
        <f ca="1"/>
        <v>29.4</v>
      </c>
    </row>
    <row r="127" spans="1:26" ht="18.75" thickBot="1">
      <c r="A127" s="1993" t="str">
        <f>"Compras / custos de producción por meses de "&amp;A$9</f>
        <v xml:space="preserve">Compras / custos de producción por meses de </v>
      </c>
      <c r="I127" s="1993" t="str">
        <f>$I$109</f>
        <v>IVA NO incluido</v>
      </c>
      <c r="K127" s="2005">
        <f>Parametros!$F$25</f>
        <v>0.21</v>
      </c>
    </row>
    <row r="128" spans="1:26" s="456" customFormat="1" ht="30" customHeight="1" thickBot="1">
      <c r="A128" s="457" t="str">
        <f>A$110</f>
        <v>mes de compra / custo</v>
      </c>
      <c r="B128" s="2011" t="str">
        <f t="array" ref="B128:Y128">B$71:Y$71</f>
        <v>janeiro
2025</v>
      </c>
      <c r="C128" s="2011" t="str">
        <v>fevereiro
2025</v>
      </c>
      <c r="D128" s="2011" t="str">
        <v>março
2025</v>
      </c>
      <c r="E128" s="2011" t="str">
        <v>abril
2025</v>
      </c>
      <c r="F128" s="2011" t="str">
        <v>maio
2025</v>
      </c>
      <c r="G128" s="2011" t="str">
        <v>junho
2025</v>
      </c>
      <c r="H128" s="2011" t="str">
        <v>julho
2025</v>
      </c>
      <c r="I128" s="2011" t="str">
        <v>agosto
2025</v>
      </c>
      <c r="J128" s="2011" t="str">
        <v>setembro
2025</v>
      </c>
      <c r="K128" s="2011" t="str">
        <v>outubro
2025</v>
      </c>
      <c r="L128" s="2011" t="str">
        <v>novembro
2025</v>
      </c>
      <c r="M128" s="2011" t="str">
        <v>dezembro
2025</v>
      </c>
      <c r="N128" s="2734" t="str">
        <v>janeiro 
2026</v>
      </c>
      <c r="O128" s="2735" t="str">
        <v>fevereiro 
2026</v>
      </c>
      <c r="P128" s="2735" t="str">
        <v>março 
2026</v>
      </c>
      <c r="Q128" s="2735" t="str">
        <v>abril 
2026</v>
      </c>
      <c r="R128" s="2735" t="str">
        <v>maio 
2026</v>
      </c>
      <c r="S128" s="2735" t="str">
        <v>junho 
2026</v>
      </c>
      <c r="T128" s="2735" t="str">
        <v>julho 
2026</v>
      </c>
      <c r="U128" s="2735" t="str">
        <v>agosto 
2026</v>
      </c>
      <c r="V128" s="2735" t="str">
        <v>setembro 
2026</v>
      </c>
      <c r="W128" s="2735" t="str">
        <v>outubro 
2026</v>
      </c>
      <c r="X128" s="2735" t="str">
        <v>novembro 
2026</v>
      </c>
      <c r="Y128" s="2736" t="str">
        <v>dezembro 
2026</v>
      </c>
      <c r="Z128" s="62"/>
    </row>
    <row r="129" spans="1:25">
      <c r="A129" s="1994" t="str">
        <f>A$72</f>
        <v>mesmo mes</v>
      </c>
      <c r="B129" s="1991"/>
      <c r="C129" s="1991"/>
      <c r="D129" s="1991"/>
      <c r="E129" s="1991"/>
      <c r="F129" s="1991"/>
      <c r="G129" s="1991"/>
      <c r="H129" s="1991"/>
      <c r="I129" s="1991"/>
      <c r="J129" s="1991"/>
      <c r="K129" s="1991"/>
      <c r="L129" s="1991"/>
      <c r="M129" s="1991"/>
      <c r="N129" s="603">
        <f t="array" aca="1" ref="N129:Y129" ca="1">B21:M21*Produção!$N$9</f>
        <v>0</v>
      </c>
      <c r="O129" s="603">
        <f ca="1"/>
        <v>0</v>
      </c>
      <c r="P129" s="603">
        <f ca="1"/>
        <v>0</v>
      </c>
      <c r="Q129" s="603">
        <f ca="1"/>
        <v>0</v>
      </c>
      <c r="R129" s="603">
        <f ca="1"/>
        <v>0</v>
      </c>
      <c r="S129" s="603">
        <f ca="1"/>
        <v>0</v>
      </c>
      <c r="T129" s="603">
        <f ca="1"/>
        <v>0</v>
      </c>
      <c r="U129" s="603">
        <f ca="1"/>
        <v>0</v>
      </c>
      <c r="V129" s="603">
        <f ca="1"/>
        <v>0</v>
      </c>
      <c r="W129" s="603">
        <f ca="1"/>
        <v>0</v>
      </c>
      <c r="X129" s="603">
        <f ca="1"/>
        <v>0</v>
      </c>
      <c r="Y129" s="2006">
        <f ca="1"/>
        <v>0</v>
      </c>
    </row>
    <row r="130" spans="1:25">
      <c r="A130" s="1995" t="str">
        <f>A$73</f>
        <v>1 mes antes</v>
      </c>
      <c r="B130" s="1991"/>
      <c r="C130" s="1991"/>
      <c r="D130" s="1991"/>
      <c r="E130" s="1991"/>
      <c r="F130" s="1991"/>
      <c r="G130" s="1991"/>
      <c r="H130" s="1991"/>
      <c r="I130" s="1991"/>
      <c r="J130" s="1991"/>
      <c r="K130" s="1991"/>
      <c r="L130" s="1991"/>
      <c r="M130" s="603">
        <f t="array" aca="1" ref="M130:X130" ca="1">B21:M21*Produção!$M$9</f>
        <v>0</v>
      </c>
      <c r="N130" s="603">
        <f ca="1"/>
        <v>0</v>
      </c>
      <c r="O130" s="603">
        <f ca="1"/>
        <v>0</v>
      </c>
      <c r="P130" s="603">
        <f ca="1"/>
        <v>0</v>
      </c>
      <c r="Q130" s="603">
        <f ca="1"/>
        <v>0</v>
      </c>
      <c r="R130" s="603">
        <f ca="1"/>
        <v>0</v>
      </c>
      <c r="S130" s="603">
        <f ca="1"/>
        <v>0</v>
      </c>
      <c r="T130" s="603">
        <f ca="1"/>
        <v>0</v>
      </c>
      <c r="U130" s="603">
        <f ca="1"/>
        <v>0</v>
      </c>
      <c r="V130" s="603">
        <f ca="1"/>
        <v>0</v>
      </c>
      <c r="W130" s="603">
        <f ca="1"/>
        <v>0</v>
      </c>
      <c r="X130" s="603">
        <f ca="1"/>
        <v>0</v>
      </c>
      <c r="Y130" s="2007">
        <f t="array" aca="1" ref="Y130:Y141" ca="1">'Distr CV 1'!M130:M141</f>
        <v>0</v>
      </c>
    </row>
    <row r="131" spans="1:25">
      <c r="A131" s="1995" t="str">
        <f>A$74</f>
        <v>2 meses antes</v>
      </c>
      <c r="B131" s="1991"/>
      <c r="C131" s="1991"/>
      <c r="D131" s="1991"/>
      <c r="E131" s="1991"/>
      <c r="F131" s="1991"/>
      <c r="G131" s="1991"/>
      <c r="H131" s="1991"/>
      <c r="I131" s="1991"/>
      <c r="J131" s="1991"/>
      <c r="K131" s="1991"/>
      <c r="L131" s="603">
        <f t="array" aca="1" ref="L131:W131" ca="1">B21:M21*Produção!$L$9</f>
        <v>0</v>
      </c>
      <c r="M131" s="603">
        <f ca="1"/>
        <v>0</v>
      </c>
      <c r="N131" s="603">
        <f ca="1"/>
        <v>0</v>
      </c>
      <c r="O131" s="603">
        <f ca="1"/>
        <v>0</v>
      </c>
      <c r="P131" s="603">
        <f ca="1"/>
        <v>0</v>
      </c>
      <c r="Q131" s="603">
        <f ca="1"/>
        <v>0</v>
      </c>
      <c r="R131" s="603">
        <f ca="1"/>
        <v>0</v>
      </c>
      <c r="S131" s="603">
        <f ca="1"/>
        <v>0</v>
      </c>
      <c r="T131" s="603">
        <f ca="1"/>
        <v>0</v>
      </c>
      <c r="U131" s="603">
        <f ca="1"/>
        <v>0</v>
      </c>
      <c r="V131" s="603">
        <f ca="1"/>
        <v>0</v>
      </c>
      <c r="W131" s="603">
        <f ca="1"/>
        <v>0</v>
      </c>
      <c r="X131" s="1988">
        <f t="array" aca="1" ref="X131:X141" ca="1">'Distr CV 1'!L131:L141</f>
        <v>0</v>
      </c>
      <c r="Y131" s="2007">
        <f ca="1"/>
        <v>0</v>
      </c>
    </row>
    <row r="132" spans="1:25">
      <c r="A132" s="1995" t="str">
        <f>A$75</f>
        <v>3 meses antes</v>
      </c>
      <c r="B132" s="1991"/>
      <c r="C132" s="1991"/>
      <c r="D132" s="1991"/>
      <c r="E132" s="1991"/>
      <c r="F132" s="1991"/>
      <c r="G132" s="1991"/>
      <c r="H132" s="1991"/>
      <c r="I132" s="1991"/>
      <c r="J132" s="1991"/>
      <c r="K132" s="603">
        <f t="array" aca="1" ref="K132:V132" ca="1">B21:M21*Produção!$K$9</f>
        <v>0</v>
      </c>
      <c r="L132" s="603">
        <f ca="1"/>
        <v>0</v>
      </c>
      <c r="M132" s="603">
        <f ca="1"/>
        <v>0</v>
      </c>
      <c r="N132" s="603">
        <f ca="1"/>
        <v>0</v>
      </c>
      <c r="O132" s="603">
        <f ca="1"/>
        <v>0</v>
      </c>
      <c r="P132" s="603">
        <f ca="1"/>
        <v>0</v>
      </c>
      <c r="Q132" s="603">
        <f ca="1"/>
        <v>0</v>
      </c>
      <c r="R132" s="603">
        <f ca="1"/>
        <v>0</v>
      </c>
      <c r="S132" s="603">
        <f ca="1"/>
        <v>0</v>
      </c>
      <c r="T132" s="603">
        <f ca="1"/>
        <v>0</v>
      </c>
      <c r="U132" s="603">
        <f ca="1"/>
        <v>0</v>
      </c>
      <c r="V132" s="603">
        <f ca="1"/>
        <v>0</v>
      </c>
      <c r="W132" s="1988">
        <f t="array" aca="1" ref="W132:W141" ca="1">'Distr CV 1'!K132:K141</f>
        <v>0</v>
      </c>
      <c r="X132" s="1988">
        <f ca="1"/>
        <v>0</v>
      </c>
      <c r="Y132" s="2007">
        <f ca="1"/>
        <v>0</v>
      </c>
    </row>
    <row r="133" spans="1:25">
      <c r="A133" s="1995" t="str">
        <f>A$76</f>
        <v>4 meses antes</v>
      </c>
      <c r="B133" s="1991"/>
      <c r="C133" s="1991"/>
      <c r="D133" s="1991"/>
      <c r="E133" s="1991"/>
      <c r="F133" s="1991"/>
      <c r="G133" s="1991"/>
      <c r="H133" s="1991"/>
      <c r="I133" s="1991"/>
      <c r="J133" s="603">
        <f t="array" aca="1" ref="J133:U133" ca="1">B21:M21*Produção!$J$9</f>
        <v>0</v>
      </c>
      <c r="K133" s="603">
        <f ca="1"/>
        <v>0</v>
      </c>
      <c r="L133" s="603">
        <f ca="1"/>
        <v>0</v>
      </c>
      <c r="M133" s="603">
        <f ca="1"/>
        <v>0</v>
      </c>
      <c r="N133" s="603">
        <f ca="1"/>
        <v>0</v>
      </c>
      <c r="O133" s="603">
        <f ca="1"/>
        <v>0</v>
      </c>
      <c r="P133" s="603">
        <f ca="1"/>
        <v>0</v>
      </c>
      <c r="Q133" s="603">
        <f ca="1"/>
        <v>0</v>
      </c>
      <c r="R133" s="603">
        <f ca="1"/>
        <v>0</v>
      </c>
      <c r="S133" s="603">
        <f ca="1"/>
        <v>0</v>
      </c>
      <c r="T133" s="603">
        <f ca="1"/>
        <v>0</v>
      </c>
      <c r="U133" s="603">
        <f ca="1"/>
        <v>0</v>
      </c>
      <c r="V133" s="1988">
        <f t="array" aca="1" ref="V133:V141" ca="1">'Distr CV 1'!J133:J141</f>
        <v>0</v>
      </c>
      <c r="W133" s="1988">
        <f ca="1"/>
        <v>0</v>
      </c>
      <c r="X133" s="1988">
        <f ca="1"/>
        <v>0</v>
      </c>
      <c r="Y133" s="2007">
        <f ca="1"/>
        <v>0</v>
      </c>
    </row>
    <row r="134" spans="1:25">
      <c r="A134" s="1995" t="str">
        <f>A$77</f>
        <v>5 meses antes</v>
      </c>
      <c r="B134" s="1991"/>
      <c r="C134" s="1991"/>
      <c r="D134" s="1991"/>
      <c r="E134" s="1991"/>
      <c r="F134" s="1991"/>
      <c r="G134" s="1991"/>
      <c r="H134" s="1991"/>
      <c r="I134" s="603">
        <f t="array" aca="1" ref="I134:T134" ca="1">B21:M21*Produção!$I$9</f>
        <v>0</v>
      </c>
      <c r="J134" s="603">
        <f ca="1"/>
        <v>0</v>
      </c>
      <c r="K134" s="603">
        <f ca="1"/>
        <v>0</v>
      </c>
      <c r="L134" s="603">
        <f ca="1"/>
        <v>0</v>
      </c>
      <c r="M134" s="603">
        <f ca="1"/>
        <v>0</v>
      </c>
      <c r="N134" s="603">
        <f ca="1"/>
        <v>0</v>
      </c>
      <c r="O134" s="603">
        <f ca="1"/>
        <v>0</v>
      </c>
      <c r="P134" s="603">
        <f ca="1"/>
        <v>0</v>
      </c>
      <c r="Q134" s="603">
        <f ca="1"/>
        <v>0</v>
      </c>
      <c r="R134" s="603">
        <f ca="1"/>
        <v>0</v>
      </c>
      <c r="S134" s="603">
        <f ca="1"/>
        <v>0</v>
      </c>
      <c r="T134" s="603">
        <f ca="1"/>
        <v>0</v>
      </c>
      <c r="U134" s="1988">
        <f t="array" aca="1" ref="U134:U141" ca="1">'Distr CV 1'!I134:I141</f>
        <v>0</v>
      </c>
      <c r="V134" s="1988">
        <f ca="1"/>
        <v>0</v>
      </c>
      <c r="W134" s="1988">
        <f ca="1"/>
        <v>0</v>
      </c>
      <c r="X134" s="1988">
        <f ca="1"/>
        <v>0</v>
      </c>
      <c r="Y134" s="2007">
        <f ca="1"/>
        <v>0</v>
      </c>
    </row>
    <row r="135" spans="1:25">
      <c r="A135" s="1995" t="str">
        <f>A$78</f>
        <v>6 meses antes</v>
      </c>
      <c r="B135" s="1991"/>
      <c r="C135" s="1991"/>
      <c r="D135" s="1991"/>
      <c r="E135" s="1991"/>
      <c r="F135" s="1991"/>
      <c r="G135" s="1991"/>
      <c r="H135" s="603">
        <f t="array" aca="1" ref="H135:S135" ca="1">B21:M21*Produção!$H$9</f>
        <v>0</v>
      </c>
      <c r="I135" s="603">
        <f ca="1"/>
        <v>0</v>
      </c>
      <c r="J135" s="603">
        <f ca="1"/>
        <v>0</v>
      </c>
      <c r="K135" s="603">
        <f ca="1"/>
        <v>0</v>
      </c>
      <c r="L135" s="603">
        <f ca="1"/>
        <v>0</v>
      </c>
      <c r="M135" s="603">
        <f ca="1"/>
        <v>0</v>
      </c>
      <c r="N135" s="603">
        <f ca="1"/>
        <v>0</v>
      </c>
      <c r="O135" s="603">
        <f ca="1"/>
        <v>0</v>
      </c>
      <c r="P135" s="603">
        <f ca="1"/>
        <v>0</v>
      </c>
      <c r="Q135" s="603">
        <f ca="1"/>
        <v>0</v>
      </c>
      <c r="R135" s="603">
        <f ca="1"/>
        <v>0</v>
      </c>
      <c r="S135" s="603">
        <f ca="1"/>
        <v>0</v>
      </c>
      <c r="T135" s="1988">
        <f t="array" aca="1" ref="T135:T141" ca="1">'Distr CV 1'!H135:H141</f>
        <v>0</v>
      </c>
      <c r="U135" s="1988">
        <f ca="1"/>
        <v>0</v>
      </c>
      <c r="V135" s="1988">
        <f ca="1"/>
        <v>0</v>
      </c>
      <c r="W135" s="1988">
        <f ca="1"/>
        <v>0</v>
      </c>
      <c r="X135" s="1988">
        <f ca="1"/>
        <v>0</v>
      </c>
      <c r="Y135" s="2007">
        <f ca="1"/>
        <v>0</v>
      </c>
    </row>
    <row r="136" spans="1:25">
      <c r="A136" s="1995" t="str">
        <f>A$79</f>
        <v>7 meses antes</v>
      </c>
      <c r="B136" s="1991"/>
      <c r="C136" s="1991"/>
      <c r="D136" s="1991"/>
      <c r="E136" s="1991"/>
      <c r="F136" s="1991"/>
      <c r="G136" s="603">
        <f t="array" aca="1" ref="G136:R136" ca="1">B21:M21*Produção!$G$9</f>
        <v>0</v>
      </c>
      <c r="H136" s="603">
        <f ca="1"/>
        <v>0</v>
      </c>
      <c r="I136" s="603">
        <f ca="1"/>
        <v>0</v>
      </c>
      <c r="J136" s="603">
        <f ca="1"/>
        <v>0</v>
      </c>
      <c r="K136" s="603">
        <f ca="1"/>
        <v>0</v>
      </c>
      <c r="L136" s="603">
        <f ca="1"/>
        <v>0</v>
      </c>
      <c r="M136" s="603">
        <f ca="1"/>
        <v>0</v>
      </c>
      <c r="N136" s="603">
        <f ca="1"/>
        <v>0</v>
      </c>
      <c r="O136" s="603">
        <f ca="1"/>
        <v>0</v>
      </c>
      <c r="P136" s="603">
        <f ca="1"/>
        <v>0</v>
      </c>
      <c r="Q136" s="603">
        <f ca="1"/>
        <v>0</v>
      </c>
      <c r="R136" s="603">
        <f ca="1"/>
        <v>0</v>
      </c>
      <c r="S136" s="1992">
        <f t="array" aca="1" ref="S136:S141" ca="1">'Distr CV 1'!G136:G141</f>
        <v>0</v>
      </c>
      <c r="T136" s="1992">
        <f ca="1"/>
        <v>0</v>
      </c>
      <c r="U136" s="1992">
        <f ca="1"/>
        <v>0</v>
      </c>
      <c r="V136" s="1992">
        <f ca="1"/>
        <v>0</v>
      </c>
      <c r="W136" s="1992">
        <f ca="1"/>
        <v>0</v>
      </c>
      <c r="X136" s="1992">
        <f ca="1"/>
        <v>0</v>
      </c>
      <c r="Y136" s="2010">
        <f ca="1"/>
        <v>0</v>
      </c>
    </row>
    <row r="137" spans="1:25">
      <c r="A137" s="1995" t="str">
        <f>A$80</f>
        <v>8 meses antes</v>
      </c>
      <c r="B137" s="1991"/>
      <c r="C137" s="1991"/>
      <c r="D137" s="1991"/>
      <c r="E137" s="1991"/>
      <c r="F137" s="603">
        <f t="array" aca="1" ref="F137:Q137" ca="1">B21:M21*Produção!$F$9</f>
        <v>0</v>
      </c>
      <c r="G137" s="603">
        <f ca="1"/>
        <v>0</v>
      </c>
      <c r="H137" s="603">
        <f ca="1"/>
        <v>0</v>
      </c>
      <c r="I137" s="603">
        <f ca="1"/>
        <v>0</v>
      </c>
      <c r="J137" s="603">
        <f ca="1"/>
        <v>0</v>
      </c>
      <c r="K137" s="603">
        <f ca="1"/>
        <v>0</v>
      </c>
      <c r="L137" s="603">
        <f ca="1"/>
        <v>0</v>
      </c>
      <c r="M137" s="603">
        <f ca="1"/>
        <v>0</v>
      </c>
      <c r="N137" s="603">
        <f ca="1"/>
        <v>0</v>
      </c>
      <c r="O137" s="603">
        <f ca="1"/>
        <v>0</v>
      </c>
      <c r="P137" s="603">
        <f ca="1"/>
        <v>0</v>
      </c>
      <c r="Q137" s="603">
        <f ca="1"/>
        <v>0</v>
      </c>
      <c r="R137" s="1992">
        <f t="array" aca="1" ref="R137:R141" ca="1">'Distr CV 1'!F137:F141</f>
        <v>0</v>
      </c>
      <c r="S137" s="1992">
        <f ca="1"/>
        <v>0</v>
      </c>
      <c r="T137" s="1992">
        <f ca="1"/>
        <v>0</v>
      </c>
      <c r="U137" s="1992">
        <f ca="1"/>
        <v>0</v>
      </c>
      <c r="V137" s="1992">
        <f ca="1"/>
        <v>0</v>
      </c>
      <c r="W137" s="1992">
        <f ca="1"/>
        <v>0</v>
      </c>
      <c r="X137" s="1992">
        <f ca="1"/>
        <v>0</v>
      </c>
      <c r="Y137" s="2010">
        <f ca="1"/>
        <v>0</v>
      </c>
    </row>
    <row r="138" spans="1:25">
      <c r="A138" s="1995" t="str">
        <f>A$81</f>
        <v>9 meses antes</v>
      </c>
      <c r="B138" s="1991"/>
      <c r="C138" s="1991"/>
      <c r="D138" s="1991"/>
      <c r="E138" s="603">
        <f t="array" aca="1" ref="E138:P138" ca="1">B21:M21*Produção!$E$9</f>
        <v>0</v>
      </c>
      <c r="F138" s="603">
        <f ca="1"/>
        <v>0</v>
      </c>
      <c r="G138" s="603">
        <f ca="1"/>
        <v>0</v>
      </c>
      <c r="H138" s="603">
        <f ca="1"/>
        <v>0</v>
      </c>
      <c r="I138" s="603">
        <f ca="1"/>
        <v>0</v>
      </c>
      <c r="J138" s="603">
        <f ca="1"/>
        <v>0</v>
      </c>
      <c r="K138" s="603">
        <f ca="1"/>
        <v>0</v>
      </c>
      <c r="L138" s="603">
        <f ca="1"/>
        <v>0</v>
      </c>
      <c r="M138" s="603">
        <f ca="1"/>
        <v>0</v>
      </c>
      <c r="N138" s="603">
        <f ca="1"/>
        <v>0</v>
      </c>
      <c r="O138" s="603">
        <f ca="1"/>
        <v>0</v>
      </c>
      <c r="P138" s="603">
        <f ca="1"/>
        <v>0</v>
      </c>
      <c r="Q138" s="1992">
        <f t="array" aca="1" ref="Q138:Q141" ca="1">'Distr CV 1'!E138:F141</f>
        <v>0</v>
      </c>
      <c r="R138" s="1992">
        <f ca="1"/>
        <v>0</v>
      </c>
      <c r="S138" s="1992">
        <f ca="1"/>
        <v>0</v>
      </c>
      <c r="T138" s="1992">
        <f ca="1"/>
        <v>0</v>
      </c>
      <c r="U138" s="1992">
        <f ca="1"/>
        <v>0</v>
      </c>
      <c r="V138" s="1992">
        <f ca="1"/>
        <v>0</v>
      </c>
      <c r="W138" s="1992">
        <f ca="1"/>
        <v>0</v>
      </c>
      <c r="X138" s="1992">
        <f ca="1"/>
        <v>0</v>
      </c>
      <c r="Y138" s="2010">
        <f ca="1"/>
        <v>0</v>
      </c>
    </row>
    <row r="139" spans="1:25">
      <c r="A139" s="1995" t="str">
        <f>A$82</f>
        <v>10 meses antes</v>
      </c>
      <c r="B139" s="1991"/>
      <c r="C139" s="1991"/>
      <c r="D139" s="603">
        <f t="array" aca="1" ref="D139:O139" ca="1">B21:M21*Produção!$D$9</f>
        <v>0</v>
      </c>
      <c r="E139" s="603">
        <f ca="1"/>
        <v>0</v>
      </c>
      <c r="F139" s="603">
        <f ca="1"/>
        <v>0</v>
      </c>
      <c r="G139" s="603">
        <f ca="1"/>
        <v>0</v>
      </c>
      <c r="H139" s="603">
        <f ca="1"/>
        <v>0</v>
      </c>
      <c r="I139" s="603">
        <f ca="1"/>
        <v>0</v>
      </c>
      <c r="J139" s="603">
        <f ca="1"/>
        <v>0</v>
      </c>
      <c r="K139" s="603">
        <f ca="1"/>
        <v>0</v>
      </c>
      <c r="L139" s="603">
        <f ca="1"/>
        <v>0</v>
      </c>
      <c r="M139" s="603">
        <f ca="1"/>
        <v>0</v>
      </c>
      <c r="N139" s="603">
        <f ca="1"/>
        <v>0</v>
      </c>
      <c r="O139" s="603">
        <f ca="1"/>
        <v>0</v>
      </c>
      <c r="P139" s="1992">
        <f t="array" aca="1" ref="P139:P141" ca="1">'Distr CV 1'!D139:D141</f>
        <v>0</v>
      </c>
      <c r="Q139" s="1992">
        <f ca="1"/>
        <v>0</v>
      </c>
      <c r="R139" s="1992">
        <f ca="1"/>
        <v>0</v>
      </c>
      <c r="S139" s="1992">
        <f ca="1"/>
        <v>0</v>
      </c>
      <c r="T139" s="1992">
        <f ca="1"/>
        <v>0</v>
      </c>
      <c r="U139" s="1992">
        <f ca="1"/>
        <v>0</v>
      </c>
      <c r="V139" s="1992">
        <f ca="1"/>
        <v>0</v>
      </c>
      <c r="W139" s="1992">
        <f ca="1"/>
        <v>0</v>
      </c>
      <c r="X139" s="1992">
        <f ca="1"/>
        <v>0</v>
      </c>
      <c r="Y139" s="2010">
        <f ca="1"/>
        <v>0</v>
      </c>
    </row>
    <row r="140" spans="1:25">
      <c r="A140" s="1995" t="str">
        <f>A$83</f>
        <v>11 meses antes</v>
      </c>
      <c r="B140" s="1991"/>
      <c r="C140" s="603">
        <f t="array" aca="1" ref="C140:N140" ca="1">B21:M21*Produção!$C$9</f>
        <v>0</v>
      </c>
      <c r="D140" s="603">
        <f ca="1"/>
        <v>0</v>
      </c>
      <c r="E140" s="603">
        <f ca="1"/>
        <v>0</v>
      </c>
      <c r="F140" s="603">
        <f ca="1"/>
        <v>0</v>
      </c>
      <c r="G140" s="603">
        <f ca="1"/>
        <v>0</v>
      </c>
      <c r="H140" s="603">
        <f ca="1"/>
        <v>0</v>
      </c>
      <c r="I140" s="603">
        <f ca="1"/>
        <v>0</v>
      </c>
      <c r="J140" s="603">
        <f ca="1"/>
        <v>0</v>
      </c>
      <c r="K140" s="603">
        <f ca="1"/>
        <v>0</v>
      </c>
      <c r="L140" s="603">
        <f ca="1"/>
        <v>0</v>
      </c>
      <c r="M140" s="603">
        <f ca="1"/>
        <v>0</v>
      </c>
      <c r="N140" s="603">
        <f ca="1"/>
        <v>0</v>
      </c>
      <c r="O140" s="1992">
        <f t="array" aca="1" ref="O140:O141" ca="1">'Distr CV 1'!C140:C141</f>
        <v>0</v>
      </c>
      <c r="P140" s="1992">
        <f ca="1"/>
        <v>0</v>
      </c>
      <c r="Q140" s="1992">
        <f ca="1"/>
        <v>0</v>
      </c>
      <c r="R140" s="1992">
        <f ca="1"/>
        <v>0</v>
      </c>
      <c r="S140" s="1992">
        <f ca="1"/>
        <v>0</v>
      </c>
      <c r="T140" s="1992">
        <f ca="1"/>
        <v>0</v>
      </c>
      <c r="U140" s="1992">
        <f ca="1"/>
        <v>0</v>
      </c>
      <c r="V140" s="1992">
        <f ca="1"/>
        <v>0</v>
      </c>
      <c r="W140" s="1992">
        <f ca="1"/>
        <v>0</v>
      </c>
      <c r="X140" s="1992">
        <f ca="1"/>
        <v>0</v>
      </c>
      <c r="Y140" s="2010">
        <f ca="1"/>
        <v>0</v>
      </c>
    </row>
    <row r="141" spans="1:25" ht="13.5" thickBot="1">
      <c r="A141" s="1995" t="str">
        <f>A$84</f>
        <v>12 meses antes</v>
      </c>
      <c r="B141" s="603">
        <f t="array" aca="1" ref="B141:M141" ca="1">B21:M21*Produção!$B$9</f>
        <v>0</v>
      </c>
      <c r="C141" s="603">
        <f ca="1"/>
        <v>0</v>
      </c>
      <c r="D141" s="603">
        <f ca="1"/>
        <v>0</v>
      </c>
      <c r="E141" s="603">
        <f ca="1"/>
        <v>0</v>
      </c>
      <c r="F141" s="603">
        <f ca="1"/>
        <v>0</v>
      </c>
      <c r="G141" s="603">
        <f ca="1"/>
        <v>0</v>
      </c>
      <c r="H141" s="603">
        <f ca="1"/>
        <v>0</v>
      </c>
      <c r="I141" s="603">
        <f ca="1"/>
        <v>0</v>
      </c>
      <c r="J141" s="603">
        <f ca="1"/>
        <v>0</v>
      </c>
      <c r="K141" s="603">
        <f ca="1"/>
        <v>0</v>
      </c>
      <c r="L141" s="603">
        <f ca="1"/>
        <v>0</v>
      </c>
      <c r="M141" s="603">
        <f ca="1"/>
        <v>0</v>
      </c>
      <c r="N141" s="1991">
        <f ca="1">'Distr CV 1'!B141</f>
        <v>0</v>
      </c>
      <c r="O141" s="1992">
        <f ca="1"/>
        <v>0</v>
      </c>
      <c r="P141" s="1992">
        <f ca="1"/>
        <v>0</v>
      </c>
      <c r="Q141" s="1992">
        <f ca="1"/>
        <v>0</v>
      </c>
      <c r="R141" s="1992">
        <f ca="1"/>
        <v>0</v>
      </c>
      <c r="S141" s="1992">
        <f ca="1"/>
        <v>0</v>
      </c>
      <c r="T141" s="1992">
        <f ca="1"/>
        <v>0</v>
      </c>
      <c r="U141" s="1992">
        <f ca="1"/>
        <v>0</v>
      </c>
      <c r="V141" s="1992">
        <f ca="1"/>
        <v>0</v>
      </c>
      <c r="W141" s="1992">
        <f ca="1"/>
        <v>0</v>
      </c>
      <c r="X141" s="1992">
        <f ca="1"/>
        <v>0</v>
      </c>
      <c r="Y141" s="2010">
        <f ca="1"/>
        <v>0</v>
      </c>
    </row>
    <row r="142" spans="1:25" ht="15.75" customHeight="1" thickBot="1">
      <c r="A142" s="105" t="str">
        <f>"Totais CV "&amp;A$9</f>
        <v xml:space="preserve">Totais CV </v>
      </c>
      <c r="B142" s="607">
        <f t="shared" ref="B142:Y142" ca="1" si="12">SUM(B129:B141)</f>
        <v>0</v>
      </c>
      <c r="C142" s="607">
        <f t="shared" ca="1" si="12"/>
        <v>0</v>
      </c>
      <c r="D142" s="607">
        <f t="shared" ca="1" si="12"/>
        <v>0</v>
      </c>
      <c r="E142" s="607">
        <f t="shared" ca="1" si="12"/>
        <v>0</v>
      </c>
      <c r="F142" s="607">
        <f t="shared" ca="1" si="12"/>
        <v>0</v>
      </c>
      <c r="G142" s="607">
        <f t="shared" ca="1" si="12"/>
        <v>0</v>
      </c>
      <c r="H142" s="607">
        <f t="shared" ca="1" si="12"/>
        <v>0</v>
      </c>
      <c r="I142" s="607">
        <f t="shared" ca="1" si="12"/>
        <v>0</v>
      </c>
      <c r="J142" s="607">
        <f t="shared" ca="1" si="12"/>
        <v>0</v>
      </c>
      <c r="K142" s="607">
        <f t="shared" ca="1" si="12"/>
        <v>0</v>
      </c>
      <c r="L142" s="607">
        <f t="shared" ca="1" si="12"/>
        <v>0</v>
      </c>
      <c r="M142" s="607">
        <f t="shared" ca="1" si="12"/>
        <v>0</v>
      </c>
      <c r="N142" s="607">
        <f t="shared" ca="1" si="12"/>
        <v>0</v>
      </c>
      <c r="O142" s="607">
        <f t="shared" ca="1" si="12"/>
        <v>0</v>
      </c>
      <c r="P142" s="607">
        <f t="shared" ca="1" si="12"/>
        <v>0</v>
      </c>
      <c r="Q142" s="607">
        <f t="shared" ca="1" si="12"/>
        <v>0</v>
      </c>
      <c r="R142" s="607">
        <f t="shared" ca="1" si="12"/>
        <v>0</v>
      </c>
      <c r="S142" s="607">
        <f t="shared" ca="1" si="12"/>
        <v>0</v>
      </c>
      <c r="T142" s="607">
        <f t="shared" ca="1" si="12"/>
        <v>0</v>
      </c>
      <c r="U142" s="607">
        <f t="shared" ca="1" si="12"/>
        <v>0</v>
      </c>
      <c r="V142" s="607">
        <f t="shared" ca="1" si="12"/>
        <v>0</v>
      </c>
      <c r="W142" s="607">
        <f t="shared" ca="1" si="12"/>
        <v>0</v>
      </c>
      <c r="X142" s="607">
        <f t="shared" ca="1" si="12"/>
        <v>0</v>
      </c>
      <c r="Y142" s="2008">
        <f t="shared" ca="1" si="12"/>
        <v>0</v>
      </c>
    </row>
    <row r="143" spans="1:25" ht="15.75" customHeight="1" thickBot="1">
      <c r="A143" s="105" t="str">
        <f>'Dados Básicos'!A28&amp;" sop. CV "&amp;$A$9</f>
        <v xml:space="preserve">IVA sop. CV </v>
      </c>
      <c r="B143" s="607">
        <f t="array" aca="1" ref="B143:Y143" ca="1">$K$127*B142:Y142</f>
        <v>0</v>
      </c>
      <c r="C143" s="607">
        <f ca="1"/>
        <v>0</v>
      </c>
      <c r="D143" s="607">
        <f ca="1"/>
        <v>0</v>
      </c>
      <c r="E143" s="607">
        <f ca="1"/>
        <v>0</v>
      </c>
      <c r="F143" s="607">
        <f ca="1"/>
        <v>0</v>
      </c>
      <c r="G143" s="607">
        <f ca="1"/>
        <v>0</v>
      </c>
      <c r="H143" s="607">
        <f ca="1"/>
        <v>0</v>
      </c>
      <c r="I143" s="607">
        <f ca="1"/>
        <v>0</v>
      </c>
      <c r="J143" s="607">
        <f ca="1"/>
        <v>0</v>
      </c>
      <c r="K143" s="607">
        <f ca="1"/>
        <v>0</v>
      </c>
      <c r="L143" s="607">
        <f ca="1"/>
        <v>0</v>
      </c>
      <c r="M143" s="607">
        <f ca="1"/>
        <v>0</v>
      </c>
      <c r="N143" s="607">
        <f ca="1"/>
        <v>0</v>
      </c>
      <c r="O143" s="607">
        <f ca="1"/>
        <v>0</v>
      </c>
      <c r="P143" s="607">
        <f ca="1"/>
        <v>0</v>
      </c>
      <c r="Q143" s="607">
        <f ca="1"/>
        <v>0</v>
      </c>
      <c r="R143" s="607">
        <f ca="1"/>
        <v>0</v>
      </c>
      <c r="S143" s="607">
        <f ca="1"/>
        <v>0</v>
      </c>
      <c r="T143" s="607">
        <f ca="1"/>
        <v>0</v>
      </c>
      <c r="U143" s="607">
        <f ca="1"/>
        <v>0</v>
      </c>
      <c r="V143" s="607">
        <f ca="1"/>
        <v>0</v>
      </c>
      <c r="W143" s="607">
        <f ca="1"/>
        <v>0</v>
      </c>
      <c r="X143" s="607">
        <f ca="1"/>
        <v>0</v>
      </c>
      <c r="Y143" s="2008">
        <f ca="1"/>
        <v>0</v>
      </c>
    </row>
    <row r="145" spans="1:26" ht="18.75" thickBot="1">
      <c r="A145" s="1993" t="str">
        <f>"Compras / custos de producción por meses de "&amp;A$10</f>
        <v xml:space="preserve">Compras / custos de producción por meses de </v>
      </c>
      <c r="I145" s="1993" t="str">
        <f>$I$109</f>
        <v>IVA NO incluido</v>
      </c>
      <c r="K145" s="2005">
        <f>Parametros!$F$26</f>
        <v>0.21</v>
      </c>
    </row>
    <row r="146" spans="1:26" s="456" customFormat="1" ht="30" customHeight="1" thickBot="1">
      <c r="A146" s="457" t="str">
        <f>A$110</f>
        <v>mes de compra / custo</v>
      </c>
      <c r="B146" s="2011" t="str">
        <f t="array" ref="B146:Y146">B$71:Y$71</f>
        <v>janeiro
2025</v>
      </c>
      <c r="C146" s="2011" t="str">
        <v>fevereiro
2025</v>
      </c>
      <c r="D146" s="2011" t="str">
        <v>março
2025</v>
      </c>
      <c r="E146" s="2011" t="str">
        <v>abril
2025</v>
      </c>
      <c r="F146" s="2011" t="str">
        <v>maio
2025</v>
      </c>
      <c r="G146" s="2011" t="str">
        <v>junho
2025</v>
      </c>
      <c r="H146" s="2011" t="str">
        <v>julho
2025</v>
      </c>
      <c r="I146" s="2011" t="str">
        <v>agosto
2025</v>
      </c>
      <c r="J146" s="2011" t="str">
        <v>setembro
2025</v>
      </c>
      <c r="K146" s="2011" t="str">
        <v>outubro
2025</v>
      </c>
      <c r="L146" s="2011" t="str">
        <v>novembro
2025</v>
      </c>
      <c r="M146" s="2011" t="str">
        <v>dezembro
2025</v>
      </c>
      <c r="N146" s="2734" t="str">
        <v>janeiro 
2026</v>
      </c>
      <c r="O146" s="2735" t="str">
        <v>fevereiro 
2026</v>
      </c>
      <c r="P146" s="2735" t="str">
        <v>março 
2026</v>
      </c>
      <c r="Q146" s="2735" t="str">
        <v>abril 
2026</v>
      </c>
      <c r="R146" s="2735" t="str">
        <v>maio 
2026</v>
      </c>
      <c r="S146" s="2735" t="str">
        <v>junho 
2026</v>
      </c>
      <c r="T146" s="2735" t="str">
        <v>julho 
2026</v>
      </c>
      <c r="U146" s="2735" t="str">
        <v>agosto 
2026</v>
      </c>
      <c r="V146" s="2735" t="str">
        <v>setembro 
2026</v>
      </c>
      <c r="W146" s="2735" t="str">
        <v>outubro 
2026</v>
      </c>
      <c r="X146" s="2735" t="str">
        <v>novembro 
2026</v>
      </c>
      <c r="Y146" s="2736" t="str">
        <v>dezembro 
2026</v>
      </c>
      <c r="Z146" s="62"/>
    </row>
    <row r="147" spans="1:26">
      <c r="A147" s="1994" t="str">
        <f>A$72</f>
        <v>mesmo mes</v>
      </c>
      <c r="B147" s="1991"/>
      <c r="C147" s="1991"/>
      <c r="D147" s="1991"/>
      <c r="E147" s="1991"/>
      <c r="F147" s="1991"/>
      <c r="G147" s="1991"/>
      <c r="H147" s="1991"/>
      <c r="I147" s="1991"/>
      <c r="J147" s="1991"/>
      <c r="K147" s="1991"/>
      <c r="L147" s="1991"/>
      <c r="M147" s="1991"/>
      <c r="N147" s="603">
        <f t="array" aca="1" ref="N147:Y147" ca="1">B22:M22*Produção!$N$10</f>
        <v>0</v>
      </c>
      <c r="O147" s="603">
        <f ca="1"/>
        <v>0</v>
      </c>
      <c r="P147" s="603">
        <f ca="1"/>
        <v>0</v>
      </c>
      <c r="Q147" s="603">
        <f ca="1"/>
        <v>0</v>
      </c>
      <c r="R147" s="603">
        <f ca="1"/>
        <v>0</v>
      </c>
      <c r="S147" s="603">
        <f ca="1"/>
        <v>0</v>
      </c>
      <c r="T147" s="603">
        <f ca="1"/>
        <v>0</v>
      </c>
      <c r="U147" s="603">
        <f ca="1"/>
        <v>0</v>
      </c>
      <c r="V147" s="603">
        <f ca="1"/>
        <v>0</v>
      </c>
      <c r="W147" s="603">
        <f ca="1"/>
        <v>0</v>
      </c>
      <c r="X147" s="603">
        <f ca="1"/>
        <v>0</v>
      </c>
      <c r="Y147" s="2006">
        <f ca="1"/>
        <v>0</v>
      </c>
    </row>
    <row r="148" spans="1:26">
      <c r="A148" s="1995" t="str">
        <f>A$73</f>
        <v>1 mes antes</v>
      </c>
      <c r="B148" s="1991"/>
      <c r="C148" s="1991"/>
      <c r="D148" s="1991"/>
      <c r="E148" s="1991"/>
      <c r="F148" s="1991"/>
      <c r="G148" s="1991"/>
      <c r="H148" s="1991"/>
      <c r="I148" s="1991"/>
      <c r="J148" s="1991"/>
      <c r="K148" s="1991"/>
      <c r="L148" s="1991"/>
      <c r="M148" s="603">
        <f t="array" aca="1" ref="M148:X148" ca="1">B22:M22*Produção!$M$10</f>
        <v>0</v>
      </c>
      <c r="N148" s="603">
        <f ca="1"/>
        <v>0</v>
      </c>
      <c r="O148" s="603">
        <f ca="1"/>
        <v>0</v>
      </c>
      <c r="P148" s="603">
        <f ca="1"/>
        <v>0</v>
      </c>
      <c r="Q148" s="603">
        <f ca="1"/>
        <v>0</v>
      </c>
      <c r="R148" s="603">
        <f ca="1"/>
        <v>0</v>
      </c>
      <c r="S148" s="603">
        <f ca="1"/>
        <v>0</v>
      </c>
      <c r="T148" s="603">
        <f ca="1"/>
        <v>0</v>
      </c>
      <c r="U148" s="603">
        <f ca="1"/>
        <v>0</v>
      </c>
      <c r="V148" s="603">
        <f ca="1"/>
        <v>0</v>
      </c>
      <c r="W148" s="603">
        <f ca="1"/>
        <v>0</v>
      </c>
      <c r="X148" s="603">
        <f ca="1"/>
        <v>0</v>
      </c>
      <c r="Y148" s="2007">
        <f t="array" aca="1" ref="Y148:Y159" ca="1">'Distr CV 1'!M148:M159</f>
        <v>0</v>
      </c>
    </row>
    <row r="149" spans="1:26">
      <c r="A149" s="1995" t="str">
        <f>A$74</f>
        <v>2 meses antes</v>
      </c>
      <c r="B149" s="1991"/>
      <c r="C149" s="1991"/>
      <c r="D149" s="1991"/>
      <c r="E149" s="1991"/>
      <c r="F149" s="1991"/>
      <c r="G149" s="1991"/>
      <c r="H149" s="1991"/>
      <c r="I149" s="1991"/>
      <c r="J149" s="1991"/>
      <c r="K149" s="1991"/>
      <c r="L149" s="603">
        <f t="array" aca="1" ref="L149:W149" ca="1">B22:M22*Produção!$L$10</f>
        <v>0</v>
      </c>
      <c r="M149" s="603">
        <f ca="1"/>
        <v>0</v>
      </c>
      <c r="N149" s="603">
        <f ca="1"/>
        <v>0</v>
      </c>
      <c r="O149" s="603">
        <f ca="1"/>
        <v>0</v>
      </c>
      <c r="P149" s="603">
        <f ca="1"/>
        <v>0</v>
      </c>
      <c r="Q149" s="603">
        <f ca="1"/>
        <v>0</v>
      </c>
      <c r="R149" s="603">
        <f ca="1"/>
        <v>0</v>
      </c>
      <c r="S149" s="603">
        <f ca="1"/>
        <v>0</v>
      </c>
      <c r="T149" s="603">
        <f ca="1"/>
        <v>0</v>
      </c>
      <c r="U149" s="603">
        <f ca="1"/>
        <v>0</v>
      </c>
      <c r="V149" s="603">
        <f ca="1"/>
        <v>0</v>
      </c>
      <c r="W149" s="603">
        <f ca="1"/>
        <v>0</v>
      </c>
      <c r="X149" s="1988">
        <f t="array" aca="1" ref="X149:X159" ca="1">'Distr CV 1'!L149:L159</f>
        <v>0</v>
      </c>
      <c r="Y149" s="2007">
        <f ca="1"/>
        <v>0</v>
      </c>
    </row>
    <row r="150" spans="1:26">
      <c r="A150" s="1995" t="str">
        <f>A$75</f>
        <v>3 meses antes</v>
      </c>
      <c r="B150" s="1991"/>
      <c r="C150" s="1991"/>
      <c r="D150" s="1991"/>
      <c r="E150" s="1991"/>
      <c r="F150" s="1991"/>
      <c r="G150" s="1991"/>
      <c r="H150" s="1991"/>
      <c r="I150" s="1991"/>
      <c r="J150" s="1991"/>
      <c r="K150" s="603">
        <f t="array" aca="1" ref="K150:V150" ca="1">B22:M22*Produção!$K$10</f>
        <v>0</v>
      </c>
      <c r="L150" s="603">
        <f ca="1"/>
        <v>0</v>
      </c>
      <c r="M150" s="603">
        <f ca="1"/>
        <v>0</v>
      </c>
      <c r="N150" s="603">
        <f ca="1"/>
        <v>0</v>
      </c>
      <c r="O150" s="603">
        <f ca="1"/>
        <v>0</v>
      </c>
      <c r="P150" s="603">
        <f ca="1"/>
        <v>0</v>
      </c>
      <c r="Q150" s="603">
        <f ca="1"/>
        <v>0</v>
      </c>
      <c r="R150" s="603">
        <f ca="1"/>
        <v>0</v>
      </c>
      <c r="S150" s="603">
        <f ca="1"/>
        <v>0</v>
      </c>
      <c r="T150" s="603">
        <f ca="1"/>
        <v>0</v>
      </c>
      <c r="U150" s="603">
        <f ca="1"/>
        <v>0</v>
      </c>
      <c r="V150" s="603">
        <f ca="1"/>
        <v>0</v>
      </c>
      <c r="W150" s="1988">
        <f t="array" aca="1" ref="W150:W159" ca="1">'Distr CV 1'!K150:K159</f>
        <v>0</v>
      </c>
      <c r="X150" s="1988">
        <f ca="1"/>
        <v>0</v>
      </c>
      <c r="Y150" s="2007">
        <f ca="1"/>
        <v>0</v>
      </c>
    </row>
    <row r="151" spans="1:26">
      <c r="A151" s="1995" t="str">
        <f>A$76</f>
        <v>4 meses antes</v>
      </c>
      <c r="B151" s="1991"/>
      <c r="C151" s="1991"/>
      <c r="D151" s="1991"/>
      <c r="E151" s="1991"/>
      <c r="F151" s="1991"/>
      <c r="G151" s="1991"/>
      <c r="H151" s="1991"/>
      <c r="I151" s="1991"/>
      <c r="J151" s="603">
        <f t="array" aca="1" ref="J151:U151" ca="1">B22:M22*Produção!$J$10</f>
        <v>0</v>
      </c>
      <c r="K151" s="603">
        <f ca="1"/>
        <v>0</v>
      </c>
      <c r="L151" s="603">
        <f ca="1"/>
        <v>0</v>
      </c>
      <c r="M151" s="603">
        <f ca="1"/>
        <v>0</v>
      </c>
      <c r="N151" s="603">
        <f ca="1"/>
        <v>0</v>
      </c>
      <c r="O151" s="603">
        <f ca="1"/>
        <v>0</v>
      </c>
      <c r="P151" s="603">
        <f ca="1"/>
        <v>0</v>
      </c>
      <c r="Q151" s="603">
        <f ca="1"/>
        <v>0</v>
      </c>
      <c r="R151" s="603">
        <f ca="1"/>
        <v>0</v>
      </c>
      <c r="S151" s="603">
        <f ca="1"/>
        <v>0</v>
      </c>
      <c r="T151" s="603">
        <f ca="1"/>
        <v>0</v>
      </c>
      <c r="U151" s="603">
        <f ca="1"/>
        <v>0</v>
      </c>
      <c r="V151" s="1988">
        <f t="array" aca="1" ref="V151:V159" ca="1">'Distr CV 1'!J151:J159</f>
        <v>0</v>
      </c>
      <c r="W151" s="1988">
        <f ca="1"/>
        <v>0</v>
      </c>
      <c r="X151" s="1988">
        <f ca="1"/>
        <v>0</v>
      </c>
      <c r="Y151" s="2007">
        <f ca="1"/>
        <v>0</v>
      </c>
    </row>
    <row r="152" spans="1:26">
      <c r="A152" s="1995" t="str">
        <f>A$77</f>
        <v>5 meses antes</v>
      </c>
      <c r="B152" s="1991"/>
      <c r="C152" s="1991"/>
      <c r="D152" s="1991"/>
      <c r="E152" s="1991"/>
      <c r="F152" s="1991"/>
      <c r="G152" s="1991"/>
      <c r="H152" s="1991"/>
      <c r="I152" s="603">
        <f t="array" aca="1" ref="I152:T152" ca="1">B22:M22*Produção!$I$10</f>
        <v>0</v>
      </c>
      <c r="J152" s="603">
        <f ca="1"/>
        <v>0</v>
      </c>
      <c r="K152" s="603">
        <f ca="1"/>
        <v>0</v>
      </c>
      <c r="L152" s="603">
        <f ca="1"/>
        <v>0</v>
      </c>
      <c r="M152" s="603">
        <f ca="1"/>
        <v>0</v>
      </c>
      <c r="N152" s="603">
        <f ca="1"/>
        <v>0</v>
      </c>
      <c r="O152" s="603">
        <f ca="1"/>
        <v>0</v>
      </c>
      <c r="P152" s="603">
        <f ca="1"/>
        <v>0</v>
      </c>
      <c r="Q152" s="603">
        <f ca="1"/>
        <v>0</v>
      </c>
      <c r="R152" s="603">
        <f ca="1"/>
        <v>0</v>
      </c>
      <c r="S152" s="603">
        <f ca="1"/>
        <v>0</v>
      </c>
      <c r="T152" s="603">
        <f ca="1"/>
        <v>0</v>
      </c>
      <c r="U152" s="1988">
        <f t="array" aca="1" ref="U152:U159" ca="1">'Distr CV 1'!I152:I159</f>
        <v>0</v>
      </c>
      <c r="V152" s="1988">
        <f ca="1"/>
        <v>0</v>
      </c>
      <c r="W152" s="1988">
        <f ca="1"/>
        <v>0</v>
      </c>
      <c r="X152" s="1988">
        <f ca="1"/>
        <v>0</v>
      </c>
      <c r="Y152" s="2007">
        <f ca="1"/>
        <v>0</v>
      </c>
    </row>
    <row r="153" spans="1:26">
      <c r="A153" s="1995" t="str">
        <f>A$78</f>
        <v>6 meses antes</v>
      </c>
      <c r="B153" s="1991"/>
      <c r="C153" s="1991"/>
      <c r="D153" s="1991"/>
      <c r="E153" s="1991"/>
      <c r="F153" s="1991"/>
      <c r="G153" s="1991"/>
      <c r="H153" s="603">
        <f t="array" aca="1" ref="H153:S153" ca="1">B22:M22*Produção!$H$10</f>
        <v>0</v>
      </c>
      <c r="I153" s="603">
        <f ca="1"/>
        <v>0</v>
      </c>
      <c r="J153" s="603">
        <f ca="1"/>
        <v>0</v>
      </c>
      <c r="K153" s="603">
        <f ca="1"/>
        <v>0</v>
      </c>
      <c r="L153" s="603">
        <f ca="1"/>
        <v>0</v>
      </c>
      <c r="M153" s="603">
        <f ca="1"/>
        <v>0</v>
      </c>
      <c r="N153" s="603">
        <f ca="1"/>
        <v>0</v>
      </c>
      <c r="O153" s="603">
        <f ca="1"/>
        <v>0</v>
      </c>
      <c r="P153" s="603">
        <f ca="1"/>
        <v>0</v>
      </c>
      <c r="Q153" s="603">
        <f ca="1"/>
        <v>0</v>
      </c>
      <c r="R153" s="603">
        <f ca="1"/>
        <v>0</v>
      </c>
      <c r="S153" s="603">
        <f ca="1"/>
        <v>0</v>
      </c>
      <c r="T153" s="1988">
        <f t="array" aca="1" ref="T153:T159" ca="1">'Distr CV 1'!H153:H159</f>
        <v>0</v>
      </c>
      <c r="U153" s="1988">
        <f ca="1"/>
        <v>0</v>
      </c>
      <c r="V153" s="1988">
        <f ca="1"/>
        <v>0</v>
      </c>
      <c r="W153" s="1988">
        <f ca="1"/>
        <v>0</v>
      </c>
      <c r="X153" s="1988">
        <f ca="1"/>
        <v>0</v>
      </c>
      <c r="Y153" s="2007">
        <f ca="1"/>
        <v>0</v>
      </c>
    </row>
    <row r="154" spans="1:26">
      <c r="A154" s="1995" t="str">
        <f>A$79</f>
        <v>7 meses antes</v>
      </c>
      <c r="B154" s="1991"/>
      <c r="C154" s="1991"/>
      <c r="D154" s="1991"/>
      <c r="E154" s="1991"/>
      <c r="F154" s="1991"/>
      <c r="G154" s="603">
        <f t="array" aca="1" ref="G154:R154" ca="1">B22:M22*Produção!$G$10</f>
        <v>0</v>
      </c>
      <c r="H154" s="603">
        <f ca="1"/>
        <v>0</v>
      </c>
      <c r="I154" s="603">
        <f ca="1"/>
        <v>0</v>
      </c>
      <c r="J154" s="603">
        <f ca="1"/>
        <v>0</v>
      </c>
      <c r="K154" s="603">
        <f ca="1"/>
        <v>0</v>
      </c>
      <c r="L154" s="603">
        <f ca="1"/>
        <v>0</v>
      </c>
      <c r="M154" s="603">
        <f ca="1"/>
        <v>0</v>
      </c>
      <c r="N154" s="603">
        <f ca="1"/>
        <v>0</v>
      </c>
      <c r="O154" s="603">
        <f ca="1"/>
        <v>0</v>
      </c>
      <c r="P154" s="603">
        <f ca="1"/>
        <v>0</v>
      </c>
      <c r="Q154" s="603">
        <f ca="1"/>
        <v>0</v>
      </c>
      <c r="R154" s="603">
        <f ca="1"/>
        <v>0</v>
      </c>
      <c r="S154" s="1992">
        <f t="array" aca="1" ref="S154:S159" ca="1">'Distr CV 1'!G154:G159</f>
        <v>0</v>
      </c>
      <c r="T154" s="1992">
        <f ca="1"/>
        <v>0</v>
      </c>
      <c r="U154" s="1992">
        <f ca="1"/>
        <v>0</v>
      </c>
      <c r="V154" s="1992">
        <f ca="1"/>
        <v>0</v>
      </c>
      <c r="W154" s="1992">
        <f ca="1"/>
        <v>0</v>
      </c>
      <c r="X154" s="1992">
        <f ca="1"/>
        <v>0</v>
      </c>
      <c r="Y154" s="2010">
        <f ca="1"/>
        <v>0</v>
      </c>
    </row>
    <row r="155" spans="1:26">
      <c r="A155" s="1995" t="str">
        <f>A$80</f>
        <v>8 meses antes</v>
      </c>
      <c r="B155" s="1991"/>
      <c r="C155" s="1991"/>
      <c r="D155" s="1991"/>
      <c r="E155" s="1991"/>
      <c r="F155" s="603">
        <f t="array" aca="1" ref="F155:Q155" ca="1">B22:M22*Produção!$F$10</f>
        <v>0</v>
      </c>
      <c r="G155" s="603">
        <f ca="1"/>
        <v>0</v>
      </c>
      <c r="H155" s="603">
        <f ca="1"/>
        <v>0</v>
      </c>
      <c r="I155" s="603">
        <f ca="1"/>
        <v>0</v>
      </c>
      <c r="J155" s="603">
        <f ca="1"/>
        <v>0</v>
      </c>
      <c r="K155" s="603">
        <f ca="1"/>
        <v>0</v>
      </c>
      <c r="L155" s="603">
        <f ca="1"/>
        <v>0</v>
      </c>
      <c r="M155" s="603">
        <f ca="1"/>
        <v>0</v>
      </c>
      <c r="N155" s="603">
        <f ca="1"/>
        <v>0</v>
      </c>
      <c r="O155" s="603">
        <f ca="1"/>
        <v>0</v>
      </c>
      <c r="P155" s="603">
        <f ca="1"/>
        <v>0</v>
      </c>
      <c r="Q155" s="603">
        <f ca="1"/>
        <v>0</v>
      </c>
      <c r="R155" s="1992">
        <f t="array" aca="1" ref="R155:R159" ca="1">'Distr CV 1'!F155:F159</f>
        <v>0</v>
      </c>
      <c r="S155" s="1992">
        <f ca="1"/>
        <v>0</v>
      </c>
      <c r="T155" s="1992">
        <f ca="1"/>
        <v>0</v>
      </c>
      <c r="U155" s="1992">
        <f ca="1"/>
        <v>0</v>
      </c>
      <c r="V155" s="1992">
        <f ca="1"/>
        <v>0</v>
      </c>
      <c r="W155" s="1992">
        <f ca="1"/>
        <v>0</v>
      </c>
      <c r="X155" s="1992">
        <f ca="1"/>
        <v>0</v>
      </c>
      <c r="Y155" s="2010">
        <f ca="1"/>
        <v>0</v>
      </c>
    </row>
    <row r="156" spans="1:26">
      <c r="A156" s="1995" t="str">
        <f>A$81</f>
        <v>9 meses antes</v>
      </c>
      <c r="B156" s="1991"/>
      <c r="C156" s="1991"/>
      <c r="D156" s="1991"/>
      <c r="E156" s="603">
        <f t="array" aca="1" ref="E156:P156" ca="1">B22:M22*Produção!$E$10</f>
        <v>0</v>
      </c>
      <c r="F156" s="603">
        <f ca="1"/>
        <v>0</v>
      </c>
      <c r="G156" s="603">
        <f ca="1"/>
        <v>0</v>
      </c>
      <c r="H156" s="603">
        <f ca="1"/>
        <v>0</v>
      </c>
      <c r="I156" s="603">
        <f ca="1"/>
        <v>0</v>
      </c>
      <c r="J156" s="603">
        <f ca="1"/>
        <v>0</v>
      </c>
      <c r="K156" s="603">
        <f ca="1"/>
        <v>0</v>
      </c>
      <c r="L156" s="603">
        <f ca="1"/>
        <v>0</v>
      </c>
      <c r="M156" s="603">
        <f ca="1"/>
        <v>0</v>
      </c>
      <c r="N156" s="603">
        <f ca="1"/>
        <v>0</v>
      </c>
      <c r="O156" s="603">
        <f ca="1"/>
        <v>0</v>
      </c>
      <c r="P156" s="603">
        <f ca="1"/>
        <v>0</v>
      </c>
      <c r="Q156" s="1992">
        <f t="array" aca="1" ref="Q156:Q159" ca="1">'Distr CV 1'!E156:F159</f>
        <v>0</v>
      </c>
      <c r="R156" s="1992">
        <f ca="1"/>
        <v>0</v>
      </c>
      <c r="S156" s="1992">
        <f ca="1"/>
        <v>0</v>
      </c>
      <c r="T156" s="1992">
        <f ca="1"/>
        <v>0</v>
      </c>
      <c r="U156" s="1992">
        <f ca="1"/>
        <v>0</v>
      </c>
      <c r="V156" s="1992">
        <f ca="1"/>
        <v>0</v>
      </c>
      <c r="W156" s="1992">
        <f ca="1"/>
        <v>0</v>
      </c>
      <c r="X156" s="1992">
        <f ca="1"/>
        <v>0</v>
      </c>
      <c r="Y156" s="2010">
        <f ca="1"/>
        <v>0</v>
      </c>
    </row>
    <row r="157" spans="1:26">
      <c r="A157" s="1995" t="str">
        <f>A$82</f>
        <v>10 meses antes</v>
      </c>
      <c r="B157" s="1991"/>
      <c r="C157" s="1991"/>
      <c r="D157" s="603">
        <f t="array" aca="1" ref="D157:O157" ca="1">B22:M22*Produção!$D$10</f>
        <v>0</v>
      </c>
      <c r="E157" s="603">
        <f ca="1"/>
        <v>0</v>
      </c>
      <c r="F157" s="603">
        <f ca="1"/>
        <v>0</v>
      </c>
      <c r="G157" s="603">
        <f ca="1"/>
        <v>0</v>
      </c>
      <c r="H157" s="603">
        <f ca="1"/>
        <v>0</v>
      </c>
      <c r="I157" s="603">
        <f ca="1"/>
        <v>0</v>
      </c>
      <c r="J157" s="603">
        <f ca="1"/>
        <v>0</v>
      </c>
      <c r="K157" s="603">
        <f ca="1"/>
        <v>0</v>
      </c>
      <c r="L157" s="603">
        <f ca="1"/>
        <v>0</v>
      </c>
      <c r="M157" s="603">
        <f ca="1"/>
        <v>0</v>
      </c>
      <c r="N157" s="603">
        <f ca="1"/>
        <v>0</v>
      </c>
      <c r="O157" s="603">
        <f ca="1"/>
        <v>0</v>
      </c>
      <c r="P157" s="1992">
        <f t="array" aca="1" ref="P157:P159" ca="1">'Distr CV 1'!D157:D159</f>
        <v>0</v>
      </c>
      <c r="Q157" s="1992">
        <f ca="1"/>
        <v>0</v>
      </c>
      <c r="R157" s="1992">
        <f ca="1"/>
        <v>0</v>
      </c>
      <c r="S157" s="1992">
        <f ca="1"/>
        <v>0</v>
      </c>
      <c r="T157" s="1992">
        <f ca="1"/>
        <v>0</v>
      </c>
      <c r="U157" s="1992">
        <f ca="1"/>
        <v>0</v>
      </c>
      <c r="V157" s="1992">
        <f ca="1"/>
        <v>0</v>
      </c>
      <c r="W157" s="1992">
        <f ca="1"/>
        <v>0</v>
      </c>
      <c r="X157" s="1992">
        <f ca="1"/>
        <v>0</v>
      </c>
      <c r="Y157" s="2010">
        <f ca="1"/>
        <v>0</v>
      </c>
    </row>
    <row r="158" spans="1:26">
      <c r="A158" s="1995" t="str">
        <f>A$83</f>
        <v>11 meses antes</v>
      </c>
      <c r="B158" s="1991"/>
      <c r="C158" s="603">
        <f t="array" aca="1" ref="C158:N158" ca="1">B22:M22*Produção!$C$10</f>
        <v>0</v>
      </c>
      <c r="D158" s="603">
        <f ca="1"/>
        <v>0</v>
      </c>
      <c r="E158" s="603">
        <f ca="1"/>
        <v>0</v>
      </c>
      <c r="F158" s="603">
        <f ca="1"/>
        <v>0</v>
      </c>
      <c r="G158" s="603">
        <f ca="1"/>
        <v>0</v>
      </c>
      <c r="H158" s="603">
        <f ca="1"/>
        <v>0</v>
      </c>
      <c r="I158" s="603">
        <f ca="1"/>
        <v>0</v>
      </c>
      <c r="J158" s="603">
        <f ca="1"/>
        <v>0</v>
      </c>
      <c r="K158" s="603">
        <f ca="1"/>
        <v>0</v>
      </c>
      <c r="L158" s="603">
        <f ca="1"/>
        <v>0</v>
      </c>
      <c r="M158" s="603">
        <f ca="1"/>
        <v>0</v>
      </c>
      <c r="N158" s="603">
        <f ca="1"/>
        <v>0</v>
      </c>
      <c r="O158" s="1992">
        <f t="array" aca="1" ref="O158:O159" ca="1">'Distr CV 1'!C158:C159</f>
        <v>0</v>
      </c>
      <c r="P158" s="1992">
        <f ca="1"/>
        <v>0</v>
      </c>
      <c r="Q158" s="1992">
        <f ca="1"/>
        <v>0</v>
      </c>
      <c r="R158" s="1992">
        <f ca="1"/>
        <v>0</v>
      </c>
      <c r="S158" s="1992">
        <f ca="1"/>
        <v>0</v>
      </c>
      <c r="T158" s="1992">
        <f ca="1"/>
        <v>0</v>
      </c>
      <c r="U158" s="1992">
        <f ca="1"/>
        <v>0</v>
      </c>
      <c r="V158" s="1992">
        <f ca="1"/>
        <v>0</v>
      </c>
      <c r="W158" s="1992">
        <f ca="1"/>
        <v>0</v>
      </c>
      <c r="X158" s="1992">
        <f ca="1"/>
        <v>0</v>
      </c>
      <c r="Y158" s="2010">
        <f ca="1"/>
        <v>0</v>
      </c>
    </row>
    <row r="159" spans="1:26" ht="13.5" thickBot="1">
      <c r="A159" s="1995" t="str">
        <f>A$84</f>
        <v>12 meses antes</v>
      </c>
      <c r="B159" s="603">
        <f t="array" aca="1" ref="B159:M159" ca="1">B22:M22*Produção!$B$10</f>
        <v>0</v>
      </c>
      <c r="C159" s="603">
        <f ca="1"/>
        <v>0</v>
      </c>
      <c r="D159" s="603">
        <f ca="1"/>
        <v>0</v>
      </c>
      <c r="E159" s="603">
        <f ca="1"/>
        <v>0</v>
      </c>
      <c r="F159" s="603">
        <f ca="1"/>
        <v>0</v>
      </c>
      <c r="G159" s="603">
        <f ca="1"/>
        <v>0</v>
      </c>
      <c r="H159" s="603">
        <f ca="1"/>
        <v>0</v>
      </c>
      <c r="I159" s="603">
        <f ca="1"/>
        <v>0</v>
      </c>
      <c r="J159" s="603">
        <f ca="1"/>
        <v>0</v>
      </c>
      <c r="K159" s="603">
        <f ca="1"/>
        <v>0</v>
      </c>
      <c r="L159" s="603">
        <f ca="1"/>
        <v>0</v>
      </c>
      <c r="M159" s="603">
        <f ca="1"/>
        <v>0</v>
      </c>
      <c r="N159" s="1991">
        <f ca="1">'Distr CV 1'!B159</f>
        <v>0</v>
      </c>
      <c r="O159" s="1992">
        <f ca="1"/>
        <v>0</v>
      </c>
      <c r="P159" s="1992">
        <f ca="1"/>
        <v>0</v>
      </c>
      <c r="Q159" s="1992">
        <f ca="1"/>
        <v>0</v>
      </c>
      <c r="R159" s="1992">
        <f ca="1"/>
        <v>0</v>
      </c>
      <c r="S159" s="1992">
        <f ca="1"/>
        <v>0</v>
      </c>
      <c r="T159" s="1992">
        <f ca="1"/>
        <v>0</v>
      </c>
      <c r="U159" s="1992">
        <f ca="1"/>
        <v>0</v>
      </c>
      <c r="V159" s="1992">
        <f ca="1"/>
        <v>0</v>
      </c>
      <c r="W159" s="1992">
        <f ca="1"/>
        <v>0</v>
      </c>
      <c r="X159" s="1992">
        <f ca="1"/>
        <v>0</v>
      </c>
      <c r="Y159" s="2010">
        <f ca="1"/>
        <v>0</v>
      </c>
    </row>
    <row r="160" spans="1:26" ht="15.75" customHeight="1" thickBot="1">
      <c r="A160" s="105" t="str">
        <f>"Totais CV "&amp;A$10</f>
        <v xml:space="preserve">Totais CV </v>
      </c>
      <c r="B160" s="607">
        <f t="shared" ref="B160:Y160" ca="1" si="13">SUM(B147:B159)</f>
        <v>0</v>
      </c>
      <c r="C160" s="607">
        <f t="shared" ca="1" si="13"/>
        <v>0</v>
      </c>
      <c r="D160" s="607">
        <f t="shared" ca="1" si="13"/>
        <v>0</v>
      </c>
      <c r="E160" s="607">
        <f t="shared" ca="1" si="13"/>
        <v>0</v>
      </c>
      <c r="F160" s="607">
        <f t="shared" ca="1" si="13"/>
        <v>0</v>
      </c>
      <c r="G160" s="607">
        <f t="shared" ca="1" si="13"/>
        <v>0</v>
      </c>
      <c r="H160" s="607">
        <f t="shared" ca="1" si="13"/>
        <v>0</v>
      </c>
      <c r="I160" s="607">
        <f t="shared" ca="1" si="13"/>
        <v>0</v>
      </c>
      <c r="J160" s="607">
        <f t="shared" ca="1" si="13"/>
        <v>0</v>
      </c>
      <c r="K160" s="607">
        <f t="shared" ca="1" si="13"/>
        <v>0</v>
      </c>
      <c r="L160" s="607">
        <f t="shared" ca="1" si="13"/>
        <v>0</v>
      </c>
      <c r="M160" s="607">
        <f t="shared" ca="1" si="13"/>
        <v>0</v>
      </c>
      <c r="N160" s="607">
        <f t="shared" ca="1" si="13"/>
        <v>0</v>
      </c>
      <c r="O160" s="607">
        <f t="shared" ca="1" si="13"/>
        <v>0</v>
      </c>
      <c r="P160" s="607">
        <f t="shared" ca="1" si="13"/>
        <v>0</v>
      </c>
      <c r="Q160" s="607">
        <f t="shared" ca="1" si="13"/>
        <v>0</v>
      </c>
      <c r="R160" s="607">
        <f t="shared" ca="1" si="13"/>
        <v>0</v>
      </c>
      <c r="S160" s="607">
        <f t="shared" ca="1" si="13"/>
        <v>0</v>
      </c>
      <c r="T160" s="607">
        <f t="shared" ca="1" si="13"/>
        <v>0</v>
      </c>
      <c r="U160" s="607">
        <f t="shared" ca="1" si="13"/>
        <v>0</v>
      </c>
      <c r="V160" s="607">
        <f t="shared" ca="1" si="13"/>
        <v>0</v>
      </c>
      <c r="W160" s="607">
        <f t="shared" ca="1" si="13"/>
        <v>0</v>
      </c>
      <c r="X160" s="607">
        <f t="shared" ca="1" si="13"/>
        <v>0</v>
      </c>
      <c r="Y160" s="2008">
        <f t="shared" ca="1" si="13"/>
        <v>0</v>
      </c>
    </row>
    <row r="161" spans="1:26" ht="15.75" customHeight="1" thickBot="1">
      <c r="A161" s="105" t="str">
        <f>'Dados Básicos'!A28&amp;" sop. CV "&amp;$A$10</f>
        <v xml:space="preserve">IVA sop. CV </v>
      </c>
      <c r="B161" s="607">
        <f t="array" aca="1" ref="B161:Y161" ca="1">$K$145*B160:Y160</f>
        <v>0</v>
      </c>
      <c r="C161" s="607">
        <f ca="1"/>
        <v>0</v>
      </c>
      <c r="D161" s="607">
        <f ca="1"/>
        <v>0</v>
      </c>
      <c r="E161" s="607">
        <f ca="1"/>
        <v>0</v>
      </c>
      <c r="F161" s="607">
        <f ca="1"/>
        <v>0</v>
      </c>
      <c r="G161" s="607">
        <f ca="1"/>
        <v>0</v>
      </c>
      <c r="H161" s="607">
        <f ca="1"/>
        <v>0</v>
      </c>
      <c r="I161" s="607">
        <f ca="1"/>
        <v>0</v>
      </c>
      <c r="J161" s="607">
        <f ca="1"/>
        <v>0</v>
      </c>
      <c r="K161" s="607">
        <f ca="1"/>
        <v>0</v>
      </c>
      <c r="L161" s="607">
        <f ca="1"/>
        <v>0</v>
      </c>
      <c r="M161" s="607">
        <f ca="1"/>
        <v>0</v>
      </c>
      <c r="N161" s="607">
        <f ca="1"/>
        <v>0</v>
      </c>
      <c r="O161" s="607">
        <f ca="1"/>
        <v>0</v>
      </c>
      <c r="P161" s="607">
        <f ca="1"/>
        <v>0</v>
      </c>
      <c r="Q161" s="607">
        <f ca="1"/>
        <v>0</v>
      </c>
      <c r="R161" s="607">
        <f ca="1"/>
        <v>0</v>
      </c>
      <c r="S161" s="607">
        <f ca="1"/>
        <v>0</v>
      </c>
      <c r="T161" s="607">
        <f ca="1"/>
        <v>0</v>
      </c>
      <c r="U161" s="607">
        <f ca="1"/>
        <v>0</v>
      </c>
      <c r="V161" s="607">
        <f ca="1"/>
        <v>0</v>
      </c>
      <c r="W161" s="607">
        <f ca="1"/>
        <v>0</v>
      </c>
      <c r="X161" s="607">
        <f ca="1"/>
        <v>0</v>
      </c>
      <c r="Y161" s="2008">
        <f ca="1"/>
        <v>0</v>
      </c>
    </row>
    <row r="163" spans="1:26" ht="18.75" thickBot="1">
      <c r="A163" s="1993" t="str">
        <f>"Compras / custos de producción por meses de "&amp;A$11</f>
        <v xml:space="preserve">Compras / custos de producción por meses de </v>
      </c>
      <c r="I163" s="1993" t="str">
        <f>$I$109</f>
        <v>IVA NO incluido</v>
      </c>
      <c r="K163" s="2005">
        <f>Parametros!$F$27</f>
        <v>0.21</v>
      </c>
    </row>
    <row r="164" spans="1:26" s="456" customFormat="1" ht="30" customHeight="1" thickBot="1">
      <c r="A164" s="457" t="str">
        <f>A$110</f>
        <v>mes de compra / custo</v>
      </c>
      <c r="B164" s="2011" t="str">
        <f t="array" ref="B164:Y164">B$71:Y$71</f>
        <v>janeiro
2025</v>
      </c>
      <c r="C164" s="2011" t="str">
        <v>fevereiro
2025</v>
      </c>
      <c r="D164" s="2011" t="str">
        <v>março
2025</v>
      </c>
      <c r="E164" s="2011" t="str">
        <v>abril
2025</v>
      </c>
      <c r="F164" s="2011" t="str">
        <v>maio
2025</v>
      </c>
      <c r="G164" s="2011" t="str">
        <v>junho
2025</v>
      </c>
      <c r="H164" s="2011" t="str">
        <v>julho
2025</v>
      </c>
      <c r="I164" s="2011" t="str">
        <v>agosto
2025</v>
      </c>
      <c r="J164" s="2011" t="str">
        <v>setembro
2025</v>
      </c>
      <c r="K164" s="2011" t="str">
        <v>outubro
2025</v>
      </c>
      <c r="L164" s="2011" t="str">
        <v>novembro
2025</v>
      </c>
      <c r="M164" s="2011" t="str">
        <v>dezembro
2025</v>
      </c>
      <c r="N164" s="2734" t="str">
        <v>janeiro 
2026</v>
      </c>
      <c r="O164" s="2735" t="str">
        <v>fevereiro 
2026</v>
      </c>
      <c r="P164" s="2735" t="str">
        <v>março 
2026</v>
      </c>
      <c r="Q164" s="2735" t="str">
        <v>abril 
2026</v>
      </c>
      <c r="R164" s="2735" t="str">
        <v>maio 
2026</v>
      </c>
      <c r="S164" s="2735" t="str">
        <v>junho 
2026</v>
      </c>
      <c r="T164" s="2735" t="str">
        <v>julho 
2026</v>
      </c>
      <c r="U164" s="2735" t="str">
        <v>agosto 
2026</v>
      </c>
      <c r="V164" s="2735" t="str">
        <v>setembro 
2026</v>
      </c>
      <c r="W164" s="2735" t="str">
        <v>outubro 
2026</v>
      </c>
      <c r="X164" s="2735" t="str">
        <v>novembro 
2026</v>
      </c>
      <c r="Y164" s="2736" t="str">
        <v>dezembro 
2026</v>
      </c>
      <c r="Z164" s="62"/>
    </row>
    <row r="165" spans="1:26">
      <c r="A165" s="1994" t="str">
        <f>A$72</f>
        <v>mesmo mes</v>
      </c>
      <c r="B165" s="1991"/>
      <c r="C165" s="1991"/>
      <c r="D165" s="1991"/>
      <c r="E165" s="1991"/>
      <c r="F165" s="1991"/>
      <c r="G165" s="1991"/>
      <c r="H165" s="1991"/>
      <c r="I165" s="1991"/>
      <c r="J165" s="1991"/>
      <c r="K165" s="1991"/>
      <c r="L165" s="1991"/>
      <c r="M165" s="1991"/>
      <c r="N165" s="603">
        <f t="array" aca="1" ref="N165:Y165" ca="1">B23:M23*Produção!$N$11</f>
        <v>0</v>
      </c>
      <c r="O165" s="603">
        <f ca="1"/>
        <v>0</v>
      </c>
      <c r="P165" s="603">
        <f ca="1"/>
        <v>0</v>
      </c>
      <c r="Q165" s="603">
        <f ca="1"/>
        <v>0</v>
      </c>
      <c r="R165" s="603">
        <f ca="1"/>
        <v>0</v>
      </c>
      <c r="S165" s="603">
        <f ca="1"/>
        <v>0</v>
      </c>
      <c r="T165" s="603">
        <f ca="1"/>
        <v>0</v>
      </c>
      <c r="U165" s="603">
        <f ca="1"/>
        <v>0</v>
      </c>
      <c r="V165" s="603">
        <f ca="1"/>
        <v>0</v>
      </c>
      <c r="W165" s="603">
        <f ca="1"/>
        <v>0</v>
      </c>
      <c r="X165" s="603">
        <f ca="1"/>
        <v>0</v>
      </c>
      <c r="Y165" s="2006">
        <f ca="1"/>
        <v>0</v>
      </c>
    </row>
    <row r="166" spans="1:26">
      <c r="A166" s="1995" t="str">
        <f>A$73</f>
        <v>1 mes antes</v>
      </c>
      <c r="B166" s="1991"/>
      <c r="C166" s="1991"/>
      <c r="D166" s="1991"/>
      <c r="E166" s="1991"/>
      <c r="F166" s="1991"/>
      <c r="G166" s="1991"/>
      <c r="H166" s="1991"/>
      <c r="I166" s="1991"/>
      <c r="J166" s="1991"/>
      <c r="K166" s="1991"/>
      <c r="L166" s="1991"/>
      <c r="M166" s="603">
        <f t="array" aca="1" ref="M166:X166" ca="1">B23:M23*Produção!$M$11</f>
        <v>0</v>
      </c>
      <c r="N166" s="603">
        <f ca="1"/>
        <v>0</v>
      </c>
      <c r="O166" s="603">
        <f ca="1"/>
        <v>0</v>
      </c>
      <c r="P166" s="603">
        <f ca="1"/>
        <v>0</v>
      </c>
      <c r="Q166" s="603">
        <f ca="1"/>
        <v>0</v>
      </c>
      <c r="R166" s="603">
        <f ca="1"/>
        <v>0</v>
      </c>
      <c r="S166" s="603">
        <f ca="1"/>
        <v>0</v>
      </c>
      <c r="T166" s="603">
        <f ca="1"/>
        <v>0</v>
      </c>
      <c r="U166" s="603">
        <f ca="1"/>
        <v>0</v>
      </c>
      <c r="V166" s="603">
        <f ca="1"/>
        <v>0</v>
      </c>
      <c r="W166" s="603">
        <f ca="1"/>
        <v>0</v>
      </c>
      <c r="X166" s="603">
        <f ca="1"/>
        <v>0</v>
      </c>
      <c r="Y166" s="2007">
        <f t="array" aca="1" ref="Y166:Y177" ca="1">'Distr CV 1'!M166:M177</f>
        <v>0</v>
      </c>
    </row>
    <row r="167" spans="1:26">
      <c r="A167" s="1995" t="str">
        <f>A$74</f>
        <v>2 meses antes</v>
      </c>
      <c r="B167" s="1991"/>
      <c r="C167" s="1991"/>
      <c r="D167" s="1991"/>
      <c r="E167" s="1991"/>
      <c r="F167" s="1991"/>
      <c r="G167" s="1991"/>
      <c r="H167" s="1991"/>
      <c r="I167" s="1991"/>
      <c r="J167" s="1991"/>
      <c r="K167" s="1991"/>
      <c r="L167" s="603">
        <f t="array" aca="1" ref="L167:W167" ca="1">B23:M23*Produção!$L$11</f>
        <v>0</v>
      </c>
      <c r="M167" s="603">
        <f ca="1"/>
        <v>0</v>
      </c>
      <c r="N167" s="603">
        <f ca="1"/>
        <v>0</v>
      </c>
      <c r="O167" s="603">
        <f ca="1"/>
        <v>0</v>
      </c>
      <c r="P167" s="603">
        <f ca="1"/>
        <v>0</v>
      </c>
      <c r="Q167" s="603">
        <f ca="1"/>
        <v>0</v>
      </c>
      <c r="R167" s="603">
        <f ca="1"/>
        <v>0</v>
      </c>
      <c r="S167" s="603">
        <f ca="1"/>
        <v>0</v>
      </c>
      <c r="T167" s="603">
        <f ca="1"/>
        <v>0</v>
      </c>
      <c r="U167" s="603">
        <f ca="1"/>
        <v>0</v>
      </c>
      <c r="V167" s="603">
        <f ca="1"/>
        <v>0</v>
      </c>
      <c r="W167" s="603">
        <f ca="1"/>
        <v>0</v>
      </c>
      <c r="X167" s="1988">
        <f t="array" aca="1" ref="X167:X177" ca="1">'Distr CV 1'!L167:L177</f>
        <v>0</v>
      </c>
      <c r="Y167" s="2007">
        <f ca="1"/>
        <v>0</v>
      </c>
    </row>
    <row r="168" spans="1:26">
      <c r="A168" s="1995" t="str">
        <f>A$75</f>
        <v>3 meses antes</v>
      </c>
      <c r="B168" s="1991"/>
      <c r="C168" s="1991"/>
      <c r="D168" s="1991"/>
      <c r="E168" s="1991"/>
      <c r="F168" s="1991"/>
      <c r="G168" s="1991"/>
      <c r="H168" s="1991"/>
      <c r="I168" s="1991"/>
      <c r="J168" s="1991"/>
      <c r="K168" s="603">
        <f t="array" aca="1" ref="K168:V168" ca="1">B23:M23*Produção!$K$11</f>
        <v>0</v>
      </c>
      <c r="L168" s="603">
        <f ca="1"/>
        <v>0</v>
      </c>
      <c r="M168" s="603">
        <f ca="1"/>
        <v>0</v>
      </c>
      <c r="N168" s="603">
        <f ca="1"/>
        <v>0</v>
      </c>
      <c r="O168" s="603">
        <f ca="1"/>
        <v>0</v>
      </c>
      <c r="P168" s="603">
        <f ca="1"/>
        <v>0</v>
      </c>
      <c r="Q168" s="603">
        <f ca="1"/>
        <v>0</v>
      </c>
      <c r="R168" s="603">
        <f ca="1"/>
        <v>0</v>
      </c>
      <c r="S168" s="603">
        <f ca="1"/>
        <v>0</v>
      </c>
      <c r="T168" s="603">
        <f ca="1"/>
        <v>0</v>
      </c>
      <c r="U168" s="603">
        <f ca="1"/>
        <v>0</v>
      </c>
      <c r="V168" s="603">
        <f ca="1"/>
        <v>0</v>
      </c>
      <c r="W168" s="1988">
        <f t="array" aca="1" ref="W168:W177" ca="1">'Distr CV 1'!K168:K177</f>
        <v>0</v>
      </c>
      <c r="X168" s="1988">
        <f ca="1"/>
        <v>0</v>
      </c>
      <c r="Y168" s="2007">
        <f ca="1"/>
        <v>0</v>
      </c>
    </row>
    <row r="169" spans="1:26">
      <c r="A169" s="1995" t="str">
        <f>A$76</f>
        <v>4 meses antes</v>
      </c>
      <c r="B169" s="1991"/>
      <c r="C169" s="1991"/>
      <c r="D169" s="1991"/>
      <c r="E169" s="1991"/>
      <c r="F169" s="1991"/>
      <c r="G169" s="1991"/>
      <c r="H169" s="1991"/>
      <c r="I169" s="1991"/>
      <c r="J169" s="603">
        <f t="array" aca="1" ref="J169:U169" ca="1">B23:M23*Produção!$J$11</f>
        <v>0</v>
      </c>
      <c r="K169" s="603">
        <f ca="1"/>
        <v>0</v>
      </c>
      <c r="L169" s="603">
        <f ca="1"/>
        <v>0</v>
      </c>
      <c r="M169" s="603">
        <f ca="1"/>
        <v>0</v>
      </c>
      <c r="N169" s="603">
        <f ca="1"/>
        <v>0</v>
      </c>
      <c r="O169" s="603">
        <f ca="1"/>
        <v>0</v>
      </c>
      <c r="P169" s="603">
        <f ca="1"/>
        <v>0</v>
      </c>
      <c r="Q169" s="603">
        <f ca="1"/>
        <v>0</v>
      </c>
      <c r="R169" s="603">
        <f ca="1"/>
        <v>0</v>
      </c>
      <c r="S169" s="603">
        <f ca="1"/>
        <v>0</v>
      </c>
      <c r="T169" s="603">
        <f ca="1"/>
        <v>0</v>
      </c>
      <c r="U169" s="603">
        <f ca="1"/>
        <v>0</v>
      </c>
      <c r="V169" s="1988">
        <f t="array" aca="1" ref="V169:V177" ca="1">'Distr CV 1'!J169:J177</f>
        <v>0</v>
      </c>
      <c r="W169" s="1988">
        <f ca="1"/>
        <v>0</v>
      </c>
      <c r="X169" s="1988">
        <f ca="1"/>
        <v>0</v>
      </c>
      <c r="Y169" s="2007">
        <f ca="1"/>
        <v>0</v>
      </c>
    </row>
    <row r="170" spans="1:26">
      <c r="A170" s="1995" t="str">
        <f>A$77</f>
        <v>5 meses antes</v>
      </c>
      <c r="B170" s="1991"/>
      <c r="C170" s="1991"/>
      <c r="D170" s="1991"/>
      <c r="E170" s="1991"/>
      <c r="F170" s="1991"/>
      <c r="G170" s="1991"/>
      <c r="H170" s="1991"/>
      <c r="I170" s="603">
        <f t="array" aca="1" ref="I170:T170" ca="1">B23:M23*Produção!$I$11</f>
        <v>0</v>
      </c>
      <c r="J170" s="603">
        <f ca="1"/>
        <v>0</v>
      </c>
      <c r="K170" s="603">
        <f ca="1"/>
        <v>0</v>
      </c>
      <c r="L170" s="603">
        <f ca="1"/>
        <v>0</v>
      </c>
      <c r="M170" s="603">
        <f ca="1"/>
        <v>0</v>
      </c>
      <c r="N170" s="603">
        <f ca="1"/>
        <v>0</v>
      </c>
      <c r="O170" s="603">
        <f ca="1"/>
        <v>0</v>
      </c>
      <c r="P170" s="603">
        <f ca="1"/>
        <v>0</v>
      </c>
      <c r="Q170" s="603">
        <f ca="1"/>
        <v>0</v>
      </c>
      <c r="R170" s="603">
        <f ca="1"/>
        <v>0</v>
      </c>
      <c r="S170" s="603">
        <f ca="1"/>
        <v>0</v>
      </c>
      <c r="T170" s="603">
        <f ca="1"/>
        <v>0</v>
      </c>
      <c r="U170" s="1988">
        <f t="array" aca="1" ref="U170:U177" ca="1">'Distr CV 1'!I170:I177</f>
        <v>0</v>
      </c>
      <c r="V170" s="1988">
        <f ca="1"/>
        <v>0</v>
      </c>
      <c r="W170" s="1988">
        <f ca="1"/>
        <v>0</v>
      </c>
      <c r="X170" s="1988">
        <f ca="1"/>
        <v>0</v>
      </c>
      <c r="Y170" s="2007">
        <f ca="1"/>
        <v>0</v>
      </c>
    </row>
    <row r="171" spans="1:26">
      <c r="A171" s="1995" t="str">
        <f>A$78</f>
        <v>6 meses antes</v>
      </c>
      <c r="B171" s="1991"/>
      <c r="C171" s="1991"/>
      <c r="D171" s="1991"/>
      <c r="E171" s="1991"/>
      <c r="F171" s="1991"/>
      <c r="G171" s="1991"/>
      <c r="H171" s="603">
        <f t="array" aca="1" ref="H171:S171" ca="1">B23:M23*Produção!$H$11</f>
        <v>0</v>
      </c>
      <c r="I171" s="603">
        <f ca="1"/>
        <v>0</v>
      </c>
      <c r="J171" s="603">
        <f ca="1"/>
        <v>0</v>
      </c>
      <c r="K171" s="603">
        <f ca="1"/>
        <v>0</v>
      </c>
      <c r="L171" s="603">
        <f ca="1"/>
        <v>0</v>
      </c>
      <c r="M171" s="603">
        <f ca="1"/>
        <v>0</v>
      </c>
      <c r="N171" s="603">
        <f ca="1"/>
        <v>0</v>
      </c>
      <c r="O171" s="603">
        <f ca="1"/>
        <v>0</v>
      </c>
      <c r="P171" s="603">
        <f ca="1"/>
        <v>0</v>
      </c>
      <c r="Q171" s="603">
        <f ca="1"/>
        <v>0</v>
      </c>
      <c r="R171" s="603">
        <f ca="1"/>
        <v>0</v>
      </c>
      <c r="S171" s="603">
        <f ca="1"/>
        <v>0</v>
      </c>
      <c r="T171" s="1988">
        <f t="array" aca="1" ref="T171:T177" ca="1">'Distr CV 1'!H171:H177</f>
        <v>0</v>
      </c>
      <c r="U171" s="1988">
        <f ca="1"/>
        <v>0</v>
      </c>
      <c r="V171" s="1988">
        <f ca="1"/>
        <v>0</v>
      </c>
      <c r="W171" s="1988">
        <f ca="1"/>
        <v>0</v>
      </c>
      <c r="X171" s="1988">
        <f ca="1"/>
        <v>0</v>
      </c>
      <c r="Y171" s="2007">
        <f ca="1"/>
        <v>0</v>
      </c>
    </row>
    <row r="172" spans="1:26">
      <c r="A172" s="1995" t="str">
        <f>A$79</f>
        <v>7 meses antes</v>
      </c>
      <c r="B172" s="1991"/>
      <c r="C172" s="1991"/>
      <c r="D172" s="1991"/>
      <c r="E172" s="1991"/>
      <c r="F172" s="1991"/>
      <c r="G172" s="603">
        <f t="array" aca="1" ref="G172:R172" ca="1">B23:M23*Produção!$G$11</f>
        <v>0</v>
      </c>
      <c r="H172" s="603">
        <f ca="1"/>
        <v>0</v>
      </c>
      <c r="I172" s="603">
        <f ca="1"/>
        <v>0</v>
      </c>
      <c r="J172" s="603">
        <f ca="1"/>
        <v>0</v>
      </c>
      <c r="K172" s="603">
        <f ca="1"/>
        <v>0</v>
      </c>
      <c r="L172" s="603">
        <f ca="1"/>
        <v>0</v>
      </c>
      <c r="M172" s="603">
        <f ca="1"/>
        <v>0</v>
      </c>
      <c r="N172" s="603">
        <f ca="1"/>
        <v>0</v>
      </c>
      <c r="O172" s="603">
        <f ca="1"/>
        <v>0</v>
      </c>
      <c r="P172" s="603">
        <f ca="1"/>
        <v>0</v>
      </c>
      <c r="Q172" s="603">
        <f ca="1"/>
        <v>0</v>
      </c>
      <c r="R172" s="603">
        <f ca="1"/>
        <v>0</v>
      </c>
      <c r="S172" s="1992">
        <f t="array" aca="1" ref="S172:S177" ca="1">'Distr CV 1'!G172:G177</f>
        <v>0</v>
      </c>
      <c r="T172" s="1992">
        <f ca="1"/>
        <v>0</v>
      </c>
      <c r="U172" s="1992">
        <f ca="1"/>
        <v>0</v>
      </c>
      <c r="V172" s="1992">
        <f ca="1"/>
        <v>0</v>
      </c>
      <c r="W172" s="1992">
        <f ca="1"/>
        <v>0</v>
      </c>
      <c r="X172" s="1992">
        <f ca="1"/>
        <v>0</v>
      </c>
      <c r="Y172" s="2010">
        <f ca="1"/>
        <v>0</v>
      </c>
    </row>
    <row r="173" spans="1:26">
      <c r="A173" s="1995" t="str">
        <f>A$80</f>
        <v>8 meses antes</v>
      </c>
      <c r="B173" s="1991"/>
      <c r="C173" s="1991"/>
      <c r="D173" s="1991"/>
      <c r="E173" s="1991"/>
      <c r="F173" s="603">
        <f t="array" aca="1" ref="F173:Q173" ca="1">B23:M23*Produção!$F$11</f>
        <v>0</v>
      </c>
      <c r="G173" s="603">
        <f ca="1"/>
        <v>0</v>
      </c>
      <c r="H173" s="603">
        <f ca="1"/>
        <v>0</v>
      </c>
      <c r="I173" s="603">
        <f ca="1"/>
        <v>0</v>
      </c>
      <c r="J173" s="603">
        <f ca="1"/>
        <v>0</v>
      </c>
      <c r="K173" s="603">
        <f ca="1"/>
        <v>0</v>
      </c>
      <c r="L173" s="603">
        <f ca="1"/>
        <v>0</v>
      </c>
      <c r="M173" s="603">
        <f ca="1"/>
        <v>0</v>
      </c>
      <c r="N173" s="603">
        <f ca="1"/>
        <v>0</v>
      </c>
      <c r="O173" s="603">
        <f ca="1"/>
        <v>0</v>
      </c>
      <c r="P173" s="603">
        <f ca="1"/>
        <v>0</v>
      </c>
      <c r="Q173" s="603">
        <f ca="1"/>
        <v>0</v>
      </c>
      <c r="R173" s="1992">
        <f t="array" aca="1" ref="R173:R177" ca="1">'Distr CV 1'!F173:F177</f>
        <v>0</v>
      </c>
      <c r="S173" s="1992">
        <f ca="1"/>
        <v>0</v>
      </c>
      <c r="T173" s="1992">
        <f ca="1"/>
        <v>0</v>
      </c>
      <c r="U173" s="1992">
        <f ca="1"/>
        <v>0</v>
      </c>
      <c r="V173" s="1992">
        <f ca="1"/>
        <v>0</v>
      </c>
      <c r="W173" s="1992">
        <f ca="1"/>
        <v>0</v>
      </c>
      <c r="X173" s="1992">
        <f ca="1"/>
        <v>0</v>
      </c>
      <c r="Y173" s="2010">
        <f ca="1"/>
        <v>0</v>
      </c>
    </row>
    <row r="174" spans="1:26">
      <c r="A174" s="1995" t="str">
        <f>A$81</f>
        <v>9 meses antes</v>
      </c>
      <c r="B174" s="1991"/>
      <c r="C174" s="1991"/>
      <c r="D174" s="1991"/>
      <c r="E174" s="603">
        <f t="array" aca="1" ref="E174:P174" ca="1">B23:M23*Produção!$E$11</f>
        <v>0</v>
      </c>
      <c r="F174" s="603">
        <f ca="1"/>
        <v>0</v>
      </c>
      <c r="G174" s="603">
        <f ca="1"/>
        <v>0</v>
      </c>
      <c r="H174" s="603">
        <f ca="1"/>
        <v>0</v>
      </c>
      <c r="I174" s="603">
        <f ca="1"/>
        <v>0</v>
      </c>
      <c r="J174" s="603">
        <f ca="1"/>
        <v>0</v>
      </c>
      <c r="K174" s="603">
        <f ca="1"/>
        <v>0</v>
      </c>
      <c r="L174" s="603">
        <f ca="1"/>
        <v>0</v>
      </c>
      <c r="M174" s="603">
        <f ca="1"/>
        <v>0</v>
      </c>
      <c r="N174" s="603">
        <f ca="1"/>
        <v>0</v>
      </c>
      <c r="O174" s="603">
        <f ca="1"/>
        <v>0</v>
      </c>
      <c r="P174" s="603">
        <f ca="1"/>
        <v>0</v>
      </c>
      <c r="Q174" s="1992">
        <f t="array" aca="1" ref="Q174:Q177" ca="1">'Distr CV 1'!E174:F177</f>
        <v>0</v>
      </c>
      <c r="R174" s="1992">
        <f ca="1"/>
        <v>0</v>
      </c>
      <c r="S174" s="1992">
        <f ca="1"/>
        <v>0</v>
      </c>
      <c r="T174" s="1992">
        <f ca="1"/>
        <v>0</v>
      </c>
      <c r="U174" s="1992">
        <f ca="1"/>
        <v>0</v>
      </c>
      <c r="V174" s="1992">
        <f ca="1"/>
        <v>0</v>
      </c>
      <c r="W174" s="1992">
        <f ca="1"/>
        <v>0</v>
      </c>
      <c r="X174" s="1992">
        <f ca="1"/>
        <v>0</v>
      </c>
      <c r="Y174" s="2010">
        <f ca="1"/>
        <v>0</v>
      </c>
    </row>
    <row r="175" spans="1:26">
      <c r="A175" s="1995" t="str">
        <f>A$82</f>
        <v>10 meses antes</v>
      </c>
      <c r="B175" s="1991"/>
      <c r="C175" s="1991"/>
      <c r="D175" s="603">
        <f t="array" aca="1" ref="D175:O175" ca="1">B23:M23*Produção!$D$11</f>
        <v>0</v>
      </c>
      <c r="E175" s="603">
        <f ca="1"/>
        <v>0</v>
      </c>
      <c r="F175" s="603">
        <f ca="1"/>
        <v>0</v>
      </c>
      <c r="G175" s="603">
        <f ca="1"/>
        <v>0</v>
      </c>
      <c r="H175" s="603">
        <f ca="1"/>
        <v>0</v>
      </c>
      <c r="I175" s="603">
        <f ca="1"/>
        <v>0</v>
      </c>
      <c r="J175" s="603">
        <f ca="1"/>
        <v>0</v>
      </c>
      <c r="K175" s="603">
        <f ca="1"/>
        <v>0</v>
      </c>
      <c r="L175" s="603">
        <f ca="1"/>
        <v>0</v>
      </c>
      <c r="M175" s="603">
        <f ca="1"/>
        <v>0</v>
      </c>
      <c r="N175" s="603">
        <f ca="1"/>
        <v>0</v>
      </c>
      <c r="O175" s="603">
        <f ca="1"/>
        <v>0</v>
      </c>
      <c r="P175" s="1992">
        <f t="array" aca="1" ref="P175:P177" ca="1">'Distr CV 1'!D175:D177</f>
        <v>0</v>
      </c>
      <c r="Q175" s="1992">
        <f ca="1"/>
        <v>0</v>
      </c>
      <c r="R175" s="1992">
        <f ca="1"/>
        <v>0</v>
      </c>
      <c r="S175" s="1992">
        <f ca="1"/>
        <v>0</v>
      </c>
      <c r="T175" s="1992">
        <f ca="1"/>
        <v>0</v>
      </c>
      <c r="U175" s="1992">
        <f ca="1"/>
        <v>0</v>
      </c>
      <c r="V175" s="1992">
        <f ca="1"/>
        <v>0</v>
      </c>
      <c r="W175" s="1992">
        <f ca="1"/>
        <v>0</v>
      </c>
      <c r="X175" s="1992">
        <f ca="1"/>
        <v>0</v>
      </c>
      <c r="Y175" s="2010">
        <f ca="1"/>
        <v>0</v>
      </c>
    </row>
    <row r="176" spans="1:26">
      <c r="A176" s="1995" t="str">
        <f>A$83</f>
        <v>11 meses antes</v>
      </c>
      <c r="B176" s="1991"/>
      <c r="C176" s="603">
        <f t="array" aca="1" ref="C176:N176" ca="1">B23:M23*Produção!$C$11</f>
        <v>0</v>
      </c>
      <c r="D176" s="603">
        <f ca="1"/>
        <v>0</v>
      </c>
      <c r="E176" s="603">
        <f ca="1"/>
        <v>0</v>
      </c>
      <c r="F176" s="603">
        <f ca="1"/>
        <v>0</v>
      </c>
      <c r="G176" s="603">
        <f ca="1"/>
        <v>0</v>
      </c>
      <c r="H176" s="603">
        <f ca="1"/>
        <v>0</v>
      </c>
      <c r="I176" s="603">
        <f ca="1"/>
        <v>0</v>
      </c>
      <c r="J176" s="603">
        <f ca="1"/>
        <v>0</v>
      </c>
      <c r="K176" s="603">
        <f ca="1"/>
        <v>0</v>
      </c>
      <c r="L176" s="603">
        <f ca="1"/>
        <v>0</v>
      </c>
      <c r="M176" s="603">
        <f ca="1"/>
        <v>0</v>
      </c>
      <c r="N176" s="603">
        <f ca="1"/>
        <v>0</v>
      </c>
      <c r="O176" s="1992">
        <f t="array" aca="1" ref="O176:O177" ca="1">'Distr CV 1'!C176:C177</f>
        <v>0</v>
      </c>
      <c r="P176" s="1992">
        <f ca="1"/>
        <v>0</v>
      </c>
      <c r="Q176" s="1992">
        <f ca="1"/>
        <v>0</v>
      </c>
      <c r="R176" s="1992">
        <f ca="1"/>
        <v>0</v>
      </c>
      <c r="S176" s="1992">
        <f ca="1"/>
        <v>0</v>
      </c>
      <c r="T176" s="1992">
        <f ca="1"/>
        <v>0</v>
      </c>
      <c r="U176" s="1992">
        <f ca="1"/>
        <v>0</v>
      </c>
      <c r="V176" s="1992">
        <f ca="1"/>
        <v>0</v>
      </c>
      <c r="W176" s="1992">
        <f ca="1"/>
        <v>0</v>
      </c>
      <c r="X176" s="1992">
        <f ca="1"/>
        <v>0</v>
      </c>
      <c r="Y176" s="2010">
        <f ca="1"/>
        <v>0</v>
      </c>
    </row>
    <row r="177" spans="1:26" ht="13.5" thickBot="1">
      <c r="A177" s="1995" t="str">
        <f>A$84</f>
        <v>12 meses antes</v>
      </c>
      <c r="B177" s="603">
        <f t="array" aca="1" ref="B177:M177" ca="1">B23:M23*Produção!$B$11</f>
        <v>0</v>
      </c>
      <c r="C177" s="603">
        <f ca="1"/>
        <v>0</v>
      </c>
      <c r="D177" s="603">
        <f ca="1"/>
        <v>0</v>
      </c>
      <c r="E177" s="603">
        <f ca="1"/>
        <v>0</v>
      </c>
      <c r="F177" s="603">
        <f ca="1"/>
        <v>0</v>
      </c>
      <c r="G177" s="603">
        <f ca="1"/>
        <v>0</v>
      </c>
      <c r="H177" s="603">
        <f ca="1"/>
        <v>0</v>
      </c>
      <c r="I177" s="603">
        <f ca="1"/>
        <v>0</v>
      </c>
      <c r="J177" s="603">
        <f ca="1"/>
        <v>0</v>
      </c>
      <c r="K177" s="603">
        <f ca="1"/>
        <v>0</v>
      </c>
      <c r="L177" s="603">
        <f ca="1"/>
        <v>0</v>
      </c>
      <c r="M177" s="603">
        <f ca="1"/>
        <v>0</v>
      </c>
      <c r="N177" s="1991">
        <f ca="1">'Distr CV 1'!B177</f>
        <v>0</v>
      </c>
      <c r="O177" s="1992">
        <f ca="1"/>
        <v>0</v>
      </c>
      <c r="P177" s="1992">
        <f ca="1"/>
        <v>0</v>
      </c>
      <c r="Q177" s="1992">
        <f ca="1"/>
        <v>0</v>
      </c>
      <c r="R177" s="1992">
        <f ca="1"/>
        <v>0</v>
      </c>
      <c r="S177" s="1992">
        <f ca="1"/>
        <v>0</v>
      </c>
      <c r="T177" s="1992">
        <f ca="1"/>
        <v>0</v>
      </c>
      <c r="U177" s="1992">
        <f ca="1"/>
        <v>0</v>
      </c>
      <c r="V177" s="1992">
        <f ca="1"/>
        <v>0</v>
      </c>
      <c r="W177" s="1992">
        <f ca="1"/>
        <v>0</v>
      </c>
      <c r="X177" s="1992">
        <f ca="1"/>
        <v>0</v>
      </c>
      <c r="Y177" s="2010">
        <f ca="1"/>
        <v>0</v>
      </c>
    </row>
    <row r="178" spans="1:26" ht="15.75" customHeight="1" thickBot="1">
      <c r="A178" s="105" t="str">
        <f>"Totais CV "&amp;A$11</f>
        <v xml:space="preserve">Totais CV </v>
      </c>
      <c r="B178" s="607">
        <f t="shared" ref="B178:Y178" ca="1" si="14">SUM(B165:B177)</f>
        <v>0</v>
      </c>
      <c r="C178" s="607">
        <f t="shared" ca="1" si="14"/>
        <v>0</v>
      </c>
      <c r="D178" s="607">
        <f t="shared" ca="1" si="14"/>
        <v>0</v>
      </c>
      <c r="E178" s="607">
        <f t="shared" ca="1" si="14"/>
        <v>0</v>
      </c>
      <c r="F178" s="607">
        <f t="shared" ca="1" si="14"/>
        <v>0</v>
      </c>
      <c r="G178" s="607">
        <f t="shared" ca="1" si="14"/>
        <v>0</v>
      </c>
      <c r="H178" s="607">
        <f t="shared" ca="1" si="14"/>
        <v>0</v>
      </c>
      <c r="I178" s="607">
        <f t="shared" ca="1" si="14"/>
        <v>0</v>
      </c>
      <c r="J178" s="607">
        <f t="shared" ca="1" si="14"/>
        <v>0</v>
      </c>
      <c r="K178" s="607">
        <f t="shared" ca="1" si="14"/>
        <v>0</v>
      </c>
      <c r="L178" s="607">
        <f t="shared" ca="1" si="14"/>
        <v>0</v>
      </c>
      <c r="M178" s="607">
        <f t="shared" ca="1" si="14"/>
        <v>0</v>
      </c>
      <c r="N178" s="607">
        <f t="shared" ca="1" si="14"/>
        <v>0</v>
      </c>
      <c r="O178" s="607">
        <f t="shared" ca="1" si="14"/>
        <v>0</v>
      </c>
      <c r="P178" s="607">
        <f t="shared" ca="1" si="14"/>
        <v>0</v>
      </c>
      <c r="Q178" s="607">
        <f t="shared" ca="1" si="14"/>
        <v>0</v>
      </c>
      <c r="R178" s="607">
        <f t="shared" ca="1" si="14"/>
        <v>0</v>
      </c>
      <c r="S178" s="607">
        <f t="shared" ca="1" si="14"/>
        <v>0</v>
      </c>
      <c r="T178" s="607">
        <f t="shared" ca="1" si="14"/>
        <v>0</v>
      </c>
      <c r="U178" s="607">
        <f t="shared" ca="1" si="14"/>
        <v>0</v>
      </c>
      <c r="V178" s="607">
        <f t="shared" ca="1" si="14"/>
        <v>0</v>
      </c>
      <c r="W178" s="607">
        <f t="shared" ca="1" si="14"/>
        <v>0</v>
      </c>
      <c r="X178" s="607">
        <f t="shared" ca="1" si="14"/>
        <v>0</v>
      </c>
      <c r="Y178" s="2008">
        <f t="shared" ca="1" si="14"/>
        <v>0</v>
      </c>
    </row>
    <row r="179" spans="1:26" ht="15.75" customHeight="1" thickBot="1">
      <c r="A179" s="105" t="str">
        <f>'Dados Básicos'!A28&amp;" sop. CV "&amp;$A$11</f>
        <v xml:space="preserve">IVA sop. CV </v>
      </c>
      <c r="B179" s="607">
        <f t="array" aca="1" ref="B179:Y179" ca="1">$K$163*B178:Y178</f>
        <v>0</v>
      </c>
      <c r="C179" s="607">
        <f ca="1"/>
        <v>0</v>
      </c>
      <c r="D179" s="607">
        <f ca="1"/>
        <v>0</v>
      </c>
      <c r="E179" s="607">
        <f ca="1"/>
        <v>0</v>
      </c>
      <c r="F179" s="607">
        <f ca="1"/>
        <v>0</v>
      </c>
      <c r="G179" s="607">
        <f ca="1"/>
        <v>0</v>
      </c>
      <c r="H179" s="607">
        <f ca="1"/>
        <v>0</v>
      </c>
      <c r="I179" s="607">
        <f ca="1"/>
        <v>0</v>
      </c>
      <c r="J179" s="607">
        <f ca="1"/>
        <v>0</v>
      </c>
      <c r="K179" s="607">
        <f ca="1"/>
        <v>0</v>
      </c>
      <c r="L179" s="607">
        <f ca="1"/>
        <v>0</v>
      </c>
      <c r="M179" s="607">
        <f ca="1"/>
        <v>0</v>
      </c>
      <c r="N179" s="607">
        <f ca="1"/>
        <v>0</v>
      </c>
      <c r="O179" s="607">
        <f ca="1"/>
        <v>0</v>
      </c>
      <c r="P179" s="607">
        <f ca="1"/>
        <v>0</v>
      </c>
      <c r="Q179" s="607">
        <f ca="1"/>
        <v>0</v>
      </c>
      <c r="R179" s="607">
        <f ca="1"/>
        <v>0</v>
      </c>
      <c r="S179" s="607">
        <f ca="1"/>
        <v>0</v>
      </c>
      <c r="T179" s="607">
        <f ca="1"/>
        <v>0</v>
      </c>
      <c r="U179" s="607">
        <f ca="1"/>
        <v>0</v>
      </c>
      <c r="V179" s="607">
        <f ca="1"/>
        <v>0</v>
      </c>
      <c r="W179" s="607">
        <f ca="1"/>
        <v>0</v>
      </c>
      <c r="X179" s="607">
        <f ca="1"/>
        <v>0</v>
      </c>
      <c r="Y179" s="2008">
        <f ca="1"/>
        <v>0</v>
      </c>
    </row>
    <row r="181" spans="1:26" ht="18.75" thickBot="1">
      <c r="A181" s="1993" t="str">
        <f>"Compras / custos de producción por meses de "&amp;A$12</f>
        <v xml:space="preserve">Compras / custos de producción por meses de </v>
      </c>
      <c r="I181" s="1993" t="str">
        <f>$I$109</f>
        <v>IVA NO incluido</v>
      </c>
      <c r="K181" s="2005">
        <f>Parametros!$F$28</f>
        <v>0.21</v>
      </c>
    </row>
    <row r="182" spans="1:26" s="456" customFormat="1" ht="31.5" customHeight="1" thickBot="1">
      <c r="A182" s="457" t="str">
        <f>A$110</f>
        <v>mes de compra / custo</v>
      </c>
      <c r="B182" s="2011" t="str">
        <f t="array" ref="B182:Y182">B$71:Y$71</f>
        <v>janeiro
2025</v>
      </c>
      <c r="C182" s="2011" t="str">
        <v>fevereiro
2025</v>
      </c>
      <c r="D182" s="2011" t="str">
        <v>março
2025</v>
      </c>
      <c r="E182" s="2011" t="str">
        <v>abril
2025</v>
      </c>
      <c r="F182" s="2011" t="str">
        <v>maio
2025</v>
      </c>
      <c r="G182" s="2011" t="str">
        <v>junho
2025</v>
      </c>
      <c r="H182" s="2011" t="str">
        <v>julho
2025</v>
      </c>
      <c r="I182" s="2011" t="str">
        <v>agosto
2025</v>
      </c>
      <c r="J182" s="2011" t="str">
        <v>setembro
2025</v>
      </c>
      <c r="K182" s="2011" t="str">
        <v>outubro
2025</v>
      </c>
      <c r="L182" s="2011" t="str">
        <v>novembro
2025</v>
      </c>
      <c r="M182" s="2011" t="str">
        <v>dezembro
2025</v>
      </c>
      <c r="N182" s="2734" t="str">
        <v>janeiro 
2026</v>
      </c>
      <c r="O182" s="2735" t="str">
        <v>fevereiro 
2026</v>
      </c>
      <c r="P182" s="2735" t="str">
        <v>março 
2026</v>
      </c>
      <c r="Q182" s="2735" t="str">
        <v>abril 
2026</v>
      </c>
      <c r="R182" s="2735" t="str">
        <v>maio 
2026</v>
      </c>
      <c r="S182" s="2735" t="str">
        <v>junho 
2026</v>
      </c>
      <c r="T182" s="2735" t="str">
        <v>julho 
2026</v>
      </c>
      <c r="U182" s="2735" t="str">
        <v>agosto 
2026</v>
      </c>
      <c r="V182" s="2735" t="str">
        <v>setembro 
2026</v>
      </c>
      <c r="W182" s="2735" t="str">
        <v>outubro 
2026</v>
      </c>
      <c r="X182" s="2735" t="str">
        <v>novembro 
2026</v>
      </c>
      <c r="Y182" s="2736" t="str">
        <v>dezembro 
2026</v>
      </c>
      <c r="Z182" s="62"/>
    </row>
    <row r="183" spans="1:26">
      <c r="A183" s="1994" t="str">
        <f>A$72</f>
        <v>mesmo mes</v>
      </c>
      <c r="B183" s="1991"/>
      <c r="C183" s="1991"/>
      <c r="D183" s="1991"/>
      <c r="E183" s="1991"/>
      <c r="F183" s="1991"/>
      <c r="G183" s="1991"/>
      <c r="H183" s="1991"/>
      <c r="I183" s="1991"/>
      <c r="J183" s="1991"/>
      <c r="K183" s="1991"/>
      <c r="L183" s="1991"/>
      <c r="M183" s="1991"/>
      <c r="N183" s="603">
        <f t="array" aca="1" ref="N183:Y183" ca="1">B24:M24*Produção!$N$12</f>
        <v>0</v>
      </c>
      <c r="O183" s="603">
        <f ca="1"/>
        <v>0</v>
      </c>
      <c r="P183" s="603">
        <f ca="1"/>
        <v>0</v>
      </c>
      <c r="Q183" s="603">
        <f ca="1"/>
        <v>0</v>
      </c>
      <c r="R183" s="603">
        <f ca="1"/>
        <v>0</v>
      </c>
      <c r="S183" s="603">
        <f ca="1"/>
        <v>0</v>
      </c>
      <c r="T183" s="603">
        <f ca="1"/>
        <v>0</v>
      </c>
      <c r="U183" s="603">
        <f ca="1"/>
        <v>0</v>
      </c>
      <c r="V183" s="603">
        <f ca="1"/>
        <v>0</v>
      </c>
      <c r="W183" s="603">
        <f ca="1"/>
        <v>0</v>
      </c>
      <c r="X183" s="603">
        <f ca="1"/>
        <v>0</v>
      </c>
      <c r="Y183" s="2006">
        <f ca="1"/>
        <v>0</v>
      </c>
    </row>
    <row r="184" spans="1:26">
      <c r="A184" s="1995" t="str">
        <f>A$73</f>
        <v>1 mes antes</v>
      </c>
      <c r="B184" s="1991"/>
      <c r="C184" s="1991"/>
      <c r="D184" s="1991"/>
      <c r="E184" s="1991"/>
      <c r="F184" s="1991"/>
      <c r="G184" s="1991"/>
      <c r="H184" s="1991"/>
      <c r="I184" s="1991"/>
      <c r="J184" s="1991"/>
      <c r="K184" s="1991"/>
      <c r="L184" s="1991"/>
      <c r="M184" s="603">
        <f t="array" aca="1" ref="M184:X184" ca="1">B24:M24*Produção!$M$12</f>
        <v>0</v>
      </c>
      <c r="N184" s="603">
        <f ca="1"/>
        <v>0</v>
      </c>
      <c r="O184" s="603">
        <f ca="1"/>
        <v>0</v>
      </c>
      <c r="P184" s="603">
        <f ca="1"/>
        <v>0</v>
      </c>
      <c r="Q184" s="603">
        <f ca="1"/>
        <v>0</v>
      </c>
      <c r="R184" s="603">
        <f ca="1"/>
        <v>0</v>
      </c>
      <c r="S184" s="603">
        <f ca="1"/>
        <v>0</v>
      </c>
      <c r="T184" s="603">
        <f ca="1"/>
        <v>0</v>
      </c>
      <c r="U184" s="603">
        <f ca="1"/>
        <v>0</v>
      </c>
      <c r="V184" s="603">
        <f ca="1"/>
        <v>0</v>
      </c>
      <c r="W184" s="603">
        <f ca="1"/>
        <v>0</v>
      </c>
      <c r="X184" s="603">
        <f ca="1"/>
        <v>0</v>
      </c>
      <c r="Y184" s="2007">
        <f t="array" aca="1" ref="Y184:Y195" ca="1">'Distr CV 1'!M184:M195</f>
        <v>0</v>
      </c>
    </row>
    <row r="185" spans="1:26">
      <c r="A185" s="1995" t="str">
        <f>A$74</f>
        <v>2 meses antes</v>
      </c>
      <c r="B185" s="1991"/>
      <c r="C185" s="1991"/>
      <c r="D185" s="1991"/>
      <c r="E185" s="1991"/>
      <c r="F185" s="1991"/>
      <c r="G185" s="1991"/>
      <c r="H185" s="1991"/>
      <c r="I185" s="1991"/>
      <c r="J185" s="1991"/>
      <c r="K185" s="1991"/>
      <c r="L185" s="603">
        <f t="array" aca="1" ref="L185:W185" ca="1">B24:M24*Produção!$L$12</f>
        <v>0</v>
      </c>
      <c r="M185" s="603">
        <f ca="1"/>
        <v>0</v>
      </c>
      <c r="N185" s="603">
        <f ca="1"/>
        <v>0</v>
      </c>
      <c r="O185" s="603">
        <f ca="1"/>
        <v>0</v>
      </c>
      <c r="P185" s="603">
        <f ca="1"/>
        <v>0</v>
      </c>
      <c r="Q185" s="603">
        <f ca="1"/>
        <v>0</v>
      </c>
      <c r="R185" s="603">
        <f ca="1"/>
        <v>0</v>
      </c>
      <c r="S185" s="603">
        <f ca="1"/>
        <v>0</v>
      </c>
      <c r="T185" s="603">
        <f ca="1"/>
        <v>0</v>
      </c>
      <c r="U185" s="603">
        <f ca="1"/>
        <v>0</v>
      </c>
      <c r="V185" s="603">
        <f ca="1"/>
        <v>0</v>
      </c>
      <c r="W185" s="603">
        <f ca="1"/>
        <v>0</v>
      </c>
      <c r="X185" s="1988">
        <f t="array" aca="1" ref="X185:X195" ca="1">'Distr CV 1'!L185:L195</f>
        <v>0</v>
      </c>
      <c r="Y185" s="2007">
        <f ca="1"/>
        <v>0</v>
      </c>
    </row>
    <row r="186" spans="1:26">
      <c r="A186" s="1995" t="str">
        <f>A$75</f>
        <v>3 meses antes</v>
      </c>
      <c r="B186" s="1991"/>
      <c r="C186" s="1991"/>
      <c r="D186" s="1991"/>
      <c r="E186" s="1991"/>
      <c r="F186" s="1991"/>
      <c r="G186" s="1991"/>
      <c r="H186" s="1991"/>
      <c r="I186" s="1991"/>
      <c r="J186" s="1991"/>
      <c r="K186" s="603">
        <f t="array" aca="1" ref="K186:V186" ca="1">B24:M24*Produção!$K$12</f>
        <v>0</v>
      </c>
      <c r="L186" s="603">
        <f ca="1"/>
        <v>0</v>
      </c>
      <c r="M186" s="603">
        <f ca="1"/>
        <v>0</v>
      </c>
      <c r="N186" s="603">
        <f ca="1"/>
        <v>0</v>
      </c>
      <c r="O186" s="603">
        <f ca="1"/>
        <v>0</v>
      </c>
      <c r="P186" s="603">
        <f ca="1"/>
        <v>0</v>
      </c>
      <c r="Q186" s="603">
        <f ca="1"/>
        <v>0</v>
      </c>
      <c r="R186" s="603">
        <f ca="1"/>
        <v>0</v>
      </c>
      <c r="S186" s="603">
        <f ca="1"/>
        <v>0</v>
      </c>
      <c r="T186" s="603">
        <f ca="1"/>
        <v>0</v>
      </c>
      <c r="U186" s="603">
        <f ca="1"/>
        <v>0</v>
      </c>
      <c r="V186" s="603">
        <f ca="1"/>
        <v>0</v>
      </c>
      <c r="W186" s="1988">
        <f t="array" aca="1" ref="W186:W195" ca="1">'Distr CV 1'!K186:K195</f>
        <v>0</v>
      </c>
      <c r="X186" s="1988">
        <f ca="1"/>
        <v>0</v>
      </c>
      <c r="Y186" s="2007">
        <f ca="1"/>
        <v>0</v>
      </c>
    </row>
    <row r="187" spans="1:26">
      <c r="A187" s="1995" t="str">
        <f>A$76</f>
        <v>4 meses antes</v>
      </c>
      <c r="B187" s="1991"/>
      <c r="C187" s="1991"/>
      <c r="D187" s="1991"/>
      <c r="E187" s="1991"/>
      <c r="F187" s="1991"/>
      <c r="G187" s="1991"/>
      <c r="H187" s="1991"/>
      <c r="I187" s="1991"/>
      <c r="J187" s="603">
        <f t="array" aca="1" ref="J187:U187" ca="1">B24:M24*Produção!$J$12</f>
        <v>0</v>
      </c>
      <c r="K187" s="603">
        <f ca="1"/>
        <v>0</v>
      </c>
      <c r="L187" s="603">
        <f ca="1"/>
        <v>0</v>
      </c>
      <c r="M187" s="603">
        <f ca="1"/>
        <v>0</v>
      </c>
      <c r="N187" s="603">
        <f ca="1"/>
        <v>0</v>
      </c>
      <c r="O187" s="603">
        <f ca="1"/>
        <v>0</v>
      </c>
      <c r="P187" s="603">
        <f ca="1"/>
        <v>0</v>
      </c>
      <c r="Q187" s="603">
        <f ca="1"/>
        <v>0</v>
      </c>
      <c r="R187" s="603">
        <f ca="1"/>
        <v>0</v>
      </c>
      <c r="S187" s="603">
        <f ca="1"/>
        <v>0</v>
      </c>
      <c r="T187" s="603">
        <f ca="1"/>
        <v>0</v>
      </c>
      <c r="U187" s="603">
        <f ca="1"/>
        <v>0</v>
      </c>
      <c r="V187" s="1988">
        <f t="array" aca="1" ref="V187:V195" ca="1">'Distr CV 1'!J187:J195</f>
        <v>0</v>
      </c>
      <c r="W187" s="1988">
        <f ca="1"/>
        <v>0</v>
      </c>
      <c r="X187" s="1988">
        <f ca="1"/>
        <v>0</v>
      </c>
      <c r="Y187" s="2007">
        <f ca="1"/>
        <v>0</v>
      </c>
    </row>
    <row r="188" spans="1:26">
      <c r="A188" s="1995" t="str">
        <f>A$77</f>
        <v>5 meses antes</v>
      </c>
      <c r="B188" s="1991"/>
      <c r="C188" s="1991"/>
      <c r="D188" s="1991"/>
      <c r="E188" s="1991"/>
      <c r="F188" s="1991"/>
      <c r="G188" s="1991"/>
      <c r="H188" s="1991"/>
      <c r="I188" s="603">
        <f t="array" aca="1" ref="I188:T188" ca="1">B24:M24*Produção!$I$12</f>
        <v>0</v>
      </c>
      <c r="J188" s="603">
        <f ca="1"/>
        <v>0</v>
      </c>
      <c r="K188" s="603">
        <f ca="1"/>
        <v>0</v>
      </c>
      <c r="L188" s="603">
        <f ca="1"/>
        <v>0</v>
      </c>
      <c r="M188" s="603">
        <f ca="1"/>
        <v>0</v>
      </c>
      <c r="N188" s="603">
        <f ca="1"/>
        <v>0</v>
      </c>
      <c r="O188" s="603">
        <f ca="1"/>
        <v>0</v>
      </c>
      <c r="P188" s="603">
        <f ca="1"/>
        <v>0</v>
      </c>
      <c r="Q188" s="603">
        <f ca="1"/>
        <v>0</v>
      </c>
      <c r="R188" s="603">
        <f ca="1"/>
        <v>0</v>
      </c>
      <c r="S188" s="603">
        <f ca="1"/>
        <v>0</v>
      </c>
      <c r="T188" s="603">
        <f ca="1"/>
        <v>0</v>
      </c>
      <c r="U188" s="1988">
        <f t="array" aca="1" ref="U188:U195" ca="1">'Distr CV 1'!I188:I195</f>
        <v>0</v>
      </c>
      <c r="V188" s="1988">
        <f ca="1"/>
        <v>0</v>
      </c>
      <c r="W188" s="1988">
        <f ca="1"/>
        <v>0</v>
      </c>
      <c r="X188" s="1988">
        <f ca="1"/>
        <v>0</v>
      </c>
      <c r="Y188" s="2007">
        <f ca="1"/>
        <v>0</v>
      </c>
    </row>
    <row r="189" spans="1:26">
      <c r="A189" s="1995" t="str">
        <f>A$78</f>
        <v>6 meses antes</v>
      </c>
      <c r="B189" s="1991"/>
      <c r="C189" s="1991"/>
      <c r="D189" s="1991"/>
      <c r="E189" s="1991"/>
      <c r="F189" s="1991"/>
      <c r="G189" s="1991"/>
      <c r="H189" s="603">
        <f t="array" aca="1" ref="H189:S189" ca="1">B24:M24*Produção!$H$12</f>
        <v>0</v>
      </c>
      <c r="I189" s="603">
        <f ca="1"/>
        <v>0</v>
      </c>
      <c r="J189" s="603">
        <f ca="1"/>
        <v>0</v>
      </c>
      <c r="K189" s="603">
        <f ca="1"/>
        <v>0</v>
      </c>
      <c r="L189" s="603">
        <f ca="1"/>
        <v>0</v>
      </c>
      <c r="M189" s="603">
        <f ca="1"/>
        <v>0</v>
      </c>
      <c r="N189" s="603">
        <f ca="1"/>
        <v>0</v>
      </c>
      <c r="O189" s="603">
        <f ca="1"/>
        <v>0</v>
      </c>
      <c r="P189" s="603">
        <f ca="1"/>
        <v>0</v>
      </c>
      <c r="Q189" s="603">
        <f ca="1"/>
        <v>0</v>
      </c>
      <c r="R189" s="603">
        <f ca="1"/>
        <v>0</v>
      </c>
      <c r="S189" s="603">
        <f ca="1"/>
        <v>0</v>
      </c>
      <c r="T189" s="1988">
        <f t="array" aca="1" ref="T189:T195" ca="1">'Distr CV 1'!H189:H195</f>
        <v>0</v>
      </c>
      <c r="U189" s="1988">
        <f ca="1"/>
        <v>0</v>
      </c>
      <c r="V189" s="1988">
        <f ca="1"/>
        <v>0</v>
      </c>
      <c r="W189" s="1988">
        <f ca="1"/>
        <v>0</v>
      </c>
      <c r="X189" s="1988">
        <f ca="1"/>
        <v>0</v>
      </c>
      <c r="Y189" s="2007">
        <f ca="1"/>
        <v>0</v>
      </c>
    </row>
    <row r="190" spans="1:26">
      <c r="A190" s="1995" t="str">
        <f>A$79</f>
        <v>7 meses antes</v>
      </c>
      <c r="B190" s="1991"/>
      <c r="C190" s="1991"/>
      <c r="D190" s="1991"/>
      <c r="E190" s="1991"/>
      <c r="F190" s="1991"/>
      <c r="G190" s="603">
        <f t="array" aca="1" ref="G190:R190" ca="1">B24:M24*Produção!$G$12</f>
        <v>0</v>
      </c>
      <c r="H190" s="603">
        <f ca="1"/>
        <v>0</v>
      </c>
      <c r="I190" s="603">
        <f ca="1"/>
        <v>0</v>
      </c>
      <c r="J190" s="603">
        <f ca="1"/>
        <v>0</v>
      </c>
      <c r="K190" s="603">
        <f ca="1"/>
        <v>0</v>
      </c>
      <c r="L190" s="603">
        <f ca="1"/>
        <v>0</v>
      </c>
      <c r="M190" s="603">
        <f ca="1"/>
        <v>0</v>
      </c>
      <c r="N190" s="603">
        <f ca="1"/>
        <v>0</v>
      </c>
      <c r="O190" s="603">
        <f ca="1"/>
        <v>0</v>
      </c>
      <c r="P190" s="603">
        <f ca="1"/>
        <v>0</v>
      </c>
      <c r="Q190" s="603">
        <f ca="1"/>
        <v>0</v>
      </c>
      <c r="R190" s="603">
        <f ca="1"/>
        <v>0</v>
      </c>
      <c r="S190" s="1992">
        <f t="array" aca="1" ref="S190:S195" ca="1">'Distr CV 1'!G190:G195</f>
        <v>0</v>
      </c>
      <c r="T190" s="1992">
        <f ca="1"/>
        <v>0</v>
      </c>
      <c r="U190" s="1992">
        <f ca="1"/>
        <v>0</v>
      </c>
      <c r="V190" s="1992">
        <f ca="1"/>
        <v>0</v>
      </c>
      <c r="W190" s="1992">
        <f ca="1"/>
        <v>0</v>
      </c>
      <c r="X190" s="1992">
        <f ca="1"/>
        <v>0</v>
      </c>
      <c r="Y190" s="2010">
        <f ca="1"/>
        <v>0</v>
      </c>
    </row>
    <row r="191" spans="1:26">
      <c r="A191" s="1995" t="str">
        <f>A$80</f>
        <v>8 meses antes</v>
      </c>
      <c r="B191" s="1991"/>
      <c r="C191" s="1991"/>
      <c r="D191" s="1991"/>
      <c r="E191" s="1991"/>
      <c r="F191" s="603">
        <f t="array" aca="1" ref="F191:Q191" ca="1">B24:M24*Produção!$F$12</f>
        <v>0</v>
      </c>
      <c r="G191" s="603">
        <f ca="1"/>
        <v>0</v>
      </c>
      <c r="H191" s="603">
        <f ca="1"/>
        <v>0</v>
      </c>
      <c r="I191" s="603">
        <f ca="1"/>
        <v>0</v>
      </c>
      <c r="J191" s="603">
        <f ca="1"/>
        <v>0</v>
      </c>
      <c r="K191" s="603">
        <f ca="1"/>
        <v>0</v>
      </c>
      <c r="L191" s="603">
        <f ca="1"/>
        <v>0</v>
      </c>
      <c r="M191" s="603">
        <f ca="1"/>
        <v>0</v>
      </c>
      <c r="N191" s="603">
        <f ca="1"/>
        <v>0</v>
      </c>
      <c r="O191" s="603">
        <f ca="1"/>
        <v>0</v>
      </c>
      <c r="P191" s="603">
        <f ca="1"/>
        <v>0</v>
      </c>
      <c r="Q191" s="603">
        <f ca="1"/>
        <v>0</v>
      </c>
      <c r="R191" s="1992">
        <f t="array" aca="1" ref="R191:R195" ca="1">'Distr CV 1'!F191:F195</f>
        <v>0</v>
      </c>
      <c r="S191" s="1992">
        <f ca="1"/>
        <v>0</v>
      </c>
      <c r="T191" s="1992">
        <f ca="1"/>
        <v>0</v>
      </c>
      <c r="U191" s="1992">
        <f ca="1"/>
        <v>0</v>
      </c>
      <c r="V191" s="1992">
        <f ca="1"/>
        <v>0</v>
      </c>
      <c r="W191" s="1992">
        <f ca="1"/>
        <v>0</v>
      </c>
      <c r="X191" s="1992">
        <f ca="1"/>
        <v>0</v>
      </c>
      <c r="Y191" s="2010">
        <f ca="1"/>
        <v>0</v>
      </c>
    </row>
    <row r="192" spans="1:26">
      <c r="A192" s="1995" t="str">
        <f>A$81</f>
        <v>9 meses antes</v>
      </c>
      <c r="B192" s="1991"/>
      <c r="C192" s="1991"/>
      <c r="D192" s="1991"/>
      <c r="E192" s="603">
        <f t="array" aca="1" ref="E192:P192" ca="1">B24:M24*Produção!$E$12</f>
        <v>0</v>
      </c>
      <c r="F192" s="603">
        <f ca="1"/>
        <v>0</v>
      </c>
      <c r="G192" s="603">
        <f ca="1"/>
        <v>0</v>
      </c>
      <c r="H192" s="603">
        <f ca="1"/>
        <v>0</v>
      </c>
      <c r="I192" s="603">
        <f ca="1"/>
        <v>0</v>
      </c>
      <c r="J192" s="603">
        <f ca="1"/>
        <v>0</v>
      </c>
      <c r="K192" s="603">
        <f ca="1"/>
        <v>0</v>
      </c>
      <c r="L192" s="603">
        <f ca="1"/>
        <v>0</v>
      </c>
      <c r="M192" s="603">
        <f ca="1"/>
        <v>0</v>
      </c>
      <c r="N192" s="603">
        <f ca="1"/>
        <v>0</v>
      </c>
      <c r="O192" s="603">
        <f ca="1"/>
        <v>0</v>
      </c>
      <c r="P192" s="603">
        <f ca="1"/>
        <v>0</v>
      </c>
      <c r="Q192" s="1992">
        <f t="array" aca="1" ref="Q192:Q195" ca="1">'Distr CV 1'!E192:F195</f>
        <v>0</v>
      </c>
      <c r="R192" s="1992">
        <f ca="1"/>
        <v>0</v>
      </c>
      <c r="S192" s="1992">
        <f ca="1"/>
        <v>0</v>
      </c>
      <c r="T192" s="1992">
        <f ca="1"/>
        <v>0</v>
      </c>
      <c r="U192" s="1992">
        <f ca="1"/>
        <v>0</v>
      </c>
      <c r="V192" s="1992">
        <f ca="1"/>
        <v>0</v>
      </c>
      <c r="W192" s="1992">
        <f ca="1"/>
        <v>0</v>
      </c>
      <c r="X192" s="1992">
        <f ca="1"/>
        <v>0</v>
      </c>
      <c r="Y192" s="2010">
        <f ca="1"/>
        <v>0</v>
      </c>
    </row>
    <row r="193" spans="1:26">
      <c r="A193" s="1995" t="str">
        <f>A$82</f>
        <v>10 meses antes</v>
      </c>
      <c r="B193" s="1991"/>
      <c r="C193" s="1991"/>
      <c r="D193" s="603">
        <f t="array" aca="1" ref="D193:O193" ca="1">B24:M24*Produção!$D$12</f>
        <v>0</v>
      </c>
      <c r="E193" s="603">
        <f ca="1"/>
        <v>0</v>
      </c>
      <c r="F193" s="603">
        <f ca="1"/>
        <v>0</v>
      </c>
      <c r="G193" s="603">
        <f ca="1"/>
        <v>0</v>
      </c>
      <c r="H193" s="603">
        <f ca="1"/>
        <v>0</v>
      </c>
      <c r="I193" s="603">
        <f ca="1"/>
        <v>0</v>
      </c>
      <c r="J193" s="603">
        <f ca="1"/>
        <v>0</v>
      </c>
      <c r="K193" s="603">
        <f ca="1"/>
        <v>0</v>
      </c>
      <c r="L193" s="603">
        <f ca="1"/>
        <v>0</v>
      </c>
      <c r="M193" s="603">
        <f ca="1"/>
        <v>0</v>
      </c>
      <c r="N193" s="603">
        <f ca="1"/>
        <v>0</v>
      </c>
      <c r="O193" s="603">
        <f ca="1"/>
        <v>0</v>
      </c>
      <c r="P193" s="1992">
        <f t="array" aca="1" ref="P193:P195" ca="1">'Distr CV 1'!D193:D195</f>
        <v>0</v>
      </c>
      <c r="Q193" s="1992">
        <f ca="1"/>
        <v>0</v>
      </c>
      <c r="R193" s="1992">
        <f ca="1"/>
        <v>0</v>
      </c>
      <c r="S193" s="1992">
        <f ca="1"/>
        <v>0</v>
      </c>
      <c r="T193" s="1992">
        <f ca="1"/>
        <v>0</v>
      </c>
      <c r="U193" s="1992">
        <f ca="1"/>
        <v>0</v>
      </c>
      <c r="V193" s="1992">
        <f ca="1"/>
        <v>0</v>
      </c>
      <c r="W193" s="1992">
        <f ca="1"/>
        <v>0</v>
      </c>
      <c r="X193" s="1992">
        <f ca="1"/>
        <v>0</v>
      </c>
      <c r="Y193" s="2010">
        <f ca="1"/>
        <v>0</v>
      </c>
    </row>
    <row r="194" spans="1:26">
      <c r="A194" s="1995" t="str">
        <f>A$83</f>
        <v>11 meses antes</v>
      </c>
      <c r="B194" s="1991"/>
      <c r="C194" s="603">
        <f t="array" aca="1" ref="C194:N194" ca="1">B24:M24*Produção!$C$12</f>
        <v>0</v>
      </c>
      <c r="D194" s="603">
        <f ca="1"/>
        <v>0</v>
      </c>
      <c r="E194" s="603">
        <f ca="1"/>
        <v>0</v>
      </c>
      <c r="F194" s="603">
        <f ca="1"/>
        <v>0</v>
      </c>
      <c r="G194" s="603">
        <f ca="1"/>
        <v>0</v>
      </c>
      <c r="H194" s="603">
        <f ca="1"/>
        <v>0</v>
      </c>
      <c r="I194" s="603">
        <f ca="1"/>
        <v>0</v>
      </c>
      <c r="J194" s="603">
        <f ca="1"/>
        <v>0</v>
      </c>
      <c r="K194" s="603">
        <f ca="1"/>
        <v>0</v>
      </c>
      <c r="L194" s="603">
        <f ca="1"/>
        <v>0</v>
      </c>
      <c r="M194" s="603">
        <f ca="1"/>
        <v>0</v>
      </c>
      <c r="N194" s="603">
        <f ca="1"/>
        <v>0</v>
      </c>
      <c r="O194" s="1992">
        <f t="array" aca="1" ref="O194:O195" ca="1">'Distr CV 1'!C194:C195</f>
        <v>0</v>
      </c>
      <c r="P194" s="1992">
        <f ca="1"/>
        <v>0</v>
      </c>
      <c r="Q194" s="1992">
        <f ca="1"/>
        <v>0</v>
      </c>
      <c r="R194" s="1992">
        <f ca="1"/>
        <v>0</v>
      </c>
      <c r="S194" s="1992">
        <f ca="1"/>
        <v>0</v>
      </c>
      <c r="T194" s="1992">
        <f ca="1"/>
        <v>0</v>
      </c>
      <c r="U194" s="1992">
        <f ca="1"/>
        <v>0</v>
      </c>
      <c r="V194" s="1992">
        <f ca="1"/>
        <v>0</v>
      </c>
      <c r="W194" s="1992">
        <f ca="1"/>
        <v>0</v>
      </c>
      <c r="X194" s="1992">
        <f ca="1"/>
        <v>0</v>
      </c>
      <c r="Y194" s="2010">
        <f ca="1"/>
        <v>0</v>
      </c>
    </row>
    <row r="195" spans="1:26" ht="13.5" thickBot="1">
      <c r="A195" s="1995" t="str">
        <f>A$84</f>
        <v>12 meses antes</v>
      </c>
      <c r="B195" s="603">
        <f t="array" aca="1" ref="B195:M195" ca="1">B24:M24*Produção!$B$12</f>
        <v>0</v>
      </c>
      <c r="C195" s="603">
        <f ca="1"/>
        <v>0</v>
      </c>
      <c r="D195" s="603">
        <f ca="1"/>
        <v>0</v>
      </c>
      <c r="E195" s="603">
        <f ca="1"/>
        <v>0</v>
      </c>
      <c r="F195" s="603">
        <f ca="1"/>
        <v>0</v>
      </c>
      <c r="G195" s="603">
        <f ca="1"/>
        <v>0</v>
      </c>
      <c r="H195" s="603">
        <f ca="1"/>
        <v>0</v>
      </c>
      <c r="I195" s="603">
        <f ca="1"/>
        <v>0</v>
      </c>
      <c r="J195" s="603">
        <f ca="1"/>
        <v>0</v>
      </c>
      <c r="K195" s="603">
        <f ca="1"/>
        <v>0</v>
      </c>
      <c r="L195" s="603">
        <f ca="1"/>
        <v>0</v>
      </c>
      <c r="M195" s="603">
        <f ca="1"/>
        <v>0</v>
      </c>
      <c r="N195" s="1991">
        <f ca="1">'Distr CV 1'!B195</f>
        <v>0</v>
      </c>
      <c r="O195" s="1992">
        <f ca="1"/>
        <v>0</v>
      </c>
      <c r="P195" s="1992">
        <f ca="1"/>
        <v>0</v>
      </c>
      <c r="Q195" s="1992">
        <f ca="1"/>
        <v>0</v>
      </c>
      <c r="R195" s="1992">
        <f ca="1"/>
        <v>0</v>
      </c>
      <c r="S195" s="1992">
        <f ca="1"/>
        <v>0</v>
      </c>
      <c r="T195" s="1992">
        <f ca="1"/>
        <v>0</v>
      </c>
      <c r="U195" s="1992">
        <f ca="1"/>
        <v>0</v>
      </c>
      <c r="V195" s="1992">
        <f ca="1"/>
        <v>0</v>
      </c>
      <c r="W195" s="1992">
        <f ca="1"/>
        <v>0</v>
      </c>
      <c r="X195" s="1992">
        <f ca="1"/>
        <v>0</v>
      </c>
      <c r="Y195" s="2010">
        <f ca="1"/>
        <v>0</v>
      </c>
    </row>
    <row r="196" spans="1:26" ht="15.75" customHeight="1" thickBot="1">
      <c r="A196" s="105" t="str">
        <f>"Totais CV "&amp;A$12</f>
        <v xml:space="preserve">Totais CV </v>
      </c>
      <c r="B196" s="607">
        <f t="shared" ref="B196:Y196" ca="1" si="15">SUM(B183:B195)</f>
        <v>0</v>
      </c>
      <c r="C196" s="607">
        <f t="shared" ca="1" si="15"/>
        <v>0</v>
      </c>
      <c r="D196" s="607">
        <f t="shared" ca="1" si="15"/>
        <v>0</v>
      </c>
      <c r="E196" s="607">
        <f t="shared" ca="1" si="15"/>
        <v>0</v>
      </c>
      <c r="F196" s="607">
        <f t="shared" ca="1" si="15"/>
        <v>0</v>
      </c>
      <c r="G196" s="607">
        <f t="shared" ca="1" si="15"/>
        <v>0</v>
      </c>
      <c r="H196" s="607">
        <f t="shared" ca="1" si="15"/>
        <v>0</v>
      </c>
      <c r="I196" s="607">
        <f t="shared" ca="1" si="15"/>
        <v>0</v>
      </c>
      <c r="J196" s="607">
        <f t="shared" ca="1" si="15"/>
        <v>0</v>
      </c>
      <c r="K196" s="607">
        <f t="shared" ca="1" si="15"/>
        <v>0</v>
      </c>
      <c r="L196" s="607">
        <f t="shared" ca="1" si="15"/>
        <v>0</v>
      </c>
      <c r="M196" s="607">
        <f t="shared" ca="1" si="15"/>
        <v>0</v>
      </c>
      <c r="N196" s="607">
        <f t="shared" ca="1" si="15"/>
        <v>0</v>
      </c>
      <c r="O196" s="607">
        <f t="shared" ca="1" si="15"/>
        <v>0</v>
      </c>
      <c r="P196" s="607">
        <f t="shared" ca="1" si="15"/>
        <v>0</v>
      </c>
      <c r="Q196" s="607">
        <f t="shared" ca="1" si="15"/>
        <v>0</v>
      </c>
      <c r="R196" s="607">
        <f t="shared" ca="1" si="15"/>
        <v>0</v>
      </c>
      <c r="S196" s="607">
        <f t="shared" ca="1" si="15"/>
        <v>0</v>
      </c>
      <c r="T196" s="607">
        <f t="shared" ca="1" si="15"/>
        <v>0</v>
      </c>
      <c r="U196" s="607">
        <f t="shared" ca="1" si="15"/>
        <v>0</v>
      </c>
      <c r="V196" s="607">
        <f t="shared" ca="1" si="15"/>
        <v>0</v>
      </c>
      <c r="W196" s="607">
        <f t="shared" ca="1" si="15"/>
        <v>0</v>
      </c>
      <c r="X196" s="607">
        <f t="shared" ca="1" si="15"/>
        <v>0</v>
      </c>
      <c r="Y196" s="2008">
        <f t="shared" ca="1" si="15"/>
        <v>0</v>
      </c>
    </row>
    <row r="197" spans="1:26" ht="15.75" customHeight="1" thickBot="1">
      <c r="A197" s="105" t="str">
        <f>'Dados Básicos'!A28&amp;" sop. CV "&amp;$A$12</f>
        <v xml:space="preserve">IVA sop. CV </v>
      </c>
      <c r="B197" s="607">
        <f t="array" aca="1" ref="B197:Y197" ca="1">$K$181*B196:Y196</f>
        <v>0</v>
      </c>
      <c r="C197" s="607">
        <f ca="1"/>
        <v>0</v>
      </c>
      <c r="D197" s="607">
        <f ca="1"/>
        <v>0</v>
      </c>
      <c r="E197" s="607">
        <f ca="1"/>
        <v>0</v>
      </c>
      <c r="F197" s="607">
        <f ca="1"/>
        <v>0</v>
      </c>
      <c r="G197" s="607">
        <f ca="1"/>
        <v>0</v>
      </c>
      <c r="H197" s="607">
        <f ca="1"/>
        <v>0</v>
      </c>
      <c r="I197" s="607">
        <f ca="1"/>
        <v>0</v>
      </c>
      <c r="J197" s="607">
        <f ca="1"/>
        <v>0</v>
      </c>
      <c r="K197" s="607">
        <f ca="1"/>
        <v>0</v>
      </c>
      <c r="L197" s="607">
        <f ca="1"/>
        <v>0</v>
      </c>
      <c r="M197" s="607">
        <f ca="1"/>
        <v>0</v>
      </c>
      <c r="N197" s="607">
        <f ca="1"/>
        <v>0</v>
      </c>
      <c r="O197" s="607">
        <f ca="1"/>
        <v>0</v>
      </c>
      <c r="P197" s="607">
        <f ca="1"/>
        <v>0</v>
      </c>
      <c r="Q197" s="607">
        <f ca="1"/>
        <v>0</v>
      </c>
      <c r="R197" s="607">
        <f ca="1"/>
        <v>0</v>
      </c>
      <c r="S197" s="607">
        <f ca="1"/>
        <v>0</v>
      </c>
      <c r="T197" s="607">
        <f ca="1"/>
        <v>0</v>
      </c>
      <c r="U197" s="607">
        <f ca="1"/>
        <v>0</v>
      </c>
      <c r="V197" s="607">
        <f ca="1"/>
        <v>0</v>
      </c>
      <c r="W197" s="607">
        <f ca="1"/>
        <v>0</v>
      </c>
      <c r="X197" s="607">
        <f ca="1"/>
        <v>0</v>
      </c>
      <c r="Y197" s="2008">
        <f ca="1"/>
        <v>0</v>
      </c>
    </row>
    <row r="199" spans="1:26" ht="18.75" thickBot="1">
      <c r="A199" s="1993" t="str">
        <f>"Compras / custos de producción por meses de "&amp;A$13</f>
        <v xml:space="preserve">Compras / custos de producción por meses de </v>
      </c>
      <c r="I199" s="1993" t="str">
        <f>$I$109</f>
        <v>IVA NO incluido</v>
      </c>
      <c r="K199" s="2005">
        <f>Parametros!$F$29</f>
        <v>0.21</v>
      </c>
    </row>
    <row r="200" spans="1:26" s="456" customFormat="1" ht="33" customHeight="1" thickBot="1">
      <c r="A200" s="457" t="str">
        <f>A$110</f>
        <v>mes de compra / custo</v>
      </c>
      <c r="B200" s="2011" t="str">
        <f t="array" ref="B200:Y200">B$71:Y$71</f>
        <v>janeiro
2025</v>
      </c>
      <c r="C200" s="2011" t="str">
        <v>fevereiro
2025</v>
      </c>
      <c r="D200" s="2011" t="str">
        <v>março
2025</v>
      </c>
      <c r="E200" s="2011" t="str">
        <v>abril
2025</v>
      </c>
      <c r="F200" s="2011" t="str">
        <v>maio
2025</v>
      </c>
      <c r="G200" s="2011" t="str">
        <v>junho
2025</v>
      </c>
      <c r="H200" s="2011" t="str">
        <v>julho
2025</v>
      </c>
      <c r="I200" s="2011" t="str">
        <v>agosto
2025</v>
      </c>
      <c r="J200" s="2011" t="str">
        <v>setembro
2025</v>
      </c>
      <c r="K200" s="2011" t="str">
        <v>outubro
2025</v>
      </c>
      <c r="L200" s="2011" t="str">
        <v>novembro
2025</v>
      </c>
      <c r="M200" s="2011" t="str">
        <v>dezembro
2025</v>
      </c>
      <c r="N200" s="2734" t="str">
        <v>janeiro 
2026</v>
      </c>
      <c r="O200" s="2735" t="str">
        <v>fevereiro 
2026</v>
      </c>
      <c r="P200" s="2735" t="str">
        <v>março 
2026</v>
      </c>
      <c r="Q200" s="2735" t="str">
        <v>abril 
2026</v>
      </c>
      <c r="R200" s="2735" t="str">
        <v>maio 
2026</v>
      </c>
      <c r="S200" s="2735" t="str">
        <v>junho 
2026</v>
      </c>
      <c r="T200" s="2735" t="str">
        <v>julho 
2026</v>
      </c>
      <c r="U200" s="2735" t="str">
        <v>agosto 
2026</v>
      </c>
      <c r="V200" s="2735" t="str">
        <v>setembro 
2026</v>
      </c>
      <c r="W200" s="2735" t="str">
        <v>outubro 
2026</v>
      </c>
      <c r="X200" s="2735" t="str">
        <v>novembro 
2026</v>
      </c>
      <c r="Y200" s="2736" t="str">
        <v>dezembro 
2026</v>
      </c>
      <c r="Z200" s="62"/>
    </row>
    <row r="201" spans="1:26">
      <c r="A201" s="1994" t="str">
        <f>A$72</f>
        <v>mesmo mes</v>
      </c>
      <c r="B201" s="1991"/>
      <c r="C201" s="1991"/>
      <c r="D201" s="1991"/>
      <c r="E201" s="1991"/>
      <c r="F201" s="1991"/>
      <c r="G201" s="1991"/>
      <c r="H201" s="1991"/>
      <c r="I201" s="1991"/>
      <c r="J201" s="1991"/>
      <c r="K201" s="1991"/>
      <c r="L201" s="1991"/>
      <c r="M201" s="1991"/>
      <c r="N201" s="603">
        <f t="array" aca="1" ref="N201:Y201" ca="1">B25:M25*Produção!$N$13</f>
        <v>0</v>
      </c>
      <c r="O201" s="603">
        <f ca="1"/>
        <v>0</v>
      </c>
      <c r="P201" s="603">
        <f ca="1"/>
        <v>0</v>
      </c>
      <c r="Q201" s="603">
        <f ca="1"/>
        <v>0</v>
      </c>
      <c r="R201" s="603">
        <f ca="1"/>
        <v>0</v>
      </c>
      <c r="S201" s="603">
        <f ca="1"/>
        <v>0</v>
      </c>
      <c r="T201" s="603">
        <f ca="1"/>
        <v>0</v>
      </c>
      <c r="U201" s="603">
        <f ca="1"/>
        <v>0</v>
      </c>
      <c r="V201" s="603">
        <f ca="1"/>
        <v>0</v>
      </c>
      <c r="W201" s="603">
        <f ca="1"/>
        <v>0</v>
      </c>
      <c r="X201" s="603">
        <f ca="1"/>
        <v>0</v>
      </c>
      <c r="Y201" s="2006">
        <f ca="1"/>
        <v>0</v>
      </c>
    </row>
    <row r="202" spans="1:26">
      <c r="A202" s="1995" t="str">
        <f>A$73</f>
        <v>1 mes antes</v>
      </c>
      <c r="B202" s="1991"/>
      <c r="C202" s="1991"/>
      <c r="D202" s="1991"/>
      <c r="E202" s="1991"/>
      <c r="F202" s="1991"/>
      <c r="G202" s="1991"/>
      <c r="H202" s="1991"/>
      <c r="I202" s="1991"/>
      <c r="J202" s="1991"/>
      <c r="K202" s="1991"/>
      <c r="L202" s="1991"/>
      <c r="M202" s="603">
        <f t="array" aca="1" ref="M202:X202" ca="1">B25:M25*Produção!$M$13</f>
        <v>0</v>
      </c>
      <c r="N202" s="603">
        <f ca="1"/>
        <v>0</v>
      </c>
      <c r="O202" s="603">
        <f ca="1"/>
        <v>0</v>
      </c>
      <c r="P202" s="603">
        <f ca="1"/>
        <v>0</v>
      </c>
      <c r="Q202" s="603">
        <f ca="1"/>
        <v>0</v>
      </c>
      <c r="R202" s="603">
        <f ca="1"/>
        <v>0</v>
      </c>
      <c r="S202" s="603">
        <f ca="1"/>
        <v>0</v>
      </c>
      <c r="T202" s="603">
        <f ca="1"/>
        <v>0</v>
      </c>
      <c r="U202" s="603">
        <f ca="1"/>
        <v>0</v>
      </c>
      <c r="V202" s="603">
        <f ca="1"/>
        <v>0</v>
      </c>
      <c r="W202" s="603">
        <f ca="1"/>
        <v>0</v>
      </c>
      <c r="X202" s="603">
        <f ca="1"/>
        <v>0</v>
      </c>
      <c r="Y202" s="2007">
        <f t="array" aca="1" ref="Y202:Y213" ca="1">'Distr CV 1'!M202:M213</f>
        <v>0</v>
      </c>
    </row>
    <row r="203" spans="1:26">
      <c r="A203" s="1995" t="str">
        <f>A$74</f>
        <v>2 meses antes</v>
      </c>
      <c r="B203" s="1991"/>
      <c r="C203" s="1991"/>
      <c r="D203" s="1991"/>
      <c r="E203" s="1991"/>
      <c r="F203" s="1991"/>
      <c r="G203" s="1991"/>
      <c r="H203" s="1991"/>
      <c r="I203" s="1991"/>
      <c r="J203" s="1991"/>
      <c r="K203" s="1991"/>
      <c r="L203" s="603">
        <f t="array" aca="1" ref="L203:W203" ca="1">B25:M25*Produção!$L$13</f>
        <v>0</v>
      </c>
      <c r="M203" s="603">
        <f ca="1"/>
        <v>0</v>
      </c>
      <c r="N203" s="603">
        <f ca="1"/>
        <v>0</v>
      </c>
      <c r="O203" s="603">
        <f ca="1"/>
        <v>0</v>
      </c>
      <c r="P203" s="603">
        <f ca="1"/>
        <v>0</v>
      </c>
      <c r="Q203" s="603">
        <f ca="1"/>
        <v>0</v>
      </c>
      <c r="R203" s="603">
        <f ca="1"/>
        <v>0</v>
      </c>
      <c r="S203" s="603">
        <f ca="1"/>
        <v>0</v>
      </c>
      <c r="T203" s="603">
        <f ca="1"/>
        <v>0</v>
      </c>
      <c r="U203" s="603">
        <f ca="1"/>
        <v>0</v>
      </c>
      <c r="V203" s="603">
        <f ca="1"/>
        <v>0</v>
      </c>
      <c r="W203" s="603">
        <f ca="1"/>
        <v>0</v>
      </c>
      <c r="X203" s="1988">
        <f t="array" aca="1" ref="X203:X213" ca="1">'Distr CV 1'!L203:L213</f>
        <v>0</v>
      </c>
      <c r="Y203" s="2007">
        <f ca="1"/>
        <v>0</v>
      </c>
    </row>
    <row r="204" spans="1:26">
      <c r="A204" s="1995" t="str">
        <f>A$75</f>
        <v>3 meses antes</v>
      </c>
      <c r="B204" s="1991"/>
      <c r="C204" s="1991"/>
      <c r="D204" s="1991"/>
      <c r="E204" s="1991"/>
      <c r="F204" s="1991"/>
      <c r="G204" s="1991"/>
      <c r="H204" s="1991"/>
      <c r="I204" s="1991"/>
      <c r="J204" s="1991"/>
      <c r="K204" s="603">
        <f t="array" aca="1" ref="K204:V204" ca="1">B25:M25*Produção!$K$13</f>
        <v>0</v>
      </c>
      <c r="L204" s="603">
        <f ca="1"/>
        <v>0</v>
      </c>
      <c r="M204" s="603">
        <f ca="1"/>
        <v>0</v>
      </c>
      <c r="N204" s="603">
        <f ca="1"/>
        <v>0</v>
      </c>
      <c r="O204" s="603">
        <f ca="1"/>
        <v>0</v>
      </c>
      <c r="P204" s="603">
        <f ca="1"/>
        <v>0</v>
      </c>
      <c r="Q204" s="603">
        <f ca="1"/>
        <v>0</v>
      </c>
      <c r="R204" s="603">
        <f ca="1"/>
        <v>0</v>
      </c>
      <c r="S204" s="603">
        <f ca="1"/>
        <v>0</v>
      </c>
      <c r="T204" s="603">
        <f ca="1"/>
        <v>0</v>
      </c>
      <c r="U204" s="603">
        <f ca="1"/>
        <v>0</v>
      </c>
      <c r="V204" s="603">
        <f ca="1"/>
        <v>0</v>
      </c>
      <c r="W204" s="1988">
        <f t="array" aca="1" ref="W204:W213" ca="1">'Distr CV 1'!K204:K213</f>
        <v>0</v>
      </c>
      <c r="X204" s="1988">
        <f ca="1"/>
        <v>0</v>
      </c>
      <c r="Y204" s="2007">
        <f ca="1"/>
        <v>0</v>
      </c>
    </row>
    <row r="205" spans="1:26">
      <c r="A205" s="1995" t="str">
        <f>A$76</f>
        <v>4 meses antes</v>
      </c>
      <c r="B205" s="1991"/>
      <c r="C205" s="1991"/>
      <c r="D205" s="1991"/>
      <c r="E205" s="1991"/>
      <c r="F205" s="1991"/>
      <c r="G205" s="1991"/>
      <c r="H205" s="1991"/>
      <c r="I205" s="1991"/>
      <c r="J205" s="603">
        <f t="array" aca="1" ref="J205:U205" ca="1">B25:M25*Produção!$J$13</f>
        <v>0</v>
      </c>
      <c r="K205" s="603">
        <f ca="1"/>
        <v>0</v>
      </c>
      <c r="L205" s="603">
        <f ca="1"/>
        <v>0</v>
      </c>
      <c r="M205" s="603">
        <f ca="1"/>
        <v>0</v>
      </c>
      <c r="N205" s="603">
        <f ca="1"/>
        <v>0</v>
      </c>
      <c r="O205" s="603">
        <f ca="1"/>
        <v>0</v>
      </c>
      <c r="P205" s="603">
        <f ca="1"/>
        <v>0</v>
      </c>
      <c r="Q205" s="603">
        <f ca="1"/>
        <v>0</v>
      </c>
      <c r="R205" s="603">
        <f ca="1"/>
        <v>0</v>
      </c>
      <c r="S205" s="603">
        <f ca="1"/>
        <v>0</v>
      </c>
      <c r="T205" s="603">
        <f ca="1"/>
        <v>0</v>
      </c>
      <c r="U205" s="603">
        <f ca="1"/>
        <v>0</v>
      </c>
      <c r="V205" s="1988">
        <f t="array" aca="1" ref="V205:V213" ca="1">'Distr CV 1'!J205:J213</f>
        <v>0</v>
      </c>
      <c r="W205" s="1988">
        <f ca="1"/>
        <v>0</v>
      </c>
      <c r="X205" s="1988">
        <f ca="1"/>
        <v>0</v>
      </c>
      <c r="Y205" s="2007">
        <f ca="1"/>
        <v>0</v>
      </c>
    </row>
    <row r="206" spans="1:26">
      <c r="A206" s="1995" t="str">
        <f>A$77</f>
        <v>5 meses antes</v>
      </c>
      <c r="B206" s="1991"/>
      <c r="C206" s="1991"/>
      <c r="D206" s="1991"/>
      <c r="E206" s="1991"/>
      <c r="F206" s="1991"/>
      <c r="G206" s="1991"/>
      <c r="H206" s="1991"/>
      <c r="I206" s="603">
        <f t="array" aca="1" ref="I206:T206" ca="1">B25:M25*Produção!$I$13</f>
        <v>0</v>
      </c>
      <c r="J206" s="603">
        <f ca="1"/>
        <v>0</v>
      </c>
      <c r="K206" s="603">
        <f ca="1"/>
        <v>0</v>
      </c>
      <c r="L206" s="603">
        <f ca="1"/>
        <v>0</v>
      </c>
      <c r="M206" s="603">
        <f ca="1"/>
        <v>0</v>
      </c>
      <c r="N206" s="603">
        <f ca="1"/>
        <v>0</v>
      </c>
      <c r="O206" s="603">
        <f ca="1"/>
        <v>0</v>
      </c>
      <c r="P206" s="603">
        <f ca="1"/>
        <v>0</v>
      </c>
      <c r="Q206" s="603">
        <f ca="1"/>
        <v>0</v>
      </c>
      <c r="R206" s="603">
        <f ca="1"/>
        <v>0</v>
      </c>
      <c r="S206" s="603">
        <f ca="1"/>
        <v>0</v>
      </c>
      <c r="T206" s="603">
        <f ca="1"/>
        <v>0</v>
      </c>
      <c r="U206" s="1988">
        <f t="array" aca="1" ref="U206:U213" ca="1">'Distr CV 1'!I206:I213</f>
        <v>0</v>
      </c>
      <c r="V206" s="1988">
        <f ca="1"/>
        <v>0</v>
      </c>
      <c r="W206" s="1988">
        <f ca="1"/>
        <v>0</v>
      </c>
      <c r="X206" s="1988">
        <f ca="1"/>
        <v>0</v>
      </c>
      <c r="Y206" s="2007">
        <f ca="1"/>
        <v>0</v>
      </c>
    </row>
    <row r="207" spans="1:26">
      <c r="A207" s="1995" t="str">
        <f>A$78</f>
        <v>6 meses antes</v>
      </c>
      <c r="B207" s="1991"/>
      <c r="C207" s="1991"/>
      <c r="D207" s="1991"/>
      <c r="E207" s="1991"/>
      <c r="F207" s="1991"/>
      <c r="G207" s="1991"/>
      <c r="H207" s="603">
        <f t="array" aca="1" ref="H207:S207" ca="1">B25:M25*Produção!$H$13</f>
        <v>0</v>
      </c>
      <c r="I207" s="603">
        <f ca="1"/>
        <v>0</v>
      </c>
      <c r="J207" s="603">
        <f ca="1"/>
        <v>0</v>
      </c>
      <c r="K207" s="603">
        <f ca="1"/>
        <v>0</v>
      </c>
      <c r="L207" s="603">
        <f ca="1"/>
        <v>0</v>
      </c>
      <c r="M207" s="603">
        <f ca="1"/>
        <v>0</v>
      </c>
      <c r="N207" s="603">
        <f ca="1"/>
        <v>0</v>
      </c>
      <c r="O207" s="603">
        <f ca="1"/>
        <v>0</v>
      </c>
      <c r="P207" s="603">
        <f ca="1"/>
        <v>0</v>
      </c>
      <c r="Q207" s="603">
        <f ca="1"/>
        <v>0</v>
      </c>
      <c r="R207" s="603">
        <f ca="1"/>
        <v>0</v>
      </c>
      <c r="S207" s="603">
        <f ca="1"/>
        <v>0</v>
      </c>
      <c r="T207" s="1988">
        <f t="array" aca="1" ref="T207:T213" ca="1">'Distr CV 1'!H207:H213</f>
        <v>0</v>
      </c>
      <c r="U207" s="1988">
        <f ca="1"/>
        <v>0</v>
      </c>
      <c r="V207" s="1988">
        <f ca="1"/>
        <v>0</v>
      </c>
      <c r="W207" s="1988">
        <f ca="1"/>
        <v>0</v>
      </c>
      <c r="X207" s="1988">
        <f ca="1"/>
        <v>0</v>
      </c>
      <c r="Y207" s="2007">
        <f ca="1"/>
        <v>0</v>
      </c>
    </row>
    <row r="208" spans="1:26">
      <c r="A208" s="1995" t="str">
        <f>A$79</f>
        <v>7 meses antes</v>
      </c>
      <c r="B208" s="1991"/>
      <c r="C208" s="1991"/>
      <c r="D208" s="1991"/>
      <c r="E208" s="1991"/>
      <c r="F208" s="1991"/>
      <c r="G208" s="603">
        <f t="array" aca="1" ref="G208:R208" ca="1">B25:M25*Produção!$G$13</f>
        <v>0</v>
      </c>
      <c r="H208" s="603">
        <f ca="1"/>
        <v>0</v>
      </c>
      <c r="I208" s="603">
        <f ca="1"/>
        <v>0</v>
      </c>
      <c r="J208" s="603">
        <f ca="1"/>
        <v>0</v>
      </c>
      <c r="K208" s="603">
        <f ca="1"/>
        <v>0</v>
      </c>
      <c r="L208" s="603">
        <f ca="1"/>
        <v>0</v>
      </c>
      <c r="M208" s="603">
        <f ca="1"/>
        <v>0</v>
      </c>
      <c r="N208" s="603">
        <f ca="1"/>
        <v>0</v>
      </c>
      <c r="O208" s="603">
        <f ca="1"/>
        <v>0</v>
      </c>
      <c r="P208" s="603">
        <f ca="1"/>
        <v>0</v>
      </c>
      <c r="Q208" s="603">
        <f ca="1"/>
        <v>0</v>
      </c>
      <c r="R208" s="603">
        <f ca="1"/>
        <v>0</v>
      </c>
      <c r="S208" s="1992">
        <f t="array" aca="1" ref="S208:S213" ca="1">'Distr CV 1'!G208:G213</f>
        <v>0</v>
      </c>
      <c r="T208" s="1992">
        <f ca="1"/>
        <v>0</v>
      </c>
      <c r="U208" s="1992">
        <f ca="1"/>
        <v>0</v>
      </c>
      <c r="V208" s="1992">
        <f ca="1"/>
        <v>0</v>
      </c>
      <c r="W208" s="1992">
        <f ca="1"/>
        <v>0</v>
      </c>
      <c r="X208" s="1992">
        <f ca="1"/>
        <v>0</v>
      </c>
      <c r="Y208" s="2010">
        <f ca="1"/>
        <v>0</v>
      </c>
    </row>
    <row r="209" spans="1:26">
      <c r="A209" s="1995" t="str">
        <f>A$80</f>
        <v>8 meses antes</v>
      </c>
      <c r="B209" s="1991"/>
      <c r="C209" s="1991"/>
      <c r="D209" s="1991"/>
      <c r="E209" s="1991"/>
      <c r="F209" s="603">
        <f t="array" aca="1" ref="F209:Q209" ca="1">B25:M25*Produção!$F$13</f>
        <v>0</v>
      </c>
      <c r="G209" s="603">
        <f ca="1"/>
        <v>0</v>
      </c>
      <c r="H209" s="603">
        <f ca="1"/>
        <v>0</v>
      </c>
      <c r="I209" s="603">
        <f ca="1"/>
        <v>0</v>
      </c>
      <c r="J209" s="603">
        <f ca="1"/>
        <v>0</v>
      </c>
      <c r="K209" s="603">
        <f ca="1"/>
        <v>0</v>
      </c>
      <c r="L209" s="603">
        <f ca="1"/>
        <v>0</v>
      </c>
      <c r="M209" s="603">
        <f ca="1"/>
        <v>0</v>
      </c>
      <c r="N209" s="603">
        <f ca="1"/>
        <v>0</v>
      </c>
      <c r="O209" s="603">
        <f ca="1"/>
        <v>0</v>
      </c>
      <c r="P209" s="603">
        <f ca="1"/>
        <v>0</v>
      </c>
      <c r="Q209" s="603">
        <f ca="1"/>
        <v>0</v>
      </c>
      <c r="R209" s="1992">
        <f t="array" aca="1" ref="R209:R213" ca="1">'Distr CV 1'!F209:F213</f>
        <v>0</v>
      </c>
      <c r="S209" s="1992">
        <f ca="1"/>
        <v>0</v>
      </c>
      <c r="T209" s="1992">
        <f ca="1"/>
        <v>0</v>
      </c>
      <c r="U209" s="1992">
        <f ca="1"/>
        <v>0</v>
      </c>
      <c r="V209" s="1992">
        <f ca="1"/>
        <v>0</v>
      </c>
      <c r="W209" s="1992">
        <f ca="1"/>
        <v>0</v>
      </c>
      <c r="X209" s="1992">
        <f ca="1"/>
        <v>0</v>
      </c>
      <c r="Y209" s="2010">
        <f ca="1"/>
        <v>0</v>
      </c>
    </row>
    <row r="210" spans="1:26">
      <c r="A210" s="1995" t="str">
        <f>A$81</f>
        <v>9 meses antes</v>
      </c>
      <c r="B210" s="1991"/>
      <c r="C210" s="1991"/>
      <c r="D210" s="1991"/>
      <c r="E210" s="603">
        <f t="array" aca="1" ref="E210:P210" ca="1">B25:M25*Produção!$E$13</f>
        <v>0</v>
      </c>
      <c r="F210" s="603">
        <f ca="1"/>
        <v>0</v>
      </c>
      <c r="G210" s="603">
        <f ca="1"/>
        <v>0</v>
      </c>
      <c r="H210" s="603">
        <f ca="1"/>
        <v>0</v>
      </c>
      <c r="I210" s="603">
        <f ca="1"/>
        <v>0</v>
      </c>
      <c r="J210" s="603">
        <f ca="1"/>
        <v>0</v>
      </c>
      <c r="K210" s="603">
        <f ca="1"/>
        <v>0</v>
      </c>
      <c r="L210" s="603">
        <f ca="1"/>
        <v>0</v>
      </c>
      <c r="M210" s="603">
        <f ca="1"/>
        <v>0</v>
      </c>
      <c r="N210" s="603">
        <f ca="1"/>
        <v>0</v>
      </c>
      <c r="O210" s="603">
        <f ca="1"/>
        <v>0</v>
      </c>
      <c r="P210" s="603">
        <f ca="1"/>
        <v>0</v>
      </c>
      <c r="Q210" s="1992">
        <f t="array" aca="1" ref="Q210:Q213" ca="1">'Distr CV 1'!E210:F213</f>
        <v>0</v>
      </c>
      <c r="R210" s="1992">
        <f ca="1"/>
        <v>0</v>
      </c>
      <c r="S210" s="1992">
        <f ca="1"/>
        <v>0</v>
      </c>
      <c r="T210" s="1992">
        <f ca="1"/>
        <v>0</v>
      </c>
      <c r="U210" s="1992">
        <f ca="1"/>
        <v>0</v>
      </c>
      <c r="V210" s="1992">
        <f ca="1"/>
        <v>0</v>
      </c>
      <c r="W210" s="1992">
        <f ca="1"/>
        <v>0</v>
      </c>
      <c r="X210" s="1992">
        <f ca="1"/>
        <v>0</v>
      </c>
      <c r="Y210" s="2010">
        <f ca="1"/>
        <v>0</v>
      </c>
    </row>
    <row r="211" spans="1:26">
      <c r="A211" s="1995" t="str">
        <f>A$82</f>
        <v>10 meses antes</v>
      </c>
      <c r="B211" s="1991"/>
      <c r="C211" s="1991"/>
      <c r="D211" s="603">
        <f t="array" aca="1" ref="D211:O211" ca="1">B25:M25*Produção!$D$13</f>
        <v>0</v>
      </c>
      <c r="E211" s="603">
        <f ca="1"/>
        <v>0</v>
      </c>
      <c r="F211" s="603">
        <f ca="1"/>
        <v>0</v>
      </c>
      <c r="G211" s="603">
        <f ca="1"/>
        <v>0</v>
      </c>
      <c r="H211" s="603">
        <f ca="1"/>
        <v>0</v>
      </c>
      <c r="I211" s="603">
        <f ca="1"/>
        <v>0</v>
      </c>
      <c r="J211" s="603">
        <f ca="1"/>
        <v>0</v>
      </c>
      <c r="K211" s="603">
        <f ca="1"/>
        <v>0</v>
      </c>
      <c r="L211" s="603">
        <f ca="1"/>
        <v>0</v>
      </c>
      <c r="M211" s="603">
        <f ca="1"/>
        <v>0</v>
      </c>
      <c r="N211" s="603">
        <f ca="1"/>
        <v>0</v>
      </c>
      <c r="O211" s="603">
        <f ca="1"/>
        <v>0</v>
      </c>
      <c r="P211" s="1992">
        <f t="array" aca="1" ref="P211:P213" ca="1">'Distr CV 1'!D211:D213</f>
        <v>0</v>
      </c>
      <c r="Q211" s="1992">
        <f ca="1"/>
        <v>0</v>
      </c>
      <c r="R211" s="1992">
        <f ca="1"/>
        <v>0</v>
      </c>
      <c r="S211" s="1992">
        <f ca="1"/>
        <v>0</v>
      </c>
      <c r="T211" s="1992">
        <f ca="1"/>
        <v>0</v>
      </c>
      <c r="U211" s="1992">
        <f ca="1"/>
        <v>0</v>
      </c>
      <c r="V211" s="1992">
        <f ca="1"/>
        <v>0</v>
      </c>
      <c r="W211" s="1992">
        <f ca="1"/>
        <v>0</v>
      </c>
      <c r="X211" s="1992">
        <f ca="1"/>
        <v>0</v>
      </c>
      <c r="Y211" s="2010">
        <f ca="1"/>
        <v>0</v>
      </c>
    </row>
    <row r="212" spans="1:26">
      <c r="A212" s="1995" t="str">
        <f>A$83</f>
        <v>11 meses antes</v>
      </c>
      <c r="B212" s="1991"/>
      <c r="C212" s="603">
        <f t="array" aca="1" ref="C212:N212" ca="1">B25:M25*Produção!$C$13</f>
        <v>0</v>
      </c>
      <c r="D212" s="603">
        <f ca="1"/>
        <v>0</v>
      </c>
      <c r="E212" s="603">
        <f ca="1"/>
        <v>0</v>
      </c>
      <c r="F212" s="603">
        <f ca="1"/>
        <v>0</v>
      </c>
      <c r="G212" s="603">
        <f ca="1"/>
        <v>0</v>
      </c>
      <c r="H212" s="603">
        <f ca="1"/>
        <v>0</v>
      </c>
      <c r="I212" s="603">
        <f ca="1"/>
        <v>0</v>
      </c>
      <c r="J212" s="603">
        <f ca="1"/>
        <v>0</v>
      </c>
      <c r="K212" s="603">
        <f ca="1"/>
        <v>0</v>
      </c>
      <c r="L212" s="603">
        <f ca="1"/>
        <v>0</v>
      </c>
      <c r="M212" s="603">
        <f ca="1"/>
        <v>0</v>
      </c>
      <c r="N212" s="603">
        <f ca="1"/>
        <v>0</v>
      </c>
      <c r="O212" s="1992">
        <f t="array" aca="1" ref="O212:O213" ca="1">'Distr CV 1'!C212:C213</f>
        <v>0</v>
      </c>
      <c r="P212" s="1992">
        <f ca="1"/>
        <v>0</v>
      </c>
      <c r="Q212" s="1992">
        <f ca="1"/>
        <v>0</v>
      </c>
      <c r="R212" s="1992">
        <f ca="1"/>
        <v>0</v>
      </c>
      <c r="S212" s="1992">
        <f ca="1"/>
        <v>0</v>
      </c>
      <c r="T212" s="1992">
        <f ca="1"/>
        <v>0</v>
      </c>
      <c r="U212" s="1992">
        <f ca="1"/>
        <v>0</v>
      </c>
      <c r="V212" s="1992">
        <f ca="1"/>
        <v>0</v>
      </c>
      <c r="W212" s="1992">
        <f ca="1"/>
        <v>0</v>
      </c>
      <c r="X212" s="1992">
        <f ca="1"/>
        <v>0</v>
      </c>
      <c r="Y212" s="2010">
        <f ca="1"/>
        <v>0</v>
      </c>
    </row>
    <row r="213" spans="1:26" ht="13.5" thickBot="1">
      <c r="A213" s="1995" t="str">
        <f>A$84</f>
        <v>12 meses antes</v>
      </c>
      <c r="B213" s="603">
        <f t="array" aca="1" ref="B213:M213" ca="1">B25:M25*Produção!$B$13</f>
        <v>0</v>
      </c>
      <c r="C213" s="603">
        <f ca="1"/>
        <v>0</v>
      </c>
      <c r="D213" s="603">
        <f ca="1"/>
        <v>0</v>
      </c>
      <c r="E213" s="603">
        <f ca="1"/>
        <v>0</v>
      </c>
      <c r="F213" s="603">
        <f ca="1"/>
        <v>0</v>
      </c>
      <c r="G213" s="603">
        <f ca="1"/>
        <v>0</v>
      </c>
      <c r="H213" s="603">
        <f ca="1"/>
        <v>0</v>
      </c>
      <c r="I213" s="603">
        <f ca="1"/>
        <v>0</v>
      </c>
      <c r="J213" s="603">
        <f ca="1"/>
        <v>0</v>
      </c>
      <c r="K213" s="603">
        <f ca="1"/>
        <v>0</v>
      </c>
      <c r="L213" s="603">
        <f ca="1"/>
        <v>0</v>
      </c>
      <c r="M213" s="603">
        <f ca="1"/>
        <v>0</v>
      </c>
      <c r="N213" s="1991">
        <f ca="1">'Distr CV 1'!B213</f>
        <v>0</v>
      </c>
      <c r="O213" s="1992">
        <f ca="1"/>
        <v>0</v>
      </c>
      <c r="P213" s="1992">
        <f ca="1"/>
        <v>0</v>
      </c>
      <c r="Q213" s="1992">
        <f ca="1"/>
        <v>0</v>
      </c>
      <c r="R213" s="1992">
        <f ca="1"/>
        <v>0</v>
      </c>
      <c r="S213" s="1992">
        <f ca="1"/>
        <v>0</v>
      </c>
      <c r="T213" s="1992">
        <f ca="1"/>
        <v>0</v>
      </c>
      <c r="U213" s="1992">
        <f ca="1"/>
        <v>0</v>
      </c>
      <c r="V213" s="1992">
        <f ca="1"/>
        <v>0</v>
      </c>
      <c r="W213" s="1992">
        <f ca="1"/>
        <v>0</v>
      </c>
      <c r="X213" s="1992">
        <f ca="1"/>
        <v>0</v>
      </c>
      <c r="Y213" s="2010">
        <f ca="1"/>
        <v>0</v>
      </c>
    </row>
    <row r="214" spans="1:26" ht="15.75" customHeight="1" thickBot="1">
      <c r="A214" s="105" t="str">
        <f>"Totais CV "&amp;A$13</f>
        <v xml:space="preserve">Totais CV </v>
      </c>
      <c r="B214" s="607">
        <f t="shared" ref="B214:Y214" ca="1" si="16">SUM(B201:B213)</f>
        <v>0</v>
      </c>
      <c r="C214" s="607">
        <f t="shared" ca="1" si="16"/>
        <v>0</v>
      </c>
      <c r="D214" s="607">
        <f t="shared" ca="1" si="16"/>
        <v>0</v>
      </c>
      <c r="E214" s="607">
        <f t="shared" ca="1" si="16"/>
        <v>0</v>
      </c>
      <c r="F214" s="607">
        <f t="shared" ca="1" si="16"/>
        <v>0</v>
      </c>
      <c r="G214" s="607">
        <f t="shared" ca="1" si="16"/>
        <v>0</v>
      </c>
      <c r="H214" s="607">
        <f t="shared" ca="1" si="16"/>
        <v>0</v>
      </c>
      <c r="I214" s="607">
        <f t="shared" ca="1" si="16"/>
        <v>0</v>
      </c>
      <c r="J214" s="607">
        <f t="shared" ca="1" si="16"/>
        <v>0</v>
      </c>
      <c r="K214" s="607">
        <f t="shared" ca="1" si="16"/>
        <v>0</v>
      </c>
      <c r="L214" s="607">
        <f t="shared" ca="1" si="16"/>
        <v>0</v>
      </c>
      <c r="M214" s="607">
        <f t="shared" ca="1" si="16"/>
        <v>0</v>
      </c>
      <c r="N214" s="607">
        <f t="shared" ca="1" si="16"/>
        <v>0</v>
      </c>
      <c r="O214" s="607">
        <f t="shared" ca="1" si="16"/>
        <v>0</v>
      </c>
      <c r="P214" s="607">
        <f t="shared" ca="1" si="16"/>
        <v>0</v>
      </c>
      <c r="Q214" s="607">
        <f t="shared" ca="1" si="16"/>
        <v>0</v>
      </c>
      <c r="R214" s="607">
        <f t="shared" ca="1" si="16"/>
        <v>0</v>
      </c>
      <c r="S214" s="607">
        <f t="shared" ca="1" si="16"/>
        <v>0</v>
      </c>
      <c r="T214" s="607">
        <f t="shared" ca="1" si="16"/>
        <v>0</v>
      </c>
      <c r="U214" s="607">
        <f t="shared" ca="1" si="16"/>
        <v>0</v>
      </c>
      <c r="V214" s="607">
        <f t="shared" ca="1" si="16"/>
        <v>0</v>
      </c>
      <c r="W214" s="607">
        <f t="shared" ca="1" si="16"/>
        <v>0</v>
      </c>
      <c r="X214" s="607">
        <f t="shared" ca="1" si="16"/>
        <v>0</v>
      </c>
      <c r="Y214" s="2008">
        <f t="shared" ca="1" si="16"/>
        <v>0</v>
      </c>
    </row>
    <row r="215" spans="1:26" ht="15.75" customHeight="1" thickBot="1">
      <c r="A215" s="105" t="str">
        <f>'Dados Básicos'!A28&amp;" sop. CV "&amp;$A$13</f>
        <v xml:space="preserve">IVA sop. CV </v>
      </c>
      <c r="B215" s="607">
        <f t="array" aca="1" ref="B215:Y215" ca="1">$K$199*B214:Y214</f>
        <v>0</v>
      </c>
      <c r="C215" s="607">
        <f ca="1"/>
        <v>0</v>
      </c>
      <c r="D215" s="607">
        <f ca="1"/>
        <v>0</v>
      </c>
      <c r="E215" s="607">
        <f ca="1"/>
        <v>0</v>
      </c>
      <c r="F215" s="607">
        <f ca="1"/>
        <v>0</v>
      </c>
      <c r="G215" s="607">
        <f ca="1"/>
        <v>0</v>
      </c>
      <c r="H215" s="607">
        <f ca="1"/>
        <v>0</v>
      </c>
      <c r="I215" s="607">
        <f ca="1"/>
        <v>0</v>
      </c>
      <c r="J215" s="607">
        <f ca="1"/>
        <v>0</v>
      </c>
      <c r="K215" s="607">
        <f ca="1"/>
        <v>0</v>
      </c>
      <c r="L215" s="607">
        <f ca="1"/>
        <v>0</v>
      </c>
      <c r="M215" s="607">
        <f ca="1"/>
        <v>0</v>
      </c>
      <c r="N215" s="607">
        <f ca="1"/>
        <v>0</v>
      </c>
      <c r="O215" s="607">
        <f ca="1"/>
        <v>0</v>
      </c>
      <c r="P215" s="607">
        <f ca="1"/>
        <v>0</v>
      </c>
      <c r="Q215" s="607">
        <f ca="1"/>
        <v>0</v>
      </c>
      <c r="R215" s="607">
        <f ca="1"/>
        <v>0</v>
      </c>
      <c r="S215" s="607">
        <f ca="1"/>
        <v>0</v>
      </c>
      <c r="T215" s="607">
        <f ca="1"/>
        <v>0</v>
      </c>
      <c r="U215" s="607">
        <f ca="1"/>
        <v>0</v>
      </c>
      <c r="V215" s="607">
        <f ca="1"/>
        <v>0</v>
      </c>
      <c r="W215" s="607">
        <f ca="1"/>
        <v>0</v>
      </c>
      <c r="X215" s="607">
        <f ca="1"/>
        <v>0</v>
      </c>
      <c r="Y215" s="2008">
        <f ca="1"/>
        <v>0</v>
      </c>
    </row>
    <row r="217" spans="1:26" ht="18.75" thickBot="1">
      <c r="A217" s="1993" t="str">
        <f>"Compras / custos de producción por meses de "&amp;A$14</f>
        <v xml:space="preserve">Compras / custos de producción por meses de </v>
      </c>
      <c r="I217" s="1993" t="str">
        <f>$I$109</f>
        <v>IVA NO incluido</v>
      </c>
      <c r="K217" s="2005">
        <f>Parametros!$F$30</f>
        <v>0.21</v>
      </c>
    </row>
    <row r="218" spans="1:26" s="456" customFormat="1" ht="33" customHeight="1" thickBot="1">
      <c r="A218" s="457" t="str">
        <f>A$110</f>
        <v>mes de compra / custo</v>
      </c>
      <c r="B218" s="2011" t="str">
        <f t="array" ref="B218:Y218">B$71:Y$71</f>
        <v>janeiro
2025</v>
      </c>
      <c r="C218" s="2011" t="str">
        <v>fevereiro
2025</v>
      </c>
      <c r="D218" s="2011" t="str">
        <v>março
2025</v>
      </c>
      <c r="E218" s="2011" t="str">
        <v>abril
2025</v>
      </c>
      <c r="F218" s="2011" t="str">
        <v>maio
2025</v>
      </c>
      <c r="G218" s="2011" t="str">
        <v>junho
2025</v>
      </c>
      <c r="H218" s="2011" t="str">
        <v>julho
2025</v>
      </c>
      <c r="I218" s="2011" t="str">
        <v>agosto
2025</v>
      </c>
      <c r="J218" s="2011" t="str">
        <v>setembro
2025</v>
      </c>
      <c r="K218" s="2011" t="str">
        <v>outubro
2025</v>
      </c>
      <c r="L218" s="2011" t="str">
        <v>novembro
2025</v>
      </c>
      <c r="M218" s="2011" t="str">
        <v>dezembro
2025</v>
      </c>
      <c r="N218" s="2734" t="str">
        <v>janeiro 
2026</v>
      </c>
      <c r="O218" s="2735" t="str">
        <v>fevereiro 
2026</v>
      </c>
      <c r="P218" s="2735" t="str">
        <v>março 
2026</v>
      </c>
      <c r="Q218" s="2735" t="str">
        <v>abril 
2026</v>
      </c>
      <c r="R218" s="2735" t="str">
        <v>maio 
2026</v>
      </c>
      <c r="S218" s="2735" t="str">
        <v>junho 
2026</v>
      </c>
      <c r="T218" s="2735" t="str">
        <v>julho 
2026</v>
      </c>
      <c r="U218" s="2735" t="str">
        <v>agosto 
2026</v>
      </c>
      <c r="V218" s="2735" t="str">
        <v>setembro 
2026</v>
      </c>
      <c r="W218" s="2735" t="str">
        <v>outubro 
2026</v>
      </c>
      <c r="X218" s="2735" t="str">
        <v>novembro 
2026</v>
      </c>
      <c r="Y218" s="2736" t="str">
        <v>dezembro 
2026</v>
      </c>
      <c r="Z218" s="62"/>
    </row>
    <row r="219" spans="1:26">
      <c r="A219" s="1994" t="str">
        <f>A$72</f>
        <v>mesmo mes</v>
      </c>
      <c r="B219" s="1991"/>
      <c r="C219" s="1991"/>
      <c r="D219" s="1991"/>
      <c r="E219" s="1991"/>
      <c r="F219" s="1991"/>
      <c r="G219" s="1991"/>
      <c r="H219" s="1991"/>
      <c r="I219" s="1991"/>
      <c r="J219" s="1991"/>
      <c r="K219" s="1991"/>
      <c r="L219" s="1991"/>
      <c r="M219" s="1991"/>
      <c r="N219" s="603">
        <f t="array" aca="1" ref="N219:Y219" ca="1">B26:M26*Produção!$N$14</f>
        <v>0</v>
      </c>
      <c r="O219" s="603">
        <f ca="1"/>
        <v>0</v>
      </c>
      <c r="P219" s="603">
        <f ca="1"/>
        <v>0</v>
      </c>
      <c r="Q219" s="603">
        <f ca="1"/>
        <v>0</v>
      </c>
      <c r="R219" s="603">
        <f ca="1"/>
        <v>0</v>
      </c>
      <c r="S219" s="603">
        <f ca="1"/>
        <v>0</v>
      </c>
      <c r="T219" s="603">
        <f ca="1"/>
        <v>0</v>
      </c>
      <c r="U219" s="603">
        <f ca="1"/>
        <v>0</v>
      </c>
      <c r="V219" s="603">
        <f ca="1"/>
        <v>0</v>
      </c>
      <c r="W219" s="603">
        <f ca="1"/>
        <v>0</v>
      </c>
      <c r="X219" s="603">
        <f ca="1"/>
        <v>0</v>
      </c>
      <c r="Y219" s="2006">
        <f ca="1"/>
        <v>0</v>
      </c>
    </row>
    <row r="220" spans="1:26">
      <c r="A220" s="1995" t="str">
        <f>A$73</f>
        <v>1 mes antes</v>
      </c>
      <c r="B220" s="1991"/>
      <c r="C220" s="1991"/>
      <c r="D220" s="1991"/>
      <c r="E220" s="1991"/>
      <c r="F220" s="1991"/>
      <c r="G220" s="1991"/>
      <c r="H220" s="1991"/>
      <c r="I220" s="1991"/>
      <c r="J220" s="1991"/>
      <c r="K220" s="1991"/>
      <c r="L220" s="1991"/>
      <c r="M220" s="603">
        <f t="array" aca="1" ref="M220:X220" ca="1">B26:M26*Produção!$M$14</f>
        <v>0</v>
      </c>
      <c r="N220" s="603">
        <f ca="1"/>
        <v>0</v>
      </c>
      <c r="O220" s="603">
        <f ca="1"/>
        <v>0</v>
      </c>
      <c r="P220" s="603">
        <f ca="1"/>
        <v>0</v>
      </c>
      <c r="Q220" s="603">
        <f ca="1"/>
        <v>0</v>
      </c>
      <c r="R220" s="603">
        <f ca="1"/>
        <v>0</v>
      </c>
      <c r="S220" s="603">
        <f ca="1"/>
        <v>0</v>
      </c>
      <c r="T220" s="603">
        <f ca="1"/>
        <v>0</v>
      </c>
      <c r="U220" s="603">
        <f ca="1"/>
        <v>0</v>
      </c>
      <c r="V220" s="603">
        <f ca="1"/>
        <v>0</v>
      </c>
      <c r="W220" s="603">
        <f ca="1"/>
        <v>0</v>
      </c>
      <c r="X220" s="603">
        <f ca="1"/>
        <v>0</v>
      </c>
      <c r="Y220" s="2007">
        <f t="array" aca="1" ref="Y220:Y231" ca="1">'Distr CV 1'!M220:M231</f>
        <v>0</v>
      </c>
    </row>
    <row r="221" spans="1:26">
      <c r="A221" s="1995" t="str">
        <f>A$74</f>
        <v>2 meses antes</v>
      </c>
      <c r="B221" s="1991"/>
      <c r="C221" s="1991"/>
      <c r="D221" s="1991"/>
      <c r="E221" s="1991"/>
      <c r="F221" s="1991"/>
      <c r="G221" s="1991"/>
      <c r="H221" s="1991"/>
      <c r="I221" s="1991"/>
      <c r="J221" s="1991"/>
      <c r="K221" s="1991"/>
      <c r="L221" s="603">
        <f t="array" aca="1" ref="L221:W221" ca="1">B26:M26*Produção!$L$14</f>
        <v>0</v>
      </c>
      <c r="M221" s="603">
        <f ca="1"/>
        <v>0</v>
      </c>
      <c r="N221" s="603">
        <f ca="1"/>
        <v>0</v>
      </c>
      <c r="O221" s="603">
        <f ca="1"/>
        <v>0</v>
      </c>
      <c r="P221" s="603">
        <f ca="1"/>
        <v>0</v>
      </c>
      <c r="Q221" s="603">
        <f ca="1"/>
        <v>0</v>
      </c>
      <c r="R221" s="603">
        <f ca="1"/>
        <v>0</v>
      </c>
      <c r="S221" s="603">
        <f ca="1"/>
        <v>0</v>
      </c>
      <c r="T221" s="603">
        <f ca="1"/>
        <v>0</v>
      </c>
      <c r="U221" s="603">
        <f ca="1"/>
        <v>0</v>
      </c>
      <c r="V221" s="603">
        <f ca="1"/>
        <v>0</v>
      </c>
      <c r="W221" s="603">
        <f ca="1"/>
        <v>0</v>
      </c>
      <c r="X221" s="1988">
        <f t="array" aca="1" ref="X221:X231" ca="1">'Distr CV 1'!L221:L231</f>
        <v>0</v>
      </c>
      <c r="Y221" s="2007">
        <f ca="1"/>
        <v>0</v>
      </c>
    </row>
    <row r="222" spans="1:26">
      <c r="A222" s="1995" t="str">
        <f>A$75</f>
        <v>3 meses antes</v>
      </c>
      <c r="B222" s="1991"/>
      <c r="C222" s="1991"/>
      <c r="D222" s="1991"/>
      <c r="E222" s="1991"/>
      <c r="F222" s="1991"/>
      <c r="G222" s="1991"/>
      <c r="H222" s="1991"/>
      <c r="I222" s="1991"/>
      <c r="J222" s="1991"/>
      <c r="K222" s="603">
        <f t="array" aca="1" ref="K222:V222" ca="1">B26:M26*Produção!$K$14</f>
        <v>0</v>
      </c>
      <c r="L222" s="603">
        <f ca="1"/>
        <v>0</v>
      </c>
      <c r="M222" s="603">
        <f ca="1"/>
        <v>0</v>
      </c>
      <c r="N222" s="603">
        <f ca="1"/>
        <v>0</v>
      </c>
      <c r="O222" s="603">
        <f ca="1"/>
        <v>0</v>
      </c>
      <c r="P222" s="603">
        <f ca="1"/>
        <v>0</v>
      </c>
      <c r="Q222" s="603">
        <f ca="1"/>
        <v>0</v>
      </c>
      <c r="R222" s="603">
        <f ca="1"/>
        <v>0</v>
      </c>
      <c r="S222" s="603">
        <f ca="1"/>
        <v>0</v>
      </c>
      <c r="T222" s="603">
        <f ca="1"/>
        <v>0</v>
      </c>
      <c r="U222" s="603">
        <f ca="1"/>
        <v>0</v>
      </c>
      <c r="V222" s="603">
        <f ca="1"/>
        <v>0</v>
      </c>
      <c r="W222" s="1988">
        <f t="array" aca="1" ref="W222:W231" ca="1">'Distr CV 1'!K222:K231</f>
        <v>0</v>
      </c>
      <c r="X222" s="1988">
        <f ca="1"/>
        <v>0</v>
      </c>
      <c r="Y222" s="2007">
        <f ca="1"/>
        <v>0</v>
      </c>
    </row>
    <row r="223" spans="1:26">
      <c r="A223" s="1995" t="str">
        <f>A$76</f>
        <v>4 meses antes</v>
      </c>
      <c r="B223" s="1991"/>
      <c r="C223" s="1991"/>
      <c r="D223" s="1991"/>
      <c r="E223" s="1991"/>
      <c r="F223" s="1991"/>
      <c r="G223" s="1991"/>
      <c r="H223" s="1991"/>
      <c r="I223" s="1991"/>
      <c r="J223" s="603">
        <f t="array" aca="1" ref="J223:U223" ca="1">B26:M26*Produção!$J$14</f>
        <v>0</v>
      </c>
      <c r="K223" s="603">
        <f ca="1"/>
        <v>0</v>
      </c>
      <c r="L223" s="603">
        <f ca="1"/>
        <v>0</v>
      </c>
      <c r="M223" s="603">
        <f ca="1"/>
        <v>0</v>
      </c>
      <c r="N223" s="603">
        <f ca="1"/>
        <v>0</v>
      </c>
      <c r="O223" s="603">
        <f ca="1"/>
        <v>0</v>
      </c>
      <c r="P223" s="603">
        <f ca="1"/>
        <v>0</v>
      </c>
      <c r="Q223" s="603">
        <f ca="1"/>
        <v>0</v>
      </c>
      <c r="R223" s="603">
        <f ca="1"/>
        <v>0</v>
      </c>
      <c r="S223" s="603">
        <f ca="1"/>
        <v>0</v>
      </c>
      <c r="T223" s="603">
        <f ca="1"/>
        <v>0</v>
      </c>
      <c r="U223" s="603">
        <f ca="1"/>
        <v>0</v>
      </c>
      <c r="V223" s="1988">
        <f t="array" aca="1" ref="V223:V231" ca="1">'Distr CV 1'!J223:J231</f>
        <v>0</v>
      </c>
      <c r="W223" s="1988">
        <f ca="1"/>
        <v>0</v>
      </c>
      <c r="X223" s="1988">
        <f ca="1"/>
        <v>0</v>
      </c>
      <c r="Y223" s="2007">
        <f ca="1"/>
        <v>0</v>
      </c>
    </row>
    <row r="224" spans="1:26">
      <c r="A224" s="1995" t="str">
        <f>A$77</f>
        <v>5 meses antes</v>
      </c>
      <c r="B224" s="1991"/>
      <c r="C224" s="1991"/>
      <c r="D224" s="1991"/>
      <c r="E224" s="1991"/>
      <c r="F224" s="1991"/>
      <c r="G224" s="1991"/>
      <c r="H224" s="1991"/>
      <c r="I224" s="603">
        <f t="array" aca="1" ref="I224:T224" ca="1">B26:M26*Produção!$I$14</f>
        <v>0</v>
      </c>
      <c r="J224" s="603">
        <f ca="1"/>
        <v>0</v>
      </c>
      <c r="K224" s="603">
        <f ca="1"/>
        <v>0</v>
      </c>
      <c r="L224" s="603">
        <f ca="1"/>
        <v>0</v>
      </c>
      <c r="M224" s="603">
        <f ca="1"/>
        <v>0</v>
      </c>
      <c r="N224" s="603">
        <f ca="1"/>
        <v>0</v>
      </c>
      <c r="O224" s="603">
        <f ca="1"/>
        <v>0</v>
      </c>
      <c r="P224" s="603">
        <f ca="1"/>
        <v>0</v>
      </c>
      <c r="Q224" s="603">
        <f ca="1"/>
        <v>0</v>
      </c>
      <c r="R224" s="603">
        <f ca="1"/>
        <v>0</v>
      </c>
      <c r="S224" s="603">
        <f ca="1"/>
        <v>0</v>
      </c>
      <c r="T224" s="603">
        <f ca="1"/>
        <v>0</v>
      </c>
      <c r="U224" s="1988">
        <f t="array" aca="1" ref="U224:U231" ca="1">'Distr CV 1'!I224:I231</f>
        <v>0</v>
      </c>
      <c r="V224" s="1988">
        <f ca="1"/>
        <v>0</v>
      </c>
      <c r="W224" s="1988">
        <f ca="1"/>
        <v>0</v>
      </c>
      <c r="X224" s="1988">
        <f ca="1"/>
        <v>0</v>
      </c>
      <c r="Y224" s="2007">
        <f ca="1"/>
        <v>0</v>
      </c>
    </row>
    <row r="225" spans="1:26">
      <c r="A225" s="1995" t="str">
        <f>A$78</f>
        <v>6 meses antes</v>
      </c>
      <c r="B225" s="1991"/>
      <c r="C225" s="1991"/>
      <c r="D225" s="1991"/>
      <c r="E225" s="1991"/>
      <c r="F225" s="1991"/>
      <c r="G225" s="1991"/>
      <c r="H225" s="603">
        <f t="array" aca="1" ref="H225:S225" ca="1">B26:M26*Produção!$H$14</f>
        <v>0</v>
      </c>
      <c r="I225" s="603">
        <f ca="1"/>
        <v>0</v>
      </c>
      <c r="J225" s="603">
        <f ca="1"/>
        <v>0</v>
      </c>
      <c r="K225" s="603">
        <f ca="1"/>
        <v>0</v>
      </c>
      <c r="L225" s="603">
        <f ca="1"/>
        <v>0</v>
      </c>
      <c r="M225" s="603">
        <f ca="1"/>
        <v>0</v>
      </c>
      <c r="N225" s="603">
        <f ca="1"/>
        <v>0</v>
      </c>
      <c r="O225" s="603">
        <f ca="1"/>
        <v>0</v>
      </c>
      <c r="P225" s="603">
        <f ca="1"/>
        <v>0</v>
      </c>
      <c r="Q225" s="603">
        <f ca="1"/>
        <v>0</v>
      </c>
      <c r="R225" s="603">
        <f ca="1"/>
        <v>0</v>
      </c>
      <c r="S225" s="603">
        <f ca="1"/>
        <v>0</v>
      </c>
      <c r="T225" s="1988">
        <f t="array" aca="1" ref="T225:T231" ca="1">'Distr CV 1'!H225:H231</f>
        <v>0</v>
      </c>
      <c r="U225" s="1988">
        <f ca="1"/>
        <v>0</v>
      </c>
      <c r="V225" s="1988">
        <f ca="1"/>
        <v>0</v>
      </c>
      <c r="W225" s="1988">
        <f ca="1"/>
        <v>0</v>
      </c>
      <c r="X225" s="1988">
        <f ca="1"/>
        <v>0</v>
      </c>
      <c r="Y225" s="2007">
        <f ca="1"/>
        <v>0</v>
      </c>
    </row>
    <row r="226" spans="1:26">
      <c r="A226" s="1995" t="str">
        <f>A$79</f>
        <v>7 meses antes</v>
      </c>
      <c r="B226" s="1991"/>
      <c r="C226" s="1991"/>
      <c r="D226" s="1991"/>
      <c r="E226" s="1991"/>
      <c r="F226" s="1991"/>
      <c r="G226" s="603">
        <f t="array" aca="1" ref="G226:R226" ca="1">B26:M26*Produção!$G$14</f>
        <v>0</v>
      </c>
      <c r="H226" s="603">
        <f ca="1"/>
        <v>0</v>
      </c>
      <c r="I226" s="603">
        <f ca="1"/>
        <v>0</v>
      </c>
      <c r="J226" s="603">
        <f ca="1"/>
        <v>0</v>
      </c>
      <c r="K226" s="603">
        <f ca="1"/>
        <v>0</v>
      </c>
      <c r="L226" s="603">
        <f ca="1"/>
        <v>0</v>
      </c>
      <c r="M226" s="603">
        <f ca="1"/>
        <v>0</v>
      </c>
      <c r="N226" s="603">
        <f ca="1"/>
        <v>0</v>
      </c>
      <c r="O226" s="603">
        <f ca="1"/>
        <v>0</v>
      </c>
      <c r="P226" s="603">
        <f ca="1"/>
        <v>0</v>
      </c>
      <c r="Q226" s="603">
        <f ca="1"/>
        <v>0</v>
      </c>
      <c r="R226" s="603">
        <f ca="1"/>
        <v>0</v>
      </c>
      <c r="S226" s="1992">
        <f t="array" aca="1" ref="S226:S231" ca="1">'Distr CV 1'!G226:G231</f>
        <v>0</v>
      </c>
      <c r="T226" s="1992">
        <f ca="1"/>
        <v>0</v>
      </c>
      <c r="U226" s="1992">
        <f ca="1"/>
        <v>0</v>
      </c>
      <c r="V226" s="1992">
        <f ca="1"/>
        <v>0</v>
      </c>
      <c r="W226" s="1992">
        <f ca="1"/>
        <v>0</v>
      </c>
      <c r="X226" s="1992">
        <f ca="1"/>
        <v>0</v>
      </c>
      <c r="Y226" s="2010">
        <f ca="1"/>
        <v>0</v>
      </c>
    </row>
    <row r="227" spans="1:26">
      <c r="A227" s="1995" t="str">
        <f>A$80</f>
        <v>8 meses antes</v>
      </c>
      <c r="B227" s="1991"/>
      <c r="C227" s="1991"/>
      <c r="D227" s="1991"/>
      <c r="E227" s="1991"/>
      <c r="F227" s="603">
        <f t="array" aca="1" ref="F227:Q227" ca="1">B26:M26*Produção!$F$14</f>
        <v>0</v>
      </c>
      <c r="G227" s="603">
        <f ca="1"/>
        <v>0</v>
      </c>
      <c r="H227" s="603">
        <f ca="1"/>
        <v>0</v>
      </c>
      <c r="I227" s="603">
        <f ca="1"/>
        <v>0</v>
      </c>
      <c r="J227" s="603">
        <f ca="1"/>
        <v>0</v>
      </c>
      <c r="K227" s="603">
        <f ca="1"/>
        <v>0</v>
      </c>
      <c r="L227" s="603">
        <f ca="1"/>
        <v>0</v>
      </c>
      <c r="M227" s="603">
        <f ca="1"/>
        <v>0</v>
      </c>
      <c r="N227" s="603">
        <f ca="1"/>
        <v>0</v>
      </c>
      <c r="O227" s="603">
        <f ca="1"/>
        <v>0</v>
      </c>
      <c r="P227" s="603">
        <f ca="1"/>
        <v>0</v>
      </c>
      <c r="Q227" s="603">
        <f ca="1"/>
        <v>0</v>
      </c>
      <c r="R227" s="1992">
        <f t="array" aca="1" ref="R227:R231" ca="1">'Distr CV 1'!F227:F231</f>
        <v>0</v>
      </c>
      <c r="S227" s="1992">
        <f ca="1"/>
        <v>0</v>
      </c>
      <c r="T227" s="1992">
        <f ca="1"/>
        <v>0</v>
      </c>
      <c r="U227" s="1992">
        <f ca="1"/>
        <v>0</v>
      </c>
      <c r="V227" s="1992">
        <f ca="1"/>
        <v>0</v>
      </c>
      <c r="W227" s="1992">
        <f ca="1"/>
        <v>0</v>
      </c>
      <c r="X227" s="1992">
        <f ca="1"/>
        <v>0</v>
      </c>
      <c r="Y227" s="2010">
        <f ca="1"/>
        <v>0</v>
      </c>
    </row>
    <row r="228" spans="1:26">
      <c r="A228" s="1995" t="str">
        <f>A$81</f>
        <v>9 meses antes</v>
      </c>
      <c r="B228" s="1991"/>
      <c r="C228" s="1991"/>
      <c r="D228" s="1991"/>
      <c r="E228" s="603">
        <f t="array" aca="1" ref="E228:P228" ca="1">B26:M26*Produção!$E$14</f>
        <v>0</v>
      </c>
      <c r="F228" s="603">
        <f ca="1"/>
        <v>0</v>
      </c>
      <c r="G228" s="603">
        <f ca="1"/>
        <v>0</v>
      </c>
      <c r="H228" s="603">
        <f ca="1"/>
        <v>0</v>
      </c>
      <c r="I228" s="603">
        <f ca="1"/>
        <v>0</v>
      </c>
      <c r="J228" s="603">
        <f ca="1"/>
        <v>0</v>
      </c>
      <c r="K228" s="603">
        <f ca="1"/>
        <v>0</v>
      </c>
      <c r="L228" s="603">
        <f ca="1"/>
        <v>0</v>
      </c>
      <c r="M228" s="603">
        <f ca="1"/>
        <v>0</v>
      </c>
      <c r="N228" s="603">
        <f ca="1"/>
        <v>0</v>
      </c>
      <c r="O228" s="603">
        <f ca="1"/>
        <v>0</v>
      </c>
      <c r="P228" s="603">
        <f ca="1"/>
        <v>0</v>
      </c>
      <c r="Q228" s="1992">
        <f t="array" aca="1" ref="Q228:Q231" ca="1">'Distr CV 1'!E228:F231</f>
        <v>0</v>
      </c>
      <c r="R228" s="1992">
        <f ca="1"/>
        <v>0</v>
      </c>
      <c r="S228" s="1992">
        <f ca="1"/>
        <v>0</v>
      </c>
      <c r="T228" s="1992">
        <f ca="1"/>
        <v>0</v>
      </c>
      <c r="U228" s="1992">
        <f ca="1"/>
        <v>0</v>
      </c>
      <c r="V228" s="1992">
        <f ca="1"/>
        <v>0</v>
      </c>
      <c r="W228" s="1992">
        <f ca="1"/>
        <v>0</v>
      </c>
      <c r="X228" s="1992">
        <f ca="1"/>
        <v>0</v>
      </c>
      <c r="Y228" s="2010">
        <f ca="1"/>
        <v>0</v>
      </c>
    </row>
    <row r="229" spans="1:26">
      <c r="A229" s="1995" t="str">
        <f>A$82</f>
        <v>10 meses antes</v>
      </c>
      <c r="B229" s="1991"/>
      <c r="C229" s="1991"/>
      <c r="D229" s="603">
        <f t="array" aca="1" ref="D229:O229" ca="1">B26:M26*Produção!$D$14</f>
        <v>0</v>
      </c>
      <c r="E229" s="603">
        <f ca="1"/>
        <v>0</v>
      </c>
      <c r="F229" s="603">
        <f ca="1"/>
        <v>0</v>
      </c>
      <c r="G229" s="603">
        <f ca="1"/>
        <v>0</v>
      </c>
      <c r="H229" s="603">
        <f ca="1"/>
        <v>0</v>
      </c>
      <c r="I229" s="603">
        <f ca="1"/>
        <v>0</v>
      </c>
      <c r="J229" s="603">
        <f ca="1"/>
        <v>0</v>
      </c>
      <c r="K229" s="603">
        <f ca="1"/>
        <v>0</v>
      </c>
      <c r="L229" s="603">
        <f ca="1"/>
        <v>0</v>
      </c>
      <c r="M229" s="603">
        <f ca="1"/>
        <v>0</v>
      </c>
      <c r="N229" s="603">
        <f ca="1"/>
        <v>0</v>
      </c>
      <c r="O229" s="603">
        <f ca="1"/>
        <v>0</v>
      </c>
      <c r="P229" s="1992">
        <f t="array" aca="1" ref="P229:P231" ca="1">'Distr CV 1'!D229:D231</f>
        <v>0</v>
      </c>
      <c r="Q229" s="1992">
        <f ca="1"/>
        <v>0</v>
      </c>
      <c r="R229" s="1992">
        <f ca="1"/>
        <v>0</v>
      </c>
      <c r="S229" s="1992">
        <f ca="1"/>
        <v>0</v>
      </c>
      <c r="T229" s="1992">
        <f ca="1"/>
        <v>0</v>
      </c>
      <c r="U229" s="1992">
        <f ca="1"/>
        <v>0</v>
      </c>
      <c r="V229" s="1992">
        <f ca="1"/>
        <v>0</v>
      </c>
      <c r="W229" s="1992">
        <f ca="1"/>
        <v>0</v>
      </c>
      <c r="X229" s="1992">
        <f ca="1"/>
        <v>0</v>
      </c>
      <c r="Y229" s="2010">
        <f ca="1"/>
        <v>0</v>
      </c>
    </row>
    <row r="230" spans="1:26">
      <c r="A230" s="1995" t="str">
        <f>A$83</f>
        <v>11 meses antes</v>
      </c>
      <c r="B230" s="1991"/>
      <c r="C230" s="603">
        <f t="array" aca="1" ref="C230:N230" ca="1">B26:M26*Produção!$C$14</f>
        <v>0</v>
      </c>
      <c r="D230" s="603">
        <f ca="1"/>
        <v>0</v>
      </c>
      <c r="E230" s="603">
        <f ca="1"/>
        <v>0</v>
      </c>
      <c r="F230" s="603">
        <f ca="1"/>
        <v>0</v>
      </c>
      <c r="G230" s="603">
        <f ca="1"/>
        <v>0</v>
      </c>
      <c r="H230" s="603">
        <f ca="1"/>
        <v>0</v>
      </c>
      <c r="I230" s="603">
        <f ca="1"/>
        <v>0</v>
      </c>
      <c r="J230" s="603">
        <f ca="1"/>
        <v>0</v>
      </c>
      <c r="K230" s="603">
        <f ca="1"/>
        <v>0</v>
      </c>
      <c r="L230" s="603">
        <f ca="1"/>
        <v>0</v>
      </c>
      <c r="M230" s="603">
        <f ca="1"/>
        <v>0</v>
      </c>
      <c r="N230" s="603">
        <f ca="1"/>
        <v>0</v>
      </c>
      <c r="O230" s="1992">
        <f t="array" aca="1" ref="O230:O231" ca="1">'Distr CV 1'!C230:C231</f>
        <v>0</v>
      </c>
      <c r="P230" s="1992">
        <f ca="1"/>
        <v>0</v>
      </c>
      <c r="Q230" s="1992">
        <f ca="1"/>
        <v>0</v>
      </c>
      <c r="R230" s="1992">
        <f ca="1"/>
        <v>0</v>
      </c>
      <c r="S230" s="1992">
        <f ca="1"/>
        <v>0</v>
      </c>
      <c r="T230" s="1992">
        <f ca="1"/>
        <v>0</v>
      </c>
      <c r="U230" s="1992">
        <f ca="1"/>
        <v>0</v>
      </c>
      <c r="V230" s="1992">
        <f ca="1"/>
        <v>0</v>
      </c>
      <c r="W230" s="1992">
        <f ca="1"/>
        <v>0</v>
      </c>
      <c r="X230" s="1992">
        <f ca="1"/>
        <v>0</v>
      </c>
      <c r="Y230" s="2010">
        <f ca="1"/>
        <v>0</v>
      </c>
    </row>
    <row r="231" spans="1:26" ht="13.5" thickBot="1">
      <c r="A231" s="1995" t="str">
        <f>A$84</f>
        <v>12 meses antes</v>
      </c>
      <c r="B231" s="603">
        <f t="array" aca="1" ref="B231:M231" ca="1">B26:M26*Produção!$B$14</f>
        <v>0</v>
      </c>
      <c r="C231" s="603">
        <f ca="1"/>
        <v>0</v>
      </c>
      <c r="D231" s="603">
        <f ca="1"/>
        <v>0</v>
      </c>
      <c r="E231" s="603">
        <f ca="1"/>
        <v>0</v>
      </c>
      <c r="F231" s="603">
        <f ca="1"/>
        <v>0</v>
      </c>
      <c r="G231" s="603">
        <f ca="1"/>
        <v>0</v>
      </c>
      <c r="H231" s="603">
        <f ca="1"/>
        <v>0</v>
      </c>
      <c r="I231" s="603">
        <f ca="1"/>
        <v>0</v>
      </c>
      <c r="J231" s="603">
        <f ca="1"/>
        <v>0</v>
      </c>
      <c r="K231" s="603">
        <f ca="1"/>
        <v>0</v>
      </c>
      <c r="L231" s="603">
        <f ca="1"/>
        <v>0</v>
      </c>
      <c r="M231" s="603">
        <f ca="1"/>
        <v>0</v>
      </c>
      <c r="N231" s="1991">
        <f ca="1">'Distr CV 1'!B231</f>
        <v>0</v>
      </c>
      <c r="O231" s="1992">
        <f ca="1"/>
        <v>0</v>
      </c>
      <c r="P231" s="1992">
        <f ca="1"/>
        <v>0</v>
      </c>
      <c r="Q231" s="1992">
        <f ca="1"/>
        <v>0</v>
      </c>
      <c r="R231" s="1992">
        <f ca="1"/>
        <v>0</v>
      </c>
      <c r="S231" s="1992">
        <f ca="1"/>
        <v>0</v>
      </c>
      <c r="T231" s="1992">
        <f ca="1"/>
        <v>0</v>
      </c>
      <c r="U231" s="1992">
        <f ca="1"/>
        <v>0</v>
      </c>
      <c r="V231" s="1992">
        <f ca="1"/>
        <v>0</v>
      </c>
      <c r="W231" s="1992">
        <f ca="1"/>
        <v>0</v>
      </c>
      <c r="X231" s="1992">
        <f ca="1"/>
        <v>0</v>
      </c>
      <c r="Y231" s="2010">
        <f ca="1"/>
        <v>0</v>
      </c>
    </row>
    <row r="232" spans="1:26" ht="15.75" customHeight="1" thickBot="1">
      <c r="A232" s="105" t="str">
        <f>"Totais CV "&amp;A$14</f>
        <v xml:space="preserve">Totais CV </v>
      </c>
      <c r="B232" s="607">
        <f t="shared" ref="B232:Y232" ca="1" si="17">SUM(B219:B231)</f>
        <v>0</v>
      </c>
      <c r="C232" s="607">
        <f t="shared" ca="1" si="17"/>
        <v>0</v>
      </c>
      <c r="D232" s="607">
        <f t="shared" ca="1" si="17"/>
        <v>0</v>
      </c>
      <c r="E232" s="607">
        <f t="shared" ca="1" si="17"/>
        <v>0</v>
      </c>
      <c r="F232" s="607">
        <f t="shared" ca="1" si="17"/>
        <v>0</v>
      </c>
      <c r="G232" s="607">
        <f t="shared" ca="1" si="17"/>
        <v>0</v>
      </c>
      <c r="H232" s="607">
        <f t="shared" ca="1" si="17"/>
        <v>0</v>
      </c>
      <c r="I232" s="607">
        <f t="shared" ca="1" si="17"/>
        <v>0</v>
      </c>
      <c r="J232" s="607">
        <f t="shared" ca="1" si="17"/>
        <v>0</v>
      </c>
      <c r="K232" s="607">
        <f t="shared" ca="1" si="17"/>
        <v>0</v>
      </c>
      <c r="L232" s="607">
        <f t="shared" ca="1" si="17"/>
        <v>0</v>
      </c>
      <c r="M232" s="607">
        <f t="shared" ca="1" si="17"/>
        <v>0</v>
      </c>
      <c r="N232" s="607">
        <f t="shared" ca="1" si="17"/>
        <v>0</v>
      </c>
      <c r="O232" s="607">
        <f t="shared" ca="1" si="17"/>
        <v>0</v>
      </c>
      <c r="P232" s="607">
        <f t="shared" ca="1" si="17"/>
        <v>0</v>
      </c>
      <c r="Q232" s="607">
        <f t="shared" ca="1" si="17"/>
        <v>0</v>
      </c>
      <c r="R232" s="607">
        <f t="shared" ca="1" si="17"/>
        <v>0</v>
      </c>
      <c r="S232" s="607">
        <f t="shared" ca="1" si="17"/>
        <v>0</v>
      </c>
      <c r="T232" s="607">
        <f t="shared" ca="1" si="17"/>
        <v>0</v>
      </c>
      <c r="U232" s="607">
        <f t="shared" ca="1" si="17"/>
        <v>0</v>
      </c>
      <c r="V232" s="607">
        <f t="shared" ca="1" si="17"/>
        <v>0</v>
      </c>
      <c r="W232" s="607">
        <f t="shared" ca="1" si="17"/>
        <v>0</v>
      </c>
      <c r="X232" s="607">
        <f t="shared" ca="1" si="17"/>
        <v>0</v>
      </c>
      <c r="Y232" s="2008">
        <f t="shared" ca="1" si="17"/>
        <v>0</v>
      </c>
    </row>
    <row r="233" spans="1:26" ht="15.75" customHeight="1" thickBot="1">
      <c r="A233" s="105" t="str">
        <f>'Dados Básicos'!A28&amp;" sop. CV "&amp;$A$14</f>
        <v xml:space="preserve">IVA sop. CV </v>
      </c>
      <c r="B233" s="607">
        <f t="array" aca="1" ref="B233:Y233" ca="1">$K$217*B232:Y232</f>
        <v>0</v>
      </c>
      <c r="C233" s="607">
        <f ca="1"/>
        <v>0</v>
      </c>
      <c r="D233" s="607">
        <f ca="1"/>
        <v>0</v>
      </c>
      <c r="E233" s="607">
        <f ca="1"/>
        <v>0</v>
      </c>
      <c r="F233" s="607">
        <f ca="1"/>
        <v>0</v>
      </c>
      <c r="G233" s="607">
        <f ca="1"/>
        <v>0</v>
      </c>
      <c r="H233" s="607">
        <f ca="1"/>
        <v>0</v>
      </c>
      <c r="I233" s="607">
        <f ca="1"/>
        <v>0</v>
      </c>
      <c r="J233" s="607">
        <f ca="1"/>
        <v>0</v>
      </c>
      <c r="K233" s="607">
        <f ca="1"/>
        <v>0</v>
      </c>
      <c r="L233" s="607">
        <f ca="1"/>
        <v>0</v>
      </c>
      <c r="M233" s="607">
        <f ca="1"/>
        <v>0</v>
      </c>
      <c r="N233" s="607">
        <f ca="1"/>
        <v>0</v>
      </c>
      <c r="O233" s="607">
        <f ca="1"/>
        <v>0</v>
      </c>
      <c r="P233" s="607">
        <f ca="1"/>
        <v>0</v>
      </c>
      <c r="Q233" s="607">
        <f ca="1"/>
        <v>0</v>
      </c>
      <c r="R233" s="607">
        <f ca="1"/>
        <v>0</v>
      </c>
      <c r="S233" s="607">
        <f ca="1"/>
        <v>0</v>
      </c>
      <c r="T233" s="607">
        <f ca="1"/>
        <v>0</v>
      </c>
      <c r="U233" s="607">
        <f ca="1"/>
        <v>0</v>
      </c>
      <c r="V233" s="607">
        <f ca="1"/>
        <v>0</v>
      </c>
      <c r="W233" s="607">
        <f ca="1"/>
        <v>0</v>
      </c>
      <c r="X233" s="607">
        <f ca="1"/>
        <v>0</v>
      </c>
      <c r="Y233" s="2008">
        <f ca="1"/>
        <v>0</v>
      </c>
    </row>
    <row r="235" spans="1:26" ht="18.75" thickBot="1">
      <c r="A235" s="1993" t="str">
        <f>"Compras / custos de producción por meses de "&amp;A$15</f>
        <v xml:space="preserve">Compras / custos de producción por meses de </v>
      </c>
      <c r="I235" s="1993" t="str">
        <f>$I$109</f>
        <v>IVA NO incluido</v>
      </c>
      <c r="K235" s="2005">
        <f>Parametros!$F$31</f>
        <v>0.21</v>
      </c>
    </row>
    <row r="236" spans="1:26" s="456" customFormat="1" ht="30" customHeight="1" thickBot="1">
      <c r="A236" s="457" t="str">
        <f>A$110</f>
        <v>mes de compra / custo</v>
      </c>
      <c r="B236" s="2011" t="str">
        <f t="array" ref="B236:Y236">B$71:Y$71</f>
        <v>janeiro
2025</v>
      </c>
      <c r="C236" s="2011" t="str">
        <v>fevereiro
2025</v>
      </c>
      <c r="D236" s="2011" t="str">
        <v>março
2025</v>
      </c>
      <c r="E236" s="2011" t="str">
        <v>abril
2025</v>
      </c>
      <c r="F236" s="2011" t="str">
        <v>maio
2025</v>
      </c>
      <c r="G236" s="2011" t="str">
        <v>junho
2025</v>
      </c>
      <c r="H236" s="2011" t="str">
        <v>julho
2025</v>
      </c>
      <c r="I236" s="2011" t="str">
        <v>agosto
2025</v>
      </c>
      <c r="J236" s="2011" t="str">
        <v>setembro
2025</v>
      </c>
      <c r="K236" s="2011" t="str">
        <v>outubro
2025</v>
      </c>
      <c r="L236" s="2011" t="str">
        <v>novembro
2025</v>
      </c>
      <c r="M236" s="2011" t="str">
        <v>dezembro
2025</v>
      </c>
      <c r="N236" s="2734" t="str">
        <v>janeiro 
2026</v>
      </c>
      <c r="O236" s="2735" t="str">
        <v>fevereiro 
2026</v>
      </c>
      <c r="P236" s="2735" t="str">
        <v>março 
2026</v>
      </c>
      <c r="Q236" s="2735" t="str">
        <v>abril 
2026</v>
      </c>
      <c r="R236" s="2735" t="str">
        <v>maio 
2026</v>
      </c>
      <c r="S236" s="2735" t="str">
        <v>junho 
2026</v>
      </c>
      <c r="T236" s="2735" t="str">
        <v>julho 
2026</v>
      </c>
      <c r="U236" s="2735" t="str">
        <v>agosto 
2026</v>
      </c>
      <c r="V236" s="2735" t="str">
        <v>setembro 
2026</v>
      </c>
      <c r="W236" s="2735" t="str">
        <v>outubro 
2026</v>
      </c>
      <c r="X236" s="2735" t="str">
        <v>novembro 
2026</v>
      </c>
      <c r="Y236" s="2736" t="str">
        <v>dezembro 
2026</v>
      </c>
      <c r="Z236" s="62"/>
    </row>
    <row r="237" spans="1:26">
      <c r="A237" s="1994" t="str">
        <f>A$72</f>
        <v>mesmo mes</v>
      </c>
      <c r="B237" s="1991"/>
      <c r="C237" s="1991"/>
      <c r="D237" s="1991"/>
      <c r="E237" s="1991"/>
      <c r="F237" s="1991"/>
      <c r="G237" s="1991"/>
      <c r="H237" s="1991"/>
      <c r="I237" s="1991"/>
      <c r="J237" s="1991"/>
      <c r="K237" s="1991"/>
      <c r="L237" s="1991"/>
      <c r="M237" s="1991"/>
      <c r="N237" s="603">
        <f t="array" aca="1" ref="N237:Y237" ca="1">B27:M27*Produção!$N$15</f>
        <v>0</v>
      </c>
      <c r="O237" s="603">
        <f ca="1"/>
        <v>0</v>
      </c>
      <c r="P237" s="603">
        <f ca="1"/>
        <v>0</v>
      </c>
      <c r="Q237" s="603">
        <f ca="1"/>
        <v>0</v>
      </c>
      <c r="R237" s="603">
        <f ca="1"/>
        <v>0</v>
      </c>
      <c r="S237" s="603">
        <f ca="1"/>
        <v>0</v>
      </c>
      <c r="T237" s="603">
        <f ca="1"/>
        <v>0</v>
      </c>
      <c r="U237" s="603">
        <f ca="1"/>
        <v>0</v>
      </c>
      <c r="V237" s="603">
        <f ca="1"/>
        <v>0</v>
      </c>
      <c r="W237" s="603">
        <f ca="1"/>
        <v>0</v>
      </c>
      <c r="X237" s="603">
        <f ca="1"/>
        <v>0</v>
      </c>
      <c r="Y237" s="2006">
        <f ca="1"/>
        <v>0</v>
      </c>
    </row>
    <row r="238" spans="1:26">
      <c r="A238" s="1995" t="str">
        <f>A$73</f>
        <v>1 mes antes</v>
      </c>
      <c r="B238" s="1991"/>
      <c r="C238" s="1991"/>
      <c r="D238" s="1991"/>
      <c r="E238" s="1991"/>
      <c r="F238" s="1991"/>
      <c r="G238" s="1991"/>
      <c r="H238" s="1991"/>
      <c r="I238" s="1991"/>
      <c r="J238" s="1991"/>
      <c r="K238" s="1991"/>
      <c r="L238" s="1991"/>
      <c r="M238" s="603">
        <f t="array" aca="1" ref="M238:X238" ca="1">B27:M27*Produção!$M$15</f>
        <v>0</v>
      </c>
      <c r="N238" s="603">
        <f ca="1"/>
        <v>0</v>
      </c>
      <c r="O238" s="603">
        <f ca="1"/>
        <v>0</v>
      </c>
      <c r="P238" s="603">
        <f ca="1"/>
        <v>0</v>
      </c>
      <c r="Q238" s="603">
        <f ca="1"/>
        <v>0</v>
      </c>
      <c r="R238" s="603">
        <f ca="1"/>
        <v>0</v>
      </c>
      <c r="S238" s="603">
        <f ca="1"/>
        <v>0</v>
      </c>
      <c r="T238" s="603">
        <f ca="1"/>
        <v>0</v>
      </c>
      <c r="U238" s="603">
        <f ca="1"/>
        <v>0</v>
      </c>
      <c r="V238" s="603">
        <f ca="1"/>
        <v>0</v>
      </c>
      <c r="W238" s="603">
        <f ca="1"/>
        <v>0</v>
      </c>
      <c r="X238" s="603">
        <f ca="1"/>
        <v>0</v>
      </c>
      <c r="Y238" s="2007">
        <f t="array" aca="1" ref="Y238:Y249" ca="1">'Distr CV 1'!M238:M249</f>
        <v>0</v>
      </c>
    </row>
    <row r="239" spans="1:26">
      <c r="A239" s="1995" t="str">
        <f>A$74</f>
        <v>2 meses antes</v>
      </c>
      <c r="B239" s="1991"/>
      <c r="C239" s="1991"/>
      <c r="D239" s="1991"/>
      <c r="E239" s="1991"/>
      <c r="F239" s="1991"/>
      <c r="G239" s="1991"/>
      <c r="H239" s="1991"/>
      <c r="I239" s="1991"/>
      <c r="J239" s="1991"/>
      <c r="K239" s="1991"/>
      <c r="L239" s="603">
        <f t="array" aca="1" ref="L239:W239" ca="1">B27:M27*Produção!$L$15</f>
        <v>0</v>
      </c>
      <c r="M239" s="603">
        <f ca="1"/>
        <v>0</v>
      </c>
      <c r="N239" s="603">
        <f ca="1"/>
        <v>0</v>
      </c>
      <c r="O239" s="603">
        <f ca="1"/>
        <v>0</v>
      </c>
      <c r="P239" s="603">
        <f ca="1"/>
        <v>0</v>
      </c>
      <c r="Q239" s="603">
        <f ca="1"/>
        <v>0</v>
      </c>
      <c r="R239" s="603">
        <f ca="1"/>
        <v>0</v>
      </c>
      <c r="S239" s="603">
        <f ca="1"/>
        <v>0</v>
      </c>
      <c r="T239" s="603">
        <f ca="1"/>
        <v>0</v>
      </c>
      <c r="U239" s="603">
        <f ca="1"/>
        <v>0</v>
      </c>
      <c r="V239" s="603">
        <f ca="1"/>
        <v>0</v>
      </c>
      <c r="W239" s="603">
        <f ca="1"/>
        <v>0</v>
      </c>
      <c r="X239" s="1988">
        <f t="array" aca="1" ref="X239:X249" ca="1">'Distr CV 1'!L239:L249</f>
        <v>0</v>
      </c>
      <c r="Y239" s="2007">
        <f ca="1"/>
        <v>0</v>
      </c>
    </row>
    <row r="240" spans="1:26">
      <c r="A240" s="1995" t="str">
        <f>A$75</f>
        <v>3 meses antes</v>
      </c>
      <c r="B240" s="1991"/>
      <c r="C240" s="1991"/>
      <c r="D240" s="1991"/>
      <c r="E240" s="1991"/>
      <c r="F240" s="1991"/>
      <c r="G240" s="1991"/>
      <c r="H240" s="1991"/>
      <c r="I240" s="1991"/>
      <c r="J240" s="1991"/>
      <c r="K240" s="603">
        <f t="array" aca="1" ref="K240:V240" ca="1">B27:M27*Produção!$K$15</f>
        <v>0</v>
      </c>
      <c r="L240" s="603">
        <f ca="1"/>
        <v>0</v>
      </c>
      <c r="M240" s="603">
        <f ca="1"/>
        <v>0</v>
      </c>
      <c r="N240" s="603">
        <f ca="1"/>
        <v>0</v>
      </c>
      <c r="O240" s="603">
        <f ca="1"/>
        <v>0</v>
      </c>
      <c r="P240" s="603">
        <f ca="1"/>
        <v>0</v>
      </c>
      <c r="Q240" s="603">
        <f ca="1"/>
        <v>0</v>
      </c>
      <c r="R240" s="603">
        <f ca="1"/>
        <v>0</v>
      </c>
      <c r="S240" s="603">
        <f ca="1"/>
        <v>0</v>
      </c>
      <c r="T240" s="603">
        <f ca="1"/>
        <v>0</v>
      </c>
      <c r="U240" s="603">
        <f ca="1"/>
        <v>0</v>
      </c>
      <c r="V240" s="603">
        <f ca="1"/>
        <v>0</v>
      </c>
      <c r="W240" s="1988">
        <f t="array" aca="1" ref="W240:W249" ca="1">'Distr CV 1'!K240:K249</f>
        <v>0</v>
      </c>
      <c r="X240" s="1988">
        <f ca="1"/>
        <v>0</v>
      </c>
      <c r="Y240" s="2007">
        <f ca="1"/>
        <v>0</v>
      </c>
    </row>
    <row r="241" spans="1:25">
      <c r="A241" s="1995" t="str">
        <f>A$76</f>
        <v>4 meses antes</v>
      </c>
      <c r="B241" s="1991"/>
      <c r="C241" s="1991"/>
      <c r="D241" s="1991"/>
      <c r="E241" s="1991"/>
      <c r="F241" s="1991"/>
      <c r="G241" s="1991"/>
      <c r="H241" s="1991"/>
      <c r="I241" s="1991"/>
      <c r="J241" s="603">
        <f t="array" aca="1" ref="J241:U241" ca="1">B27:M27*Produção!$J$15</f>
        <v>0</v>
      </c>
      <c r="K241" s="603">
        <f ca="1"/>
        <v>0</v>
      </c>
      <c r="L241" s="603">
        <f ca="1"/>
        <v>0</v>
      </c>
      <c r="M241" s="603">
        <f ca="1"/>
        <v>0</v>
      </c>
      <c r="N241" s="603">
        <f ca="1"/>
        <v>0</v>
      </c>
      <c r="O241" s="603">
        <f ca="1"/>
        <v>0</v>
      </c>
      <c r="P241" s="603">
        <f ca="1"/>
        <v>0</v>
      </c>
      <c r="Q241" s="603">
        <f ca="1"/>
        <v>0</v>
      </c>
      <c r="R241" s="603">
        <f ca="1"/>
        <v>0</v>
      </c>
      <c r="S241" s="603">
        <f ca="1"/>
        <v>0</v>
      </c>
      <c r="T241" s="603">
        <f ca="1"/>
        <v>0</v>
      </c>
      <c r="U241" s="603">
        <f ca="1"/>
        <v>0</v>
      </c>
      <c r="V241" s="1988">
        <f t="array" aca="1" ref="V241:V249" ca="1">'Distr CV 1'!J241:J249</f>
        <v>0</v>
      </c>
      <c r="W241" s="1988">
        <f ca="1"/>
        <v>0</v>
      </c>
      <c r="X241" s="1988">
        <f ca="1"/>
        <v>0</v>
      </c>
      <c r="Y241" s="2007">
        <f ca="1"/>
        <v>0</v>
      </c>
    </row>
    <row r="242" spans="1:25">
      <c r="A242" s="1995" t="str">
        <f>A$77</f>
        <v>5 meses antes</v>
      </c>
      <c r="B242" s="1991"/>
      <c r="C242" s="1991"/>
      <c r="D242" s="1991"/>
      <c r="E242" s="1991"/>
      <c r="F242" s="1991"/>
      <c r="G242" s="1991"/>
      <c r="H242" s="1991"/>
      <c r="I242" s="603">
        <f t="array" aca="1" ref="I242:T242" ca="1">B27:M27*Produção!$I$15</f>
        <v>0</v>
      </c>
      <c r="J242" s="603">
        <f ca="1"/>
        <v>0</v>
      </c>
      <c r="K242" s="603">
        <f ca="1"/>
        <v>0</v>
      </c>
      <c r="L242" s="603">
        <f ca="1"/>
        <v>0</v>
      </c>
      <c r="M242" s="603">
        <f ca="1"/>
        <v>0</v>
      </c>
      <c r="N242" s="603">
        <f ca="1"/>
        <v>0</v>
      </c>
      <c r="O242" s="603">
        <f ca="1"/>
        <v>0</v>
      </c>
      <c r="P242" s="603">
        <f ca="1"/>
        <v>0</v>
      </c>
      <c r="Q242" s="603">
        <f ca="1"/>
        <v>0</v>
      </c>
      <c r="R242" s="603">
        <f ca="1"/>
        <v>0</v>
      </c>
      <c r="S242" s="603">
        <f ca="1"/>
        <v>0</v>
      </c>
      <c r="T242" s="603">
        <f ca="1"/>
        <v>0</v>
      </c>
      <c r="U242" s="1988">
        <f t="array" aca="1" ref="U242:U249" ca="1">'Distr CV 1'!I242:I249</f>
        <v>0</v>
      </c>
      <c r="V242" s="1988">
        <f ca="1"/>
        <v>0</v>
      </c>
      <c r="W242" s="1988">
        <f ca="1"/>
        <v>0</v>
      </c>
      <c r="X242" s="1988">
        <f ca="1"/>
        <v>0</v>
      </c>
      <c r="Y242" s="2007">
        <f ca="1"/>
        <v>0</v>
      </c>
    </row>
    <row r="243" spans="1:25">
      <c r="A243" s="1995" t="str">
        <f>A$78</f>
        <v>6 meses antes</v>
      </c>
      <c r="B243" s="1991"/>
      <c r="C243" s="1991"/>
      <c r="D243" s="1991"/>
      <c r="E243" s="1991"/>
      <c r="F243" s="1991"/>
      <c r="G243" s="1991"/>
      <c r="H243" s="603">
        <f t="array" aca="1" ref="H243:S243" ca="1">B27:M27*Produção!$H$15</f>
        <v>0</v>
      </c>
      <c r="I243" s="603">
        <f ca="1"/>
        <v>0</v>
      </c>
      <c r="J243" s="603">
        <f ca="1"/>
        <v>0</v>
      </c>
      <c r="K243" s="603">
        <f ca="1"/>
        <v>0</v>
      </c>
      <c r="L243" s="603">
        <f ca="1"/>
        <v>0</v>
      </c>
      <c r="M243" s="603">
        <f ca="1"/>
        <v>0</v>
      </c>
      <c r="N243" s="603">
        <f ca="1"/>
        <v>0</v>
      </c>
      <c r="O243" s="603">
        <f ca="1"/>
        <v>0</v>
      </c>
      <c r="P243" s="603">
        <f ca="1"/>
        <v>0</v>
      </c>
      <c r="Q243" s="603">
        <f ca="1"/>
        <v>0</v>
      </c>
      <c r="R243" s="603">
        <f ca="1"/>
        <v>0</v>
      </c>
      <c r="S243" s="603">
        <f ca="1"/>
        <v>0</v>
      </c>
      <c r="T243" s="1988">
        <f t="array" aca="1" ref="T243:T249" ca="1">'Distr CV 1'!H243:H249</f>
        <v>0</v>
      </c>
      <c r="U243" s="1988">
        <f ca="1"/>
        <v>0</v>
      </c>
      <c r="V243" s="1988">
        <f ca="1"/>
        <v>0</v>
      </c>
      <c r="W243" s="1988">
        <f ca="1"/>
        <v>0</v>
      </c>
      <c r="X243" s="1988">
        <f ca="1"/>
        <v>0</v>
      </c>
      <c r="Y243" s="2007">
        <f ca="1"/>
        <v>0</v>
      </c>
    </row>
    <row r="244" spans="1:25">
      <c r="A244" s="1995" t="str">
        <f>A$79</f>
        <v>7 meses antes</v>
      </c>
      <c r="B244" s="1991"/>
      <c r="C244" s="1991"/>
      <c r="D244" s="1991"/>
      <c r="E244" s="1991"/>
      <c r="F244" s="1991"/>
      <c r="G244" s="603">
        <f t="array" aca="1" ref="G244:R244" ca="1">B27:M27*Produção!$G$15</f>
        <v>0</v>
      </c>
      <c r="H244" s="603">
        <f ca="1"/>
        <v>0</v>
      </c>
      <c r="I244" s="603">
        <f ca="1"/>
        <v>0</v>
      </c>
      <c r="J244" s="603">
        <f ca="1"/>
        <v>0</v>
      </c>
      <c r="K244" s="603">
        <f ca="1"/>
        <v>0</v>
      </c>
      <c r="L244" s="603">
        <f ca="1"/>
        <v>0</v>
      </c>
      <c r="M244" s="603">
        <f ca="1"/>
        <v>0</v>
      </c>
      <c r="N244" s="603">
        <f ca="1"/>
        <v>0</v>
      </c>
      <c r="O244" s="603">
        <f ca="1"/>
        <v>0</v>
      </c>
      <c r="P244" s="603">
        <f ca="1"/>
        <v>0</v>
      </c>
      <c r="Q244" s="603">
        <f ca="1"/>
        <v>0</v>
      </c>
      <c r="R244" s="603">
        <f ca="1"/>
        <v>0</v>
      </c>
      <c r="S244" s="1992">
        <f t="array" aca="1" ref="S244:S249" ca="1">'Distr CV 1'!G244:G249</f>
        <v>0</v>
      </c>
      <c r="T244" s="1992">
        <f ca="1"/>
        <v>0</v>
      </c>
      <c r="U244" s="1992">
        <f ca="1"/>
        <v>0</v>
      </c>
      <c r="V244" s="1992">
        <f ca="1"/>
        <v>0</v>
      </c>
      <c r="W244" s="1992">
        <f ca="1"/>
        <v>0</v>
      </c>
      <c r="X244" s="1992">
        <f ca="1"/>
        <v>0</v>
      </c>
      <c r="Y244" s="2010">
        <f ca="1"/>
        <v>0</v>
      </c>
    </row>
    <row r="245" spans="1:25">
      <c r="A245" s="1995" t="str">
        <f>A$80</f>
        <v>8 meses antes</v>
      </c>
      <c r="B245" s="1991"/>
      <c r="C245" s="1991"/>
      <c r="D245" s="1991"/>
      <c r="E245" s="1991"/>
      <c r="F245" s="603">
        <f t="array" aca="1" ref="F245:Q245" ca="1">B27:M27*Produção!$F$15</f>
        <v>0</v>
      </c>
      <c r="G245" s="603">
        <f ca="1"/>
        <v>0</v>
      </c>
      <c r="H245" s="603">
        <f ca="1"/>
        <v>0</v>
      </c>
      <c r="I245" s="603">
        <f ca="1"/>
        <v>0</v>
      </c>
      <c r="J245" s="603">
        <f ca="1"/>
        <v>0</v>
      </c>
      <c r="K245" s="603">
        <f ca="1"/>
        <v>0</v>
      </c>
      <c r="L245" s="603">
        <f ca="1"/>
        <v>0</v>
      </c>
      <c r="M245" s="603">
        <f ca="1"/>
        <v>0</v>
      </c>
      <c r="N245" s="603">
        <f ca="1"/>
        <v>0</v>
      </c>
      <c r="O245" s="603">
        <f ca="1"/>
        <v>0</v>
      </c>
      <c r="P245" s="603">
        <f ca="1"/>
        <v>0</v>
      </c>
      <c r="Q245" s="603">
        <f ca="1"/>
        <v>0</v>
      </c>
      <c r="R245" s="1992">
        <f t="array" aca="1" ref="R245:R249" ca="1">'Distr CV 1'!F245:F249</f>
        <v>0</v>
      </c>
      <c r="S245" s="1992">
        <f ca="1"/>
        <v>0</v>
      </c>
      <c r="T245" s="1992">
        <f ca="1"/>
        <v>0</v>
      </c>
      <c r="U245" s="1992">
        <f ca="1"/>
        <v>0</v>
      </c>
      <c r="V245" s="1992">
        <f ca="1"/>
        <v>0</v>
      </c>
      <c r="W245" s="1992">
        <f ca="1"/>
        <v>0</v>
      </c>
      <c r="X245" s="1992">
        <f ca="1"/>
        <v>0</v>
      </c>
      <c r="Y245" s="2010">
        <f ca="1"/>
        <v>0</v>
      </c>
    </row>
    <row r="246" spans="1:25">
      <c r="A246" s="1995" t="str">
        <f>A$81</f>
        <v>9 meses antes</v>
      </c>
      <c r="B246" s="1991"/>
      <c r="C246" s="1991"/>
      <c r="D246" s="1991"/>
      <c r="E246" s="603">
        <f t="array" aca="1" ref="E246:P246" ca="1">B27:M27*Produção!$E$15</f>
        <v>0</v>
      </c>
      <c r="F246" s="603">
        <f ca="1"/>
        <v>0</v>
      </c>
      <c r="G246" s="603">
        <f ca="1"/>
        <v>0</v>
      </c>
      <c r="H246" s="603">
        <f ca="1"/>
        <v>0</v>
      </c>
      <c r="I246" s="603">
        <f ca="1"/>
        <v>0</v>
      </c>
      <c r="J246" s="603">
        <f ca="1"/>
        <v>0</v>
      </c>
      <c r="K246" s="603">
        <f ca="1"/>
        <v>0</v>
      </c>
      <c r="L246" s="603">
        <f ca="1"/>
        <v>0</v>
      </c>
      <c r="M246" s="603">
        <f ca="1"/>
        <v>0</v>
      </c>
      <c r="N246" s="603">
        <f ca="1"/>
        <v>0</v>
      </c>
      <c r="O246" s="603">
        <f ca="1"/>
        <v>0</v>
      </c>
      <c r="P246" s="603">
        <f ca="1"/>
        <v>0</v>
      </c>
      <c r="Q246" s="1992">
        <f t="array" aca="1" ref="Q246:Q249" ca="1">'Distr CV 1'!E246:F249</f>
        <v>0</v>
      </c>
      <c r="R246" s="1992">
        <f ca="1"/>
        <v>0</v>
      </c>
      <c r="S246" s="1992">
        <f ca="1"/>
        <v>0</v>
      </c>
      <c r="T246" s="1992">
        <f ca="1"/>
        <v>0</v>
      </c>
      <c r="U246" s="1992">
        <f ca="1"/>
        <v>0</v>
      </c>
      <c r="V246" s="1992">
        <f ca="1"/>
        <v>0</v>
      </c>
      <c r="W246" s="1992">
        <f ca="1"/>
        <v>0</v>
      </c>
      <c r="X246" s="1992">
        <f ca="1"/>
        <v>0</v>
      </c>
      <c r="Y246" s="2010">
        <f ca="1"/>
        <v>0</v>
      </c>
    </row>
    <row r="247" spans="1:25">
      <c r="A247" s="1995" t="str">
        <f>A$82</f>
        <v>10 meses antes</v>
      </c>
      <c r="B247" s="1991"/>
      <c r="C247" s="1991"/>
      <c r="D247" s="603">
        <f t="array" aca="1" ref="D247:O247" ca="1">B27:M27*Produção!$D$15</f>
        <v>0</v>
      </c>
      <c r="E247" s="603">
        <f ca="1"/>
        <v>0</v>
      </c>
      <c r="F247" s="603">
        <f ca="1"/>
        <v>0</v>
      </c>
      <c r="G247" s="603">
        <f ca="1"/>
        <v>0</v>
      </c>
      <c r="H247" s="603">
        <f ca="1"/>
        <v>0</v>
      </c>
      <c r="I247" s="603">
        <f ca="1"/>
        <v>0</v>
      </c>
      <c r="J247" s="603">
        <f ca="1"/>
        <v>0</v>
      </c>
      <c r="K247" s="603">
        <f ca="1"/>
        <v>0</v>
      </c>
      <c r="L247" s="603">
        <f ca="1"/>
        <v>0</v>
      </c>
      <c r="M247" s="603">
        <f ca="1"/>
        <v>0</v>
      </c>
      <c r="N247" s="603">
        <f ca="1"/>
        <v>0</v>
      </c>
      <c r="O247" s="603">
        <f ca="1"/>
        <v>0</v>
      </c>
      <c r="P247" s="1992">
        <f t="array" aca="1" ref="P247:P249" ca="1">'Distr CV 1'!D247:D249</f>
        <v>0</v>
      </c>
      <c r="Q247" s="1992">
        <f ca="1"/>
        <v>0</v>
      </c>
      <c r="R247" s="1992">
        <f ca="1"/>
        <v>0</v>
      </c>
      <c r="S247" s="1992">
        <f ca="1"/>
        <v>0</v>
      </c>
      <c r="T247" s="1992">
        <f ca="1"/>
        <v>0</v>
      </c>
      <c r="U247" s="1992">
        <f ca="1"/>
        <v>0</v>
      </c>
      <c r="V247" s="1992">
        <f ca="1"/>
        <v>0</v>
      </c>
      <c r="W247" s="1992">
        <f ca="1"/>
        <v>0</v>
      </c>
      <c r="X247" s="1992">
        <f ca="1"/>
        <v>0</v>
      </c>
      <c r="Y247" s="2010">
        <f ca="1"/>
        <v>0</v>
      </c>
    </row>
    <row r="248" spans="1:25">
      <c r="A248" s="1995" t="str">
        <f>A$83</f>
        <v>11 meses antes</v>
      </c>
      <c r="B248" s="1991"/>
      <c r="C248" s="603">
        <f t="array" aca="1" ref="C248:N248" ca="1">B27:M27*Produção!$C$15</f>
        <v>0</v>
      </c>
      <c r="D248" s="603">
        <f ca="1"/>
        <v>0</v>
      </c>
      <c r="E248" s="603">
        <f ca="1"/>
        <v>0</v>
      </c>
      <c r="F248" s="603">
        <f ca="1"/>
        <v>0</v>
      </c>
      <c r="G248" s="603">
        <f ca="1"/>
        <v>0</v>
      </c>
      <c r="H248" s="603">
        <f ca="1"/>
        <v>0</v>
      </c>
      <c r="I248" s="603">
        <f ca="1"/>
        <v>0</v>
      </c>
      <c r="J248" s="603">
        <f ca="1"/>
        <v>0</v>
      </c>
      <c r="K248" s="603">
        <f ca="1"/>
        <v>0</v>
      </c>
      <c r="L248" s="603">
        <f ca="1"/>
        <v>0</v>
      </c>
      <c r="M248" s="603">
        <f ca="1"/>
        <v>0</v>
      </c>
      <c r="N248" s="603">
        <f ca="1"/>
        <v>0</v>
      </c>
      <c r="O248" s="1992">
        <f t="array" aca="1" ref="O248:O249" ca="1">'Distr CV 1'!C248:C249</f>
        <v>0</v>
      </c>
      <c r="P248" s="1992">
        <f ca="1"/>
        <v>0</v>
      </c>
      <c r="Q248" s="1992">
        <f ca="1"/>
        <v>0</v>
      </c>
      <c r="R248" s="1992">
        <f ca="1"/>
        <v>0</v>
      </c>
      <c r="S248" s="1992">
        <f ca="1"/>
        <v>0</v>
      </c>
      <c r="T248" s="1992">
        <f ca="1"/>
        <v>0</v>
      </c>
      <c r="U248" s="1992">
        <f ca="1"/>
        <v>0</v>
      </c>
      <c r="V248" s="1992">
        <f ca="1"/>
        <v>0</v>
      </c>
      <c r="W248" s="1992">
        <f ca="1"/>
        <v>0</v>
      </c>
      <c r="X248" s="1992">
        <f ca="1"/>
        <v>0</v>
      </c>
      <c r="Y248" s="2010">
        <f ca="1"/>
        <v>0</v>
      </c>
    </row>
    <row r="249" spans="1:25" ht="13.5" thickBot="1">
      <c r="A249" s="1995" t="str">
        <f>A$84</f>
        <v>12 meses antes</v>
      </c>
      <c r="B249" s="603">
        <f t="array" aca="1" ref="B249:M249" ca="1">B27:M27*Produção!$B$15</f>
        <v>0</v>
      </c>
      <c r="C249" s="603">
        <f ca="1"/>
        <v>0</v>
      </c>
      <c r="D249" s="603">
        <f ca="1"/>
        <v>0</v>
      </c>
      <c r="E249" s="603">
        <f ca="1"/>
        <v>0</v>
      </c>
      <c r="F249" s="603">
        <f ca="1"/>
        <v>0</v>
      </c>
      <c r="G249" s="603">
        <f ca="1"/>
        <v>0</v>
      </c>
      <c r="H249" s="603">
        <f ca="1"/>
        <v>0</v>
      </c>
      <c r="I249" s="603">
        <f ca="1"/>
        <v>0</v>
      </c>
      <c r="J249" s="603">
        <f ca="1"/>
        <v>0</v>
      </c>
      <c r="K249" s="603">
        <f ca="1"/>
        <v>0</v>
      </c>
      <c r="L249" s="603">
        <f ca="1"/>
        <v>0</v>
      </c>
      <c r="M249" s="603">
        <f ca="1"/>
        <v>0</v>
      </c>
      <c r="N249" s="1991">
        <f ca="1">'Distr CV 1'!B249</f>
        <v>0</v>
      </c>
      <c r="O249" s="1992">
        <f ca="1"/>
        <v>0</v>
      </c>
      <c r="P249" s="1992">
        <f ca="1"/>
        <v>0</v>
      </c>
      <c r="Q249" s="1992">
        <f ca="1"/>
        <v>0</v>
      </c>
      <c r="R249" s="1992">
        <f ca="1"/>
        <v>0</v>
      </c>
      <c r="S249" s="1992">
        <f ca="1"/>
        <v>0</v>
      </c>
      <c r="T249" s="1992">
        <f ca="1"/>
        <v>0</v>
      </c>
      <c r="U249" s="1992">
        <f ca="1"/>
        <v>0</v>
      </c>
      <c r="V249" s="1992">
        <f ca="1"/>
        <v>0</v>
      </c>
      <c r="W249" s="1992">
        <f ca="1"/>
        <v>0</v>
      </c>
      <c r="X249" s="1992">
        <f ca="1"/>
        <v>0</v>
      </c>
      <c r="Y249" s="2010">
        <f ca="1"/>
        <v>0</v>
      </c>
    </row>
    <row r="250" spans="1:25" ht="15.75" customHeight="1" thickBot="1">
      <c r="A250" s="105" t="str">
        <f>"Totais CV "&amp;A$15</f>
        <v xml:space="preserve">Totais CV </v>
      </c>
      <c r="B250" s="607">
        <f t="shared" ref="B250:Y250" ca="1" si="18">SUM(B237:B249)</f>
        <v>0</v>
      </c>
      <c r="C250" s="607">
        <f t="shared" ca="1" si="18"/>
        <v>0</v>
      </c>
      <c r="D250" s="607">
        <f t="shared" ca="1" si="18"/>
        <v>0</v>
      </c>
      <c r="E250" s="607">
        <f t="shared" ca="1" si="18"/>
        <v>0</v>
      </c>
      <c r="F250" s="607">
        <f t="shared" ca="1" si="18"/>
        <v>0</v>
      </c>
      <c r="G250" s="607">
        <f t="shared" ca="1" si="18"/>
        <v>0</v>
      </c>
      <c r="H250" s="607">
        <f t="shared" ca="1" si="18"/>
        <v>0</v>
      </c>
      <c r="I250" s="607">
        <f t="shared" ca="1" si="18"/>
        <v>0</v>
      </c>
      <c r="J250" s="607">
        <f t="shared" ca="1" si="18"/>
        <v>0</v>
      </c>
      <c r="K250" s="607">
        <f t="shared" ca="1" si="18"/>
        <v>0</v>
      </c>
      <c r="L250" s="607">
        <f t="shared" ca="1" si="18"/>
        <v>0</v>
      </c>
      <c r="M250" s="607">
        <f t="shared" ca="1" si="18"/>
        <v>0</v>
      </c>
      <c r="N250" s="607">
        <f t="shared" ca="1" si="18"/>
        <v>0</v>
      </c>
      <c r="O250" s="607">
        <f t="shared" ca="1" si="18"/>
        <v>0</v>
      </c>
      <c r="P250" s="607">
        <f t="shared" ca="1" si="18"/>
        <v>0</v>
      </c>
      <c r="Q250" s="607">
        <f t="shared" ca="1" si="18"/>
        <v>0</v>
      </c>
      <c r="R250" s="607">
        <f t="shared" ca="1" si="18"/>
        <v>0</v>
      </c>
      <c r="S250" s="607">
        <f t="shared" ca="1" si="18"/>
        <v>0</v>
      </c>
      <c r="T250" s="607">
        <f t="shared" ca="1" si="18"/>
        <v>0</v>
      </c>
      <c r="U250" s="607">
        <f t="shared" ca="1" si="18"/>
        <v>0</v>
      </c>
      <c r="V250" s="607">
        <f t="shared" ca="1" si="18"/>
        <v>0</v>
      </c>
      <c r="W250" s="607">
        <f t="shared" ca="1" si="18"/>
        <v>0</v>
      </c>
      <c r="X250" s="607">
        <f t="shared" ca="1" si="18"/>
        <v>0</v>
      </c>
      <c r="Y250" s="2008">
        <f t="shared" ca="1" si="18"/>
        <v>0</v>
      </c>
    </row>
    <row r="251" spans="1:25" ht="15.75" customHeight="1" thickBot="1">
      <c r="A251" s="105" t="str">
        <f>'Dados Básicos'!A28&amp;" sop. CV "&amp;$A$15</f>
        <v xml:space="preserve">IVA sop. CV </v>
      </c>
      <c r="B251" s="607">
        <f t="array" aca="1" ref="B251:Y251" ca="1">$K$235*B250:Y250</f>
        <v>0</v>
      </c>
      <c r="C251" s="607">
        <f ca="1"/>
        <v>0</v>
      </c>
      <c r="D251" s="607">
        <f ca="1"/>
        <v>0</v>
      </c>
      <c r="E251" s="607">
        <f ca="1"/>
        <v>0</v>
      </c>
      <c r="F251" s="607">
        <f ca="1"/>
        <v>0</v>
      </c>
      <c r="G251" s="607">
        <f ca="1"/>
        <v>0</v>
      </c>
      <c r="H251" s="607">
        <f ca="1"/>
        <v>0</v>
      </c>
      <c r="I251" s="607">
        <f ca="1"/>
        <v>0</v>
      </c>
      <c r="J251" s="607">
        <f ca="1"/>
        <v>0</v>
      </c>
      <c r="K251" s="607">
        <f ca="1"/>
        <v>0</v>
      </c>
      <c r="L251" s="607">
        <f ca="1"/>
        <v>0</v>
      </c>
      <c r="M251" s="607">
        <f ca="1"/>
        <v>0</v>
      </c>
      <c r="N251" s="607">
        <f ca="1"/>
        <v>0</v>
      </c>
      <c r="O251" s="607">
        <f ca="1"/>
        <v>0</v>
      </c>
      <c r="P251" s="607">
        <f ca="1"/>
        <v>0</v>
      </c>
      <c r="Q251" s="607">
        <f ca="1"/>
        <v>0</v>
      </c>
      <c r="R251" s="607">
        <f ca="1"/>
        <v>0</v>
      </c>
      <c r="S251" s="607">
        <f ca="1"/>
        <v>0</v>
      </c>
      <c r="T251" s="607">
        <f ca="1"/>
        <v>0</v>
      </c>
      <c r="U251" s="607">
        <f ca="1"/>
        <v>0</v>
      </c>
      <c r="V251" s="607">
        <f ca="1"/>
        <v>0</v>
      </c>
      <c r="W251" s="607">
        <f ca="1"/>
        <v>0</v>
      </c>
      <c r="X251" s="607">
        <f ca="1"/>
        <v>0</v>
      </c>
      <c r="Y251" s="2008">
        <f ca="1"/>
        <v>0</v>
      </c>
    </row>
  </sheetData>
  <sheetProtection sheet="1" objects="1" scenarios="1"/>
  <phoneticPr fontId="4"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9">
    <tabColor indexed="10"/>
    <pageSetUpPr fitToPage="1"/>
  </sheetPr>
  <dimension ref="A1:Z251"/>
  <sheetViews>
    <sheetView workbookViewId="0"/>
  </sheetViews>
  <sheetFormatPr baseColWidth="10" defaultColWidth="11" defaultRowHeight="12.75"/>
  <cols>
    <col min="1" max="1" width="24" style="239" customWidth="1"/>
    <col min="2" max="2" width="11.375" style="61" customWidth="1"/>
    <col min="3" max="4" width="11.375" style="62" customWidth="1"/>
    <col min="5" max="5" width="10.375" style="62" customWidth="1"/>
    <col min="6" max="14" width="11.375" style="62" customWidth="1"/>
    <col min="15" max="15" width="11.5" style="239" customWidth="1"/>
    <col min="16" max="16384" width="11" style="62"/>
  </cols>
  <sheetData>
    <row r="1" spans="1:15" ht="22.5">
      <c r="A1" s="68" t="str">
        <f>'Distr CV 0'!A1</f>
        <v>Previsões de produção: Distribuição dos custos variáveis das unidades vendidas no</v>
      </c>
      <c r="K1" s="2712" t="str">
        <f>Parametros!C$77</f>
        <v>Ano 1:  2027</v>
      </c>
      <c r="L1" s="432"/>
    </row>
    <row r="2" spans="1:15" ht="22.5">
      <c r="A2" s="68" t="str">
        <f>'Dados Básicos'!B9</f>
        <v>WWW, S.L.</v>
      </c>
    </row>
    <row r="3" spans="1:15" ht="14.25" customHeight="1">
      <c r="A3" s="60"/>
    </row>
    <row r="4" spans="1:15" ht="14.25" customHeight="1">
      <c r="A4" s="60"/>
    </row>
    <row r="5" spans="1:15" ht="14.25" customHeight="1">
      <c r="A5" s="60"/>
    </row>
    <row r="6" spans="1:15" ht="24" customHeight="1" thickBot="1">
      <c r="A6" s="433" t="str">
        <f>'Distr CV 0'!A6</f>
        <v>Previsão de unidades vendidas</v>
      </c>
    </row>
    <row r="7" spans="1:15" s="458" customFormat="1" ht="15.75" customHeight="1" thickBot="1">
      <c r="A7" s="457" t="str">
        <f>'Distr CV 0'!A7</f>
        <v>Vendas (Unidades)</v>
      </c>
      <c r="B7" s="455" t="str">
        <f t="array" ref="B7:M7">meses</f>
        <v>janeiro</v>
      </c>
      <c r="C7" s="451" t="str">
        <v>fevereiro</v>
      </c>
      <c r="D7" s="451" t="str">
        <v>março</v>
      </c>
      <c r="E7" s="451" t="str">
        <v>abril</v>
      </c>
      <c r="F7" s="451" t="str">
        <v>maio</v>
      </c>
      <c r="G7" s="451" t="str">
        <v>junho</v>
      </c>
      <c r="H7" s="451" t="str">
        <v>julho</v>
      </c>
      <c r="I7" s="451" t="str">
        <v>agosto</v>
      </c>
      <c r="J7" s="451" t="str">
        <v>setembro</v>
      </c>
      <c r="K7" s="451" t="str">
        <v>outubro</v>
      </c>
      <c r="L7" s="451" t="str">
        <v>novembro</v>
      </c>
      <c r="M7" s="452" t="str">
        <v>dezembro</v>
      </c>
      <c r="N7" s="449" t="str">
        <f>'Distr CV 0'!N7</f>
        <v>Totais</v>
      </c>
    </row>
    <row r="8" spans="1:15" ht="15.75" customHeight="1">
      <c r="A8" s="1996" t="str">
        <f t="array" ref="A8:A15">productos</f>
        <v>produto 1</v>
      </c>
      <c r="B8" s="589">
        <f t="array" aca="1" ref="B8:M15" ca="1">'Prev.Vendas 1'!B5:M12</f>
        <v>1000</v>
      </c>
      <c r="C8" s="590">
        <f ca="1"/>
        <v>1000</v>
      </c>
      <c r="D8" s="590">
        <f ca="1"/>
        <v>1000</v>
      </c>
      <c r="E8" s="590">
        <f ca="1"/>
        <v>1000</v>
      </c>
      <c r="F8" s="590">
        <f ca="1"/>
        <v>1000</v>
      </c>
      <c r="G8" s="590">
        <f ca="1"/>
        <v>1000</v>
      </c>
      <c r="H8" s="590">
        <f ca="1"/>
        <v>1000</v>
      </c>
      <c r="I8" s="590">
        <f ca="1"/>
        <v>1000</v>
      </c>
      <c r="J8" s="590">
        <f ca="1"/>
        <v>1000</v>
      </c>
      <c r="K8" s="590">
        <f ca="1"/>
        <v>1000</v>
      </c>
      <c r="L8" s="590">
        <f ca="1"/>
        <v>1000</v>
      </c>
      <c r="M8" s="612">
        <f ca="1"/>
        <v>1000</v>
      </c>
      <c r="N8" s="591">
        <f t="shared" ref="N8:N15" ca="1" si="0">SUM(B8:M8)</f>
        <v>12000</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c r="A12" s="1997" t="str">
        <v/>
      </c>
      <c r="B12" s="592">
        <f ca="1"/>
        <v>0</v>
      </c>
      <c r="C12" s="593">
        <f ca="1"/>
        <v>0</v>
      </c>
      <c r="D12" s="593">
        <f ca="1"/>
        <v>0</v>
      </c>
      <c r="E12" s="593">
        <f ca="1"/>
        <v>0</v>
      </c>
      <c r="F12" s="593">
        <f ca="1"/>
        <v>0</v>
      </c>
      <c r="G12" s="593">
        <f ca="1"/>
        <v>0</v>
      </c>
      <c r="H12" s="593">
        <f ca="1"/>
        <v>0</v>
      </c>
      <c r="I12" s="593">
        <f ca="1"/>
        <v>0</v>
      </c>
      <c r="J12" s="593">
        <f ca="1"/>
        <v>0</v>
      </c>
      <c r="K12" s="593">
        <f ca="1"/>
        <v>0</v>
      </c>
      <c r="L12" s="593">
        <f ca="1"/>
        <v>0</v>
      </c>
      <c r="M12" s="613">
        <f ca="1"/>
        <v>0</v>
      </c>
      <c r="N12" s="594">
        <f t="shared" ca="1" si="0"/>
        <v>0</v>
      </c>
      <c r="O12" s="62"/>
    </row>
    <row r="13" spans="1:15" ht="15.75" customHeight="1">
      <c r="A13" s="1997" t="str">
        <v/>
      </c>
      <c r="B13" s="592">
        <f ca="1"/>
        <v>0</v>
      </c>
      <c r="C13" s="593">
        <f ca="1"/>
        <v>0</v>
      </c>
      <c r="D13" s="593">
        <f ca="1"/>
        <v>0</v>
      </c>
      <c r="E13" s="593">
        <f ca="1"/>
        <v>0</v>
      </c>
      <c r="F13" s="593">
        <f ca="1"/>
        <v>0</v>
      </c>
      <c r="G13" s="593">
        <f ca="1"/>
        <v>0</v>
      </c>
      <c r="H13" s="593">
        <f ca="1"/>
        <v>0</v>
      </c>
      <c r="I13" s="593">
        <f ca="1"/>
        <v>0</v>
      </c>
      <c r="J13" s="593">
        <f ca="1"/>
        <v>0</v>
      </c>
      <c r="K13" s="593">
        <f ca="1"/>
        <v>0</v>
      </c>
      <c r="L13" s="593">
        <f ca="1"/>
        <v>0</v>
      </c>
      <c r="M13" s="613">
        <f ca="1"/>
        <v>0</v>
      </c>
      <c r="N13" s="594">
        <f t="shared" ca="1" si="0"/>
        <v>0</v>
      </c>
      <c r="O13" s="62"/>
    </row>
    <row r="14" spans="1:15" ht="15.75" customHeight="1">
      <c r="A14" s="1997" t="str">
        <v/>
      </c>
      <c r="B14" s="592">
        <f ca="1"/>
        <v>0</v>
      </c>
      <c r="C14" s="593">
        <f ca="1"/>
        <v>0</v>
      </c>
      <c r="D14" s="593">
        <f ca="1"/>
        <v>0</v>
      </c>
      <c r="E14" s="593">
        <f ca="1"/>
        <v>0</v>
      </c>
      <c r="F14" s="593">
        <f ca="1"/>
        <v>0</v>
      </c>
      <c r="G14" s="593">
        <f ca="1"/>
        <v>0</v>
      </c>
      <c r="H14" s="593">
        <f ca="1"/>
        <v>0</v>
      </c>
      <c r="I14" s="593">
        <f ca="1"/>
        <v>0</v>
      </c>
      <c r="J14" s="593">
        <f ca="1"/>
        <v>0</v>
      </c>
      <c r="K14" s="593">
        <f ca="1"/>
        <v>0</v>
      </c>
      <c r="L14" s="593">
        <f ca="1"/>
        <v>0</v>
      </c>
      <c r="M14" s="613">
        <f ca="1"/>
        <v>0</v>
      </c>
      <c r="N14" s="594">
        <f t="shared" ca="1" si="0"/>
        <v>0</v>
      </c>
      <c r="O14" s="62"/>
    </row>
    <row r="15" spans="1:15" ht="15.75" customHeight="1" thickBot="1">
      <c r="A15" s="1998" t="str">
        <v/>
      </c>
      <c r="B15" s="595">
        <f ca="1"/>
        <v>0</v>
      </c>
      <c r="C15" s="596">
        <f ca="1"/>
        <v>0</v>
      </c>
      <c r="D15" s="596">
        <f ca="1"/>
        <v>0</v>
      </c>
      <c r="E15" s="596">
        <f ca="1"/>
        <v>0</v>
      </c>
      <c r="F15" s="596">
        <f ca="1"/>
        <v>0</v>
      </c>
      <c r="G15" s="596">
        <f ca="1"/>
        <v>0</v>
      </c>
      <c r="H15" s="596">
        <f ca="1"/>
        <v>0</v>
      </c>
      <c r="I15" s="596">
        <f ca="1"/>
        <v>0</v>
      </c>
      <c r="J15" s="596">
        <f ca="1"/>
        <v>0</v>
      </c>
      <c r="K15" s="596">
        <f ca="1"/>
        <v>0</v>
      </c>
      <c r="L15" s="596">
        <f ca="1"/>
        <v>0</v>
      </c>
      <c r="M15" s="614">
        <f ca="1"/>
        <v>0</v>
      </c>
      <c r="N15" s="597">
        <f t="shared" ca="1" si="0"/>
        <v>0</v>
      </c>
      <c r="O15" s="62"/>
    </row>
    <row r="16" spans="1:15" ht="15">
      <c r="A16" s="73"/>
    </row>
    <row r="17" spans="1:15" ht="15">
      <c r="A17" s="220"/>
    </row>
    <row r="18" spans="1:15" ht="18.75" thickBot="1">
      <c r="A18" s="1993" t="str">
        <f>'Distr CV 0'!A18</f>
        <v>Previsão de custos de produção das unidades vendidas</v>
      </c>
      <c r="G18" s="2741" t="str">
        <f>$K$1</f>
        <v>Ano 1:  2027</v>
      </c>
      <c r="I18" s="1993" t="str">
        <f>'Distr CV 0'!I18</f>
        <v>IVA NÃO incluido</v>
      </c>
    </row>
    <row r="19" spans="1:15" s="456" customFormat="1" ht="15.75" customHeight="1" thickBot="1">
      <c r="A19" s="457" t="str">
        <f>'Distr CV 0'!A19</f>
        <v>Custos produção</v>
      </c>
      <c r="B19" s="455" t="str">
        <f t="array" ref="B19:M19">meses</f>
        <v>janeiro</v>
      </c>
      <c r="C19" s="451" t="str">
        <v>fevereiro</v>
      </c>
      <c r="D19" s="451" t="str">
        <v>março</v>
      </c>
      <c r="E19" s="451" t="str">
        <v>abril</v>
      </c>
      <c r="F19" s="451" t="str">
        <v>maio</v>
      </c>
      <c r="G19" s="451" t="str">
        <v>junho</v>
      </c>
      <c r="H19" s="451" t="str">
        <v>julho</v>
      </c>
      <c r="I19" s="451" t="str">
        <v>agosto</v>
      </c>
      <c r="J19" s="451" t="str">
        <v>setembro</v>
      </c>
      <c r="K19" s="451" t="str">
        <v>outubro</v>
      </c>
      <c r="L19" s="451" t="str">
        <v>novembro</v>
      </c>
      <c r="M19" s="452" t="str">
        <v>dezembro</v>
      </c>
      <c r="N19" s="449" t="str">
        <f>N$7</f>
        <v>Totais</v>
      </c>
    </row>
    <row r="20" spans="1:15" ht="15.75" customHeight="1">
      <c r="A20" s="1996" t="str">
        <f t="array" ref="A20:A27">productos</f>
        <v>produto 1</v>
      </c>
      <c r="B20" s="598">
        <f t="array" aca="1" ref="B20:M27" ca="1">B8:M15*'Preços-CV'!$D19:$D26</f>
        <v>144.20000000000002</v>
      </c>
      <c r="C20" s="599">
        <f ca="1"/>
        <v>144.20000000000002</v>
      </c>
      <c r="D20" s="599">
        <f ca="1"/>
        <v>144.20000000000002</v>
      </c>
      <c r="E20" s="599">
        <f ca="1"/>
        <v>144.20000000000002</v>
      </c>
      <c r="F20" s="599">
        <f ca="1"/>
        <v>144.20000000000002</v>
      </c>
      <c r="G20" s="599">
        <f ca="1"/>
        <v>144.20000000000002</v>
      </c>
      <c r="H20" s="599">
        <f ca="1"/>
        <v>144.20000000000002</v>
      </c>
      <c r="I20" s="599">
        <f ca="1"/>
        <v>144.20000000000002</v>
      </c>
      <c r="J20" s="599">
        <f ca="1"/>
        <v>144.20000000000002</v>
      </c>
      <c r="K20" s="599">
        <f ca="1"/>
        <v>144.20000000000002</v>
      </c>
      <c r="L20" s="599">
        <f ca="1"/>
        <v>144.20000000000002</v>
      </c>
      <c r="M20" s="609">
        <f ca="1"/>
        <v>144.20000000000002</v>
      </c>
      <c r="N20" s="591">
        <f t="shared" ref="N20:N39" ca="1" si="1">SUM(B20:M20)</f>
        <v>1730.4000000000003</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c r="A24" s="1997" t="str">
        <v/>
      </c>
      <c r="B24" s="600">
        <f ca="1"/>
        <v>0</v>
      </c>
      <c r="C24" s="601">
        <f ca="1"/>
        <v>0</v>
      </c>
      <c r="D24" s="601">
        <f ca="1"/>
        <v>0</v>
      </c>
      <c r="E24" s="601">
        <f ca="1"/>
        <v>0</v>
      </c>
      <c r="F24" s="601">
        <f ca="1"/>
        <v>0</v>
      </c>
      <c r="G24" s="601">
        <f ca="1"/>
        <v>0</v>
      </c>
      <c r="H24" s="601">
        <f ca="1"/>
        <v>0</v>
      </c>
      <c r="I24" s="601">
        <f ca="1"/>
        <v>0</v>
      </c>
      <c r="J24" s="601">
        <f ca="1"/>
        <v>0</v>
      </c>
      <c r="K24" s="601">
        <f ca="1"/>
        <v>0</v>
      </c>
      <c r="L24" s="601">
        <f ca="1"/>
        <v>0</v>
      </c>
      <c r="M24" s="610">
        <f ca="1"/>
        <v>0</v>
      </c>
      <c r="N24" s="594">
        <f t="shared" ca="1" si="1"/>
        <v>0</v>
      </c>
      <c r="O24" s="62"/>
    </row>
    <row r="25" spans="1:15" ht="15.75" customHeight="1">
      <c r="A25" s="1997" t="str">
        <v/>
      </c>
      <c r="B25" s="600">
        <f ca="1"/>
        <v>0</v>
      </c>
      <c r="C25" s="601">
        <f ca="1"/>
        <v>0</v>
      </c>
      <c r="D25" s="601">
        <f ca="1"/>
        <v>0</v>
      </c>
      <c r="E25" s="601">
        <f ca="1"/>
        <v>0</v>
      </c>
      <c r="F25" s="601">
        <f ca="1"/>
        <v>0</v>
      </c>
      <c r="G25" s="601">
        <f ca="1"/>
        <v>0</v>
      </c>
      <c r="H25" s="601">
        <f ca="1"/>
        <v>0</v>
      </c>
      <c r="I25" s="601">
        <f ca="1"/>
        <v>0</v>
      </c>
      <c r="J25" s="601">
        <f ca="1"/>
        <v>0</v>
      </c>
      <c r="K25" s="601">
        <f ca="1"/>
        <v>0</v>
      </c>
      <c r="L25" s="601">
        <f ca="1"/>
        <v>0</v>
      </c>
      <c r="M25" s="610">
        <f ca="1"/>
        <v>0</v>
      </c>
      <c r="N25" s="594">
        <f t="shared" ca="1" si="1"/>
        <v>0</v>
      </c>
      <c r="O25" s="62"/>
    </row>
    <row r="26" spans="1:15" ht="15.75" customHeight="1">
      <c r="A26" s="1997" t="str">
        <v/>
      </c>
      <c r="B26" s="600">
        <f ca="1"/>
        <v>0</v>
      </c>
      <c r="C26" s="601">
        <f ca="1"/>
        <v>0</v>
      </c>
      <c r="D26" s="601">
        <f ca="1"/>
        <v>0</v>
      </c>
      <c r="E26" s="601">
        <f ca="1"/>
        <v>0</v>
      </c>
      <c r="F26" s="601">
        <f ca="1"/>
        <v>0</v>
      </c>
      <c r="G26" s="601">
        <f ca="1"/>
        <v>0</v>
      </c>
      <c r="H26" s="601">
        <f ca="1"/>
        <v>0</v>
      </c>
      <c r="I26" s="601">
        <f ca="1"/>
        <v>0</v>
      </c>
      <c r="J26" s="601">
        <f ca="1"/>
        <v>0</v>
      </c>
      <c r="K26" s="601">
        <f ca="1"/>
        <v>0</v>
      </c>
      <c r="L26" s="601">
        <f ca="1"/>
        <v>0</v>
      </c>
      <c r="M26" s="610">
        <f ca="1"/>
        <v>0</v>
      </c>
      <c r="N26" s="594">
        <f t="shared" ca="1" si="1"/>
        <v>0</v>
      </c>
      <c r="O26" s="62"/>
    </row>
    <row r="27" spans="1:15" ht="15.75" customHeight="1" thickBot="1">
      <c r="A27" s="1998" t="str">
        <v/>
      </c>
      <c r="B27" s="602">
        <f ca="1"/>
        <v>0</v>
      </c>
      <c r="C27" s="603">
        <f ca="1"/>
        <v>0</v>
      </c>
      <c r="D27" s="603">
        <f ca="1"/>
        <v>0</v>
      </c>
      <c r="E27" s="603">
        <f ca="1"/>
        <v>0</v>
      </c>
      <c r="F27" s="603">
        <f ca="1"/>
        <v>0</v>
      </c>
      <c r="G27" s="603">
        <f ca="1"/>
        <v>0</v>
      </c>
      <c r="H27" s="603">
        <f ca="1"/>
        <v>0</v>
      </c>
      <c r="I27" s="603">
        <f ca="1"/>
        <v>0</v>
      </c>
      <c r="J27" s="603">
        <f ca="1"/>
        <v>0</v>
      </c>
      <c r="K27" s="603">
        <f ca="1"/>
        <v>0</v>
      </c>
      <c r="L27" s="603">
        <f ca="1"/>
        <v>0</v>
      </c>
      <c r="M27" s="611">
        <f ca="1"/>
        <v>0</v>
      </c>
      <c r="N27" s="604">
        <f t="shared" ca="1" si="1"/>
        <v>0</v>
      </c>
      <c r="O27" s="62"/>
    </row>
    <row r="28" spans="1:15" ht="15.75" customHeight="1" thickBot="1">
      <c r="A28" s="105" t="str">
        <f>'Distr CV 0'!A28</f>
        <v>Totais</v>
      </c>
      <c r="B28" s="606">
        <f t="shared" ref="B28:M28" ca="1" si="2">SUM(B20:B27)</f>
        <v>144.20000000000002</v>
      </c>
      <c r="C28" s="607">
        <f t="shared" ca="1" si="2"/>
        <v>144.20000000000002</v>
      </c>
      <c r="D28" s="607">
        <f t="shared" ca="1" si="2"/>
        <v>144.20000000000002</v>
      </c>
      <c r="E28" s="607">
        <f t="shared" ca="1" si="2"/>
        <v>144.20000000000002</v>
      </c>
      <c r="F28" s="607">
        <f t="shared" ca="1" si="2"/>
        <v>144.20000000000002</v>
      </c>
      <c r="G28" s="607">
        <f t="shared" ca="1" si="2"/>
        <v>144.20000000000002</v>
      </c>
      <c r="H28" s="607">
        <f t="shared" ca="1" si="2"/>
        <v>144.20000000000002</v>
      </c>
      <c r="I28" s="607">
        <f t="shared" ca="1" si="2"/>
        <v>144.20000000000002</v>
      </c>
      <c r="J28" s="607">
        <f t="shared" ca="1" si="2"/>
        <v>144.20000000000002</v>
      </c>
      <c r="K28" s="607">
        <f t="shared" ca="1" si="2"/>
        <v>144.20000000000002</v>
      </c>
      <c r="L28" s="607">
        <f t="shared" ca="1" si="2"/>
        <v>144.20000000000002</v>
      </c>
      <c r="M28" s="608">
        <f t="shared" ca="1" si="2"/>
        <v>144.20000000000002</v>
      </c>
      <c r="N28" s="605">
        <f t="shared" ca="1" si="1"/>
        <v>1730.4000000000003</v>
      </c>
      <c r="O28" s="62"/>
    </row>
    <row r="29" spans="1:15" ht="15">
      <c r="A29" s="220"/>
    </row>
    <row r="30" spans="1:15" ht="15.75" thickBot="1">
      <c r="A30" s="220"/>
    </row>
    <row r="31" spans="1:15" ht="19.5" customHeight="1" thickBot="1">
      <c r="A31" s="457" t="str">
        <f>'Distr CV 0'!A31</f>
        <v>IVA sop. Custos produç.</v>
      </c>
      <c r="B31" s="455"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tr">
        <f>N$7</f>
        <v>Totais</v>
      </c>
    </row>
    <row r="32" spans="1:15" ht="15.75" customHeight="1">
      <c r="A32" s="1996" t="str">
        <f t="array" ref="A32:A39">productos</f>
        <v>produto 1</v>
      </c>
      <c r="B32" s="598">
        <f t="array" aca="1" ref="B32:M39" ca="1">B20:M27*Parametros!$F24:$F31</f>
        <v>30.282000000000004</v>
      </c>
      <c r="C32" s="599">
        <f ca="1"/>
        <v>30.282000000000004</v>
      </c>
      <c r="D32" s="599">
        <f ca="1"/>
        <v>30.282000000000004</v>
      </c>
      <c r="E32" s="599">
        <f ca="1"/>
        <v>30.282000000000004</v>
      </c>
      <c r="F32" s="599">
        <f ca="1"/>
        <v>30.282000000000004</v>
      </c>
      <c r="G32" s="599">
        <f ca="1"/>
        <v>30.282000000000004</v>
      </c>
      <c r="H32" s="599">
        <f ca="1"/>
        <v>30.282000000000004</v>
      </c>
      <c r="I32" s="599">
        <f ca="1"/>
        <v>30.282000000000004</v>
      </c>
      <c r="J32" s="599">
        <f ca="1"/>
        <v>30.282000000000004</v>
      </c>
      <c r="K32" s="599">
        <f ca="1"/>
        <v>30.282000000000004</v>
      </c>
      <c r="L32" s="599">
        <f ca="1"/>
        <v>30.282000000000004</v>
      </c>
      <c r="M32" s="609">
        <f ca="1"/>
        <v>30.282000000000004</v>
      </c>
      <c r="N32" s="591">
        <f t="shared" ca="1" si="1"/>
        <v>363.38400000000001</v>
      </c>
      <c r="O32" s="62"/>
    </row>
    <row r="33" spans="1:15" ht="15.75" customHeight="1">
      <c r="A33" s="1997" t="str">
        <v/>
      </c>
      <c r="B33" s="600">
        <f ca="1"/>
        <v>0</v>
      </c>
      <c r="C33" s="601">
        <f ca="1"/>
        <v>0</v>
      </c>
      <c r="D33" s="601">
        <f ca="1"/>
        <v>0</v>
      </c>
      <c r="E33" s="601">
        <f ca="1"/>
        <v>0</v>
      </c>
      <c r="F33" s="601">
        <f ca="1"/>
        <v>0</v>
      </c>
      <c r="G33" s="601">
        <f ca="1"/>
        <v>0</v>
      </c>
      <c r="H33" s="601">
        <f ca="1"/>
        <v>0</v>
      </c>
      <c r="I33" s="601">
        <f ca="1"/>
        <v>0</v>
      </c>
      <c r="J33" s="601">
        <f ca="1"/>
        <v>0</v>
      </c>
      <c r="K33" s="601">
        <f ca="1"/>
        <v>0</v>
      </c>
      <c r="L33" s="601">
        <f ca="1"/>
        <v>0</v>
      </c>
      <c r="M33" s="610">
        <f ca="1"/>
        <v>0</v>
      </c>
      <c r="N33" s="594">
        <f t="shared" ca="1" si="1"/>
        <v>0</v>
      </c>
      <c r="O33" s="62"/>
    </row>
    <row r="34" spans="1:15" ht="15.75" customHeight="1">
      <c r="A34" s="1997" t="str">
        <v/>
      </c>
      <c r="B34" s="600">
        <f ca="1"/>
        <v>0</v>
      </c>
      <c r="C34" s="601">
        <f ca="1"/>
        <v>0</v>
      </c>
      <c r="D34" s="601">
        <f ca="1"/>
        <v>0</v>
      </c>
      <c r="E34" s="601">
        <f ca="1"/>
        <v>0</v>
      </c>
      <c r="F34" s="601">
        <f ca="1"/>
        <v>0</v>
      </c>
      <c r="G34" s="601">
        <f ca="1"/>
        <v>0</v>
      </c>
      <c r="H34" s="601">
        <f ca="1"/>
        <v>0</v>
      </c>
      <c r="I34" s="601">
        <f ca="1"/>
        <v>0</v>
      </c>
      <c r="J34" s="601">
        <f ca="1"/>
        <v>0</v>
      </c>
      <c r="K34" s="601">
        <f ca="1"/>
        <v>0</v>
      </c>
      <c r="L34" s="601">
        <f ca="1"/>
        <v>0</v>
      </c>
      <c r="M34" s="610">
        <f ca="1"/>
        <v>0</v>
      </c>
      <c r="N34" s="594">
        <f t="shared" ca="1" si="1"/>
        <v>0</v>
      </c>
      <c r="O34" s="62"/>
    </row>
    <row r="35" spans="1:15" ht="15.75" customHeight="1">
      <c r="A35" s="1997" t="str">
        <v/>
      </c>
      <c r="B35" s="600">
        <f ca="1"/>
        <v>0</v>
      </c>
      <c r="C35" s="601">
        <f ca="1"/>
        <v>0</v>
      </c>
      <c r="D35" s="601">
        <f ca="1"/>
        <v>0</v>
      </c>
      <c r="E35" s="601">
        <f ca="1"/>
        <v>0</v>
      </c>
      <c r="F35" s="601">
        <f ca="1"/>
        <v>0</v>
      </c>
      <c r="G35" s="601">
        <f ca="1"/>
        <v>0</v>
      </c>
      <c r="H35" s="601">
        <f ca="1"/>
        <v>0</v>
      </c>
      <c r="I35" s="601">
        <f ca="1"/>
        <v>0</v>
      </c>
      <c r="J35" s="601">
        <f ca="1"/>
        <v>0</v>
      </c>
      <c r="K35" s="601">
        <f ca="1"/>
        <v>0</v>
      </c>
      <c r="L35" s="601">
        <f ca="1"/>
        <v>0</v>
      </c>
      <c r="M35" s="610">
        <f ca="1"/>
        <v>0</v>
      </c>
      <c r="N35" s="594">
        <f t="shared" ca="1" si="1"/>
        <v>0</v>
      </c>
      <c r="O35" s="62"/>
    </row>
    <row r="36" spans="1:15" ht="15.75" customHeight="1">
      <c r="A36" s="1997" t="str">
        <v/>
      </c>
      <c r="B36" s="600">
        <f ca="1"/>
        <v>0</v>
      </c>
      <c r="C36" s="601">
        <f ca="1"/>
        <v>0</v>
      </c>
      <c r="D36" s="601">
        <f ca="1"/>
        <v>0</v>
      </c>
      <c r="E36" s="601">
        <f ca="1"/>
        <v>0</v>
      </c>
      <c r="F36" s="601">
        <f ca="1"/>
        <v>0</v>
      </c>
      <c r="G36" s="601">
        <f ca="1"/>
        <v>0</v>
      </c>
      <c r="H36" s="601">
        <f ca="1"/>
        <v>0</v>
      </c>
      <c r="I36" s="601">
        <f ca="1"/>
        <v>0</v>
      </c>
      <c r="J36" s="601">
        <f ca="1"/>
        <v>0</v>
      </c>
      <c r="K36" s="601">
        <f ca="1"/>
        <v>0</v>
      </c>
      <c r="L36" s="601">
        <f ca="1"/>
        <v>0</v>
      </c>
      <c r="M36" s="610">
        <f ca="1"/>
        <v>0</v>
      </c>
      <c r="N36" s="594">
        <f t="shared" ca="1" si="1"/>
        <v>0</v>
      </c>
      <c r="O36" s="62"/>
    </row>
    <row r="37" spans="1:15" ht="15.75" customHeight="1">
      <c r="A37" s="1997" t="str">
        <v/>
      </c>
      <c r="B37" s="600">
        <f ca="1"/>
        <v>0</v>
      </c>
      <c r="C37" s="601">
        <f ca="1"/>
        <v>0</v>
      </c>
      <c r="D37" s="601">
        <f ca="1"/>
        <v>0</v>
      </c>
      <c r="E37" s="601">
        <f ca="1"/>
        <v>0</v>
      </c>
      <c r="F37" s="601">
        <f ca="1"/>
        <v>0</v>
      </c>
      <c r="G37" s="601">
        <f ca="1"/>
        <v>0</v>
      </c>
      <c r="H37" s="601">
        <f ca="1"/>
        <v>0</v>
      </c>
      <c r="I37" s="601">
        <f ca="1"/>
        <v>0</v>
      </c>
      <c r="J37" s="601">
        <f ca="1"/>
        <v>0</v>
      </c>
      <c r="K37" s="601">
        <f ca="1"/>
        <v>0</v>
      </c>
      <c r="L37" s="601">
        <f ca="1"/>
        <v>0</v>
      </c>
      <c r="M37" s="610">
        <f ca="1"/>
        <v>0</v>
      </c>
      <c r="N37" s="594">
        <f t="shared" ca="1" si="1"/>
        <v>0</v>
      </c>
      <c r="O37" s="62"/>
    </row>
    <row r="38" spans="1:15" ht="15.75" customHeight="1">
      <c r="A38" s="1997" t="str">
        <v/>
      </c>
      <c r="B38" s="600">
        <f ca="1"/>
        <v>0</v>
      </c>
      <c r="C38" s="601">
        <f ca="1"/>
        <v>0</v>
      </c>
      <c r="D38" s="601">
        <f ca="1"/>
        <v>0</v>
      </c>
      <c r="E38" s="601">
        <f ca="1"/>
        <v>0</v>
      </c>
      <c r="F38" s="601">
        <f ca="1"/>
        <v>0</v>
      </c>
      <c r="G38" s="601">
        <f ca="1"/>
        <v>0</v>
      </c>
      <c r="H38" s="601">
        <f ca="1"/>
        <v>0</v>
      </c>
      <c r="I38" s="601">
        <f ca="1"/>
        <v>0</v>
      </c>
      <c r="J38" s="601">
        <f ca="1"/>
        <v>0</v>
      </c>
      <c r="K38" s="601">
        <f ca="1"/>
        <v>0</v>
      </c>
      <c r="L38" s="601">
        <f ca="1"/>
        <v>0</v>
      </c>
      <c r="M38" s="610">
        <f ca="1"/>
        <v>0</v>
      </c>
      <c r="N38" s="594">
        <f t="shared" ca="1" si="1"/>
        <v>0</v>
      </c>
      <c r="O38" s="62"/>
    </row>
    <row r="39" spans="1:15" ht="15.75" customHeight="1" thickBot="1">
      <c r="A39" s="1998" t="str">
        <v/>
      </c>
      <c r="B39" s="602">
        <f ca="1"/>
        <v>0</v>
      </c>
      <c r="C39" s="603">
        <f ca="1"/>
        <v>0</v>
      </c>
      <c r="D39" s="603">
        <f ca="1"/>
        <v>0</v>
      </c>
      <c r="E39" s="603">
        <f ca="1"/>
        <v>0</v>
      </c>
      <c r="F39" s="603">
        <f ca="1"/>
        <v>0</v>
      </c>
      <c r="G39" s="603">
        <f ca="1"/>
        <v>0</v>
      </c>
      <c r="H39" s="603">
        <f ca="1"/>
        <v>0</v>
      </c>
      <c r="I39" s="603">
        <f ca="1"/>
        <v>0</v>
      </c>
      <c r="J39" s="603">
        <f ca="1"/>
        <v>0</v>
      </c>
      <c r="K39" s="603">
        <f ca="1"/>
        <v>0</v>
      </c>
      <c r="L39" s="603">
        <f ca="1"/>
        <v>0</v>
      </c>
      <c r="M39" s="611">
        <f ca="1"/>
        <v>0</v>
      </c>
      <c r="N39" s="604">
        <f t="shared" ca="1" si="1"/>
        <v>0</v>
      </c>
      <c r="O39" s="62"/>
    </row>
    <row r="40" spans="1:15" ht="15.75" customHeight="1" thickBot="1">
      <c r="A40" s="105" t="str">
        <f>A$28</f>
        <v>Totais</v>
      </c>
      <c r="B40" s="606">
        <f t="shared" ref="B40:M40" ca="1" si="3">SUM(B32:B39)</f>
        <v>30.282000000000004</v>
      </c>
      <c r="C40" s="607">
        <f t="shared" ca="1" si="3"/>
        <v>30.282000000000004</v>
      </c>
      <c r="D40" s="607">
        <f t="shared" ca="1" si="3"/>
        <v>30.282000000000004</v>
      </c>
      <c r="E40" s="607">
        <f t="shared" ca="1" si="3"/>
        <v>30.282000000000004</v>
      </c>
      <c r="F40" s="607">
        <f t="shared" ca="1" si="3"/>
        <v>30.282000000000004</v>
      </c>
      <c r="G40" s="607">
        <f t="shared" ca="1" si="3"/>
        <v>30.282000000000004</v>
      </c>
      <c r="H40" s="607">
        <f t="shared" ca="1" si="3"/>
        <v>30.282000000000004</v>
      </c>
      <c r="I40" s="607">
        <f t="shared" ca="1" si="3"/>
        <v>30.282000000000004</v>
      </c>
      <c r="J40" s="607">
        <f t="shared" ca="1" si="3"/>
        <v>30.282000000000004</v>
      </c>
      <c r="K40" s="607">
        <f t="shared" ca="1" si="3"/>
        <v>30.282000000000004</v>
      </c>
      <c r="L40" s="607">
        <f t="shared" ca="1" si="3"/>
        <v>30.282000000000004</v>
      </c>
      <c r="M40" s="608">
        <f t="shared" ca="1" si="3"/>
        <v>30.282000000000004</v>
      </c>
      <c r="N40" s="605">
        <f ca="1">SUM(B40:M40)</f>
        <v>363.38400000000001</v>
      </c>
      <c r="O40" s="62"/>
    </row>
    <row r="41" spans="1:15" ht="15">
      <c r="A41" s="220"/>
      <c r="B41" s="62" t="str">
        <f>'Distr CV 0'!B41</f>
        <v>Não faz sentido calcular o IVA dos CV no mes no que fosse imputado (mes de venda) senão no mes no que se produzira a compra</v>
      </c>
    </row>
    <row r="42" spans="1:15" ht="15">
      <c r="A42" s="220"/>
    </row>
    <row r="43" spans="1:15" ht="15">
      <c r="A43" s="220"/>
    </row>
    <row r="44" spans="1:15" ht="18.75" thickBot="1">
      <c r="A44" s="1993" t="str">
        <f>'Distr CV 0'!A44</f>
        <v>Custos de produção no ano</v>
      </c>
      <c r="G44" s="2741" t="str">
        <f>$K$1</f>
        <v>Ano 1:  2027</v>
      </c>
      <c r="I44" s="1993" t="str">
        <f>'Distr CV 0'!I44</f>
        <v>IVA NÃO incluido</v>
      </c>
    </row>
    <row r="45" spans="1:15" s="456" customFormat="1" ht="15.75" customHeight="1" thickBot="1">
      <c r="A45" s="457" t="str">
        <f>'Distr CV 0'!A45</f>
        <v>Custos produção</v>
      </c>
      <c r="B45" s="455" t="str">
        <f t="array" ref="B45:M45">meses</f>
        <v>janeiro</v>
      </c>
      <c r="C45" s="451" t="str">
        <v>fevereiro</v>
      </c>
      <c r="D45" s="451" t="str">
        <v>março</v>
      </c>
      <c r="E45" s="451" t="str">
        <v>abril</v>
      </c>
      <c r="F45" s="451" t="str">
        <v>maio</v>
      </c>
      <c r="G45" s="451" t="str">
        <v>junho</v>
      </c>
      <c r="H45" s="451" t="str">
        <v>julho</v>
      </c>
      <c r="I45" s="451" t="str">
        <v>agosto</v>
      </c>
      <c r="J45" s="451" t="str">
        <v>setembro</v>
      </c>
      <c r="K45" s="451" t="str">
        <v>outubro</v>
      </c>
      <c r="L45" s="451" t="str">
        <v>novembro</v>
      </c>
      <c r="M45" s="452" t="str">
        <v>dezembro</v>
      </c>
      <c r="N45" s="449" t="str">
        <f>N$7</f>
        <v>Totais</v>
      </c>
    </row>
    <row r="46" spans="1:15" ht="15.75" customHeight="1">
      <c r="A46" s="1996" t="str">
        <f t="array" ref="A46:A53">productos</f>
        <v>produto 1</v>
      </c>
      <c r="B46" s="598">
        <f t="array" aca="1" ref="B46:M46" ca="1">N124:Y124</f>
        <v>144.20000000000002</v>
      </c>
      <c r="C46" s="599">
        <f ca="1"/>
        <v>144.20000000000002</v>
      </c>
      <c r="D46" s="599">
        <f ca="1"/>
        <v>144.20000000000002</v>
      </c>
      <c r="E46" s="599">
        <f ca="1"/>
        <v>144.20000000000002</v>
      </c>
      <c r="F46" s="599">
        <f ca="1"/>
        <v>144.20000000000002</v>
      </c>
      <c r="G46" s="599">
        <f ca="1"/>
        <v>144.20000000000002</v>
      </c>
      <c r="H46" s="599">
        <f ca="1"/>
        <v>144.20000000000002</v>
      </c>
      <c r="I46" s="599">
        <f ca="1"/>
        <v>144.20000000000002</v>
      </c>
      <c r="J46" s="599">
        <f ca="1"/>
        <v>144.20000000000002</v>
      </c>
      <c r="K46" s="599">
        <f ca="1"/>
        <v>144.20000000000002</v>
      </c>
      <c r="L46" s="599">
        <f ca="1"/>
        <v>144.20000000000002</v>
      </c>
      <c r="M46" s="609">
        <f ca="1"/>
        <v>144.20000000000002</v>
      </c>
      <c r="N46" s="591">
        <f t="shared" ref="N46:N54" ca="1" si="4">SUM(B46:M46)</f>
        <v>1730.4000000000003</v>
      </c>
      <c r="O46" s="62"/>
    </row>
    <row r="47" spans="1:15" ht="15.75" customHeight="1">
      <c r="A47" s="1997" t="str">
        <v/>
      </c>
      <c r="B47" s="600">
        <f t="array" aca="1" ref="B47:M47" ca="1">N142:Y142</f>
        <v>0</v>
      </c>
      <c r="C47" s="601">
        <f ca="1"/>
        <v>0</v>
      </c>
      <c r="D47" s="601">
        <f ca="1"/>
        <v>0</v>
      </c>
      <c r="E47" s="601">
        <f ca="1"/>
        <v>0</v>
      </c>
      <c r="F47" s="601">
        <f ca="1"/>
        <v>0</v>
      </c>
      <c r="G47" s="601">
        <f ca="1"/>
        <v>0</v>
      </c>
      <c r="H47" s="601">
        <f ca="1"/>
        <v>0</v>
      </c>
      <c r="I47" s="601">
        <f ca="1"/>
        <v>0</v>
      </c>
      <c r="J47" s="601">
        <f ca="1"/>
        <v>0</v>
      </c>
      <c r="K47" s="601">
        <f ca="1"/>
        <v>0</v>
      </c>
      <c r="L47" s="601">
        <f ca="1"/>
        <v>0</v>
      </c>
      <c r="M47" s="610">
        <f ca="1"/>
        <v>0</v>
      </c>
      <c r="N47" s="594">
        <f t="shared" ca="1" si="4"/>
        <v>0</v>
      </c>
      <c r="O47" s="62"/>
    </row>
    <row r="48" spans="1:15" ht="15.75" customHeight="1">
      <c r="A48" s="1997" t="str">
        <v/>
      </c>
      <c r="B48" s="600">
        <f t="array" aca="1" ref="B48:M48" ca="1">N160:Y160</f>
        <v>0</v>
      </c>
      <c r="C48" s="601">
        <f ca="1"/>
        <v>0</v>
      </c>
      <c r="D48" s="601">
        <f ca="1"/>
        <v>0</v>
      </c>
      <c r="E48" s="601">
        <f ca="1"/>
        <v>0</v>
      </c>
      <c r="F48" s="601">
        <f ca="1"/>
        <v>0</v>
      </c>
      <c r="G48" s="601">
        <f ca="1"/>
        <v>0</v>
      </c>
      <c r="H48" s="601">
        <f ca="1"/>
        <v>0</v>
      </c>
      <c r="I48" s="601">
        <f ca="1"/>
        <v>0</v>
      </c>
      <c r="J48" s="601">
        <f ca="1"/>
        <v>0</v>
      </c>
      <c r="K48" s="601">
        <f ca="1"/>
        <v>0</v>
      </c>
      <c r="L48" s="601">
        <f ca="1"/>
        <v>0</v>
      </c>
      <c r="M48" s="610">
        <f ca="1"/>
        <v>0</v>
      </c>
      <c r="N48" s="594">
        <f t="shared" ca="1" si="4"/>
        <v>0</v>
      </c>
      <c r="O48" s="62"/>
    </row>
    <row r="49" spans="1:15" ht="15.75" customHeight="1">
      <c r="A49" s="1997" t="str">
        <v/>
      </c>
      <c r="B49" s="600">
        <f t="array" aca="1" ref="B49:M49" ca="1">N178:Y178</f>
        <v>0</v>
      </c>
      <c r="C49" s="601">
        <f ca="1"/>
        <v>0</v>
      </c>
      <c r="D49" s="601">
        <f ca="1"/>
        <v>0</v>
      </c>
      <c r="E49" s="601">
        <f ca="1"/>
        <v>0</v>
      </c>
      <c r="F49" s="601">
        <f ca="1"/>
        <v>0</v>
      </c>
      <c r="G49" s="601">
        <f ca="1"/>
        <v>0</v>
      </c>
      <c r="H49" s="601">
        <f ca="1"/>
        <v>0</v>
      </c>
      <c r="I49" s="601">
        <f ca="1"/>
        <v>0</v>
      </c>
      <c r="J49" s="601">
        <f ca="1"/>
        <v>0</v>
      </c>
      <c r="K49" s="601">
        <f ca="1"/>
        <v>0</v>
      </c>
      <c r="L49" s="601">
        <f ca="1"/>
        <v>0</v>
      </c>
      <c r="M49" s="610">
        <f ca="1"/>
        <v>0</v>
      </c>
      <c r="N49" s="594">
        <f t="shared" ca="1" si="4"/>
        <v>0</v>
      </c>
      <c r="O49" s="62"/>
    </row>
    <row r="50" spans="1:15" ht="15.75" customHeight="1">
      <c r="A50" s="1997" t="str">
        <v/>
      </c>
      <c r="B50" s="600">
        <f t="array" aca="1" ref="B50:M50" ca="1">N196:Y196</f>
        <v>0</v>
      </c>
      <c r="C50" s="601">
        <f ca="1"/>
        <v>0</v>
      </c>
      <c r="D50" s="601">
        <f ca="1"/>
        <v>0</v>
      </c>
      <c r="E50" s="601">
        <f ca="1"/>
        <v>0</v>
      </c>
      <c r="F50" s="601">
        <f ca="1"/>
        <v>0</v>
      </c>
      <c r="G50" s="601">
        <f ca="1"/>
        <v>0</v>
      </c>
      <c r="H50" s="601">
        <f ca="1"/>
        <v>0</v>
      </c>
      <c r="I50" s="601">
        <f ca="1"/>
        <v>0</v>
      </c>
      <c r="J50" s="601">
        <f ca="1"/>
        <v>0</v>
      </c>
      <c r="K50" s="601">
        <f ca="1"/>
        <v>0</v>
      </c>
      <c r="L50" s="601">
        <f ca="1"/>
        <v>0</v>
      </c>
      <c r="M50" s="610">
        <f ca="1"/>
        <v>0</v>
      </c>
      <c r="N50" s="594">
        <f t="shared" ca="1" si="4"/>
        <v>0</v>
      </c>
      <c r="O50" s="62"/>
    </row>
    <row r="51" spans="1:15" ht="15.75" customHeight="1">
      <c r="A51" s="1997" t="str">
        <v/>
      </c>
      <c r="B51" s="600">
        <f t="array" aca="1" ref="B51:M51" ca="1">N214:Y214</f>
        <v>0</v>
      </c>
      <c r="C51" s="601">
        <f ca="1"/>
        <v>0</v>
      </c>
      <c r="D51" s="601">
        <f ca="1"/>
        <v>0</v>
      </c>
      <c r="E51" s="601">
        <f ca="1"/>
        <v>0</v>
      </c>
      <c r="F51" s="601">
        <f ca="1"/>
        <v>0</v>
      </c>
      <c r="G51" s="601">
        <f ca="1"/>
        <v>0</v>
      </c>
      <c r="H51" s="601">
        <f ca="1"/>
        <v>0</v>
      </c>
      <c r="I51" s="601">
        <f ca="1"/>
        <v>0</v>
      </c>
      <c r="J51" s="601">
        <f ca="1"/>
        <v>0</v>
      </c>
      <c r="K51" s="601">
        <f ca="1"/>
        <v>0</v>
      </c>
      <c r="L51" s="601">
        <f ca="1"/>
        <v>0</v>
      </c>
      <c r="M51" s="610">
        <f ca="1"/>
        <v>0</v>
      </c>
      <c r="N51" s="594">
        <f t="shared" ca="1" si="4"/>
        <v>0</v>
      </c>
      <c r="O51" s="62"/>
    </row>
    <row r="52" spans="1:15" ht="15.75" customHeight="1">
      <c r="A52" s="1997" t="str">
        <v/>
      </c>
      <c r="B52" s="600">
        <f t="array" aca="1" ref="B52:M52" ca="1">N232:Y232</f>
        <v>0</v>
      </c>
      <c r="C52" s="601">
        <f ca="1"/>
        <v>0</v>
      </c>
      <c r="D52" s="601">
        <f ca="1"/>
        <v>0</v>
      </c>
      <c r="E52" s="601">
        <f ca="1"/>
        <v>0</v>
      </c>
      <c r="F52" s="601">
        <f ca="1"/>
        <v>0</v>
      </c>
      <c r="G52" s="601">
        <f ca="1"/>
        <v>0</v>
      </c>
      <c r="H52" s="601">
        <f ca="1"/>
        <v>0</v>
      </c>
      <c r="I52" s="601">
        <f ca="1"/>
        <v>0</v>
      </c>
      <c r="J52" s="601">
        <f ca="1"/>
        <v>0</v>
      </c>
      <c r="K52" s="601">
        <f ca="1"/>
        <v>0</v>
      </c>
      <c r="L52" s="601">
        <f ca="1"/>
        <v>0</v>
      </c>
      <c r="M52" s="610">
        <f ca="1"/>
        <v>0</v>
      </c>
      <c r="N52" s="594">
        <f t="shared" ca="1" si="4"/>
        <v>0</v>
      </c>
      <c r="O52" s="62"/>
    </row>
    <row r="53" spans="1:15" ht="15.75" customHeight="1" thickBot="1">
      <c r="A53" s="1998" t="str">
        <v/>
      </c>
      <c r="B53" s="602">
        <f t="array" aca="1" ref="B53:M53" ca="1">N250:Y250</f>
        <v>0</v>
      </c>
      <c r="C53" s="603">
        <f ca="1"/>
        <v>0</v>
      </c>
      <c r="D53" s="603">
        <f ca="1"/>
        <v>0</v>
      </c>
      <c r="E53" s="603">
        <f ca="1"/>
        <v>0</v>
      </c>
      <c r="F53" s="603">
        <f ca="1"/>
        <v>0</v>
      </c>
      <c r="G53" s="603">
        <f ca="1"/>
        <v>0</v>
      </c>
      <c r="H53" s="603">
        <f ca="1"/>
        <v>0</v>
      </c>
      <c r="I53" s="603">
        <f ca="1"/>
        <v>0</v>
      </c>
      <c r="J53" s="603">
        <f ca="1"/>
        <v>0</v>
      </c>
      <c r="K53" s="603">
        <f ca="1"/>
        <v>0</v>
      </c>
      <c r="L53" s="603">
        <f ca="1"/>
        <v>0</v>
      </c>
      <c r="M53" s="611">
        <f ca="1"/>
        <v>0</v>
      </c>
      <c r="N53" s="604">
        <f t="shared" ca="1" si="4"/>
        <v>0</v>
      </c>
      <c r="O53" s="62"/>
    </row>
    <row r="54" spans="1:15" ht="15.75" customHeight="1" thickBot="1">
      <c r="A54" s="105" t="str">
        <f>A$28</f>
        <v>Totais</v>
      </c>
      <c r="B54" s="606">
        <f t="shared" ref="B54:M54" ca="1" si="5">SUM(B46:B53)</f>
        <v>144.20000000000002</v>
      </c>
      <c r="C54" s="607">
        <f t="shared" ca="1" si="5"/>
        <v>144.20000000000002</v>
      </c>
      <c r="D54" s="607">
        <f t="shared" ca="1" si="5"/>
        <v>144.20000000000002</v>
      </c>
      <c r="E54" s="607">
        <f t="shared" ca="1" si="5"/>
        <v>144.20000000000002</v>
      </c>
      <c r="F54" s="607">
        <f t="shared" ca="1" si="5"/>
        <v>144.20000000000002</v>
      </c>
      <c r="G54" s="607">
        <f t="shared" ca="1" si="5"/>
        <v>144.20000000000002</v>
      </c>
      <c r="H54" s="607">
        <f t="shared" ca="1" si="5"/>
        <v>144.20000000000002</v>
      </c>
      <c r="I54" s="607">
        <f t="shared" ca="1" si="5"/>
        <v>144.20000000000002</v>
      </c>
      <c r="J54" s="607">
        <f t="shared" ca="1" si="5"/>
        <v>144.20000000000002</v>
      </c>
      <c r="K54" s="607">
        <f t="shared" ca="1" si="5"/>
        <v>144.20000000000002</v>
      </c>
      <c r="L54" s="607">
        <f t="shared" ca="1" si="5"/>
        <v>144.20000000000002</v>
      </c>
      <c r="M54" s="608">
        <f t="shared" ca="1" si="5"/>
        <v>144.20000000000002</v>
      </c>
      <c r="N54" s="605">
        <f t="shared" ca="1" si="4"/>
        <v>1730.4000000000003</v>
      </c>
      <c r="O54" s="62"/>
    </row>
    <row r="55" spans="1:15">
      <c r="A55" s="1011" t="s">
        <v>748</v>
      </c>
      <c r="B55" s="1011">
        <f ca="1">SUM(B124:M124,B142:M142,B160:M160,B178:M178,B196:M196,B214:M214,B232:M232,B250:M250)</f>
        <v>0</v>
      </c>
    </row>
    <row r="57" spans="1:15" ht="18.75" thickBot="1">
      <c r="A57" s="1993" t="str">
        <f>'Distr CV 0'!A57</f>
        <v>IVA soportado dos custos de produção no ano</v>
      </c>
      <c r="G57" s="2741" t="str">
        <f>$K$1</f>
        <v>Ano 1:  2027</v>
      </c>
      <c r="I57" s="1993"/>
    </row>
    <row r="58" spans="1:15" s="456" customFormat="1" ht="15.75" customHeight="1" thickBot="1">
      <c r="A58" s="457" t="str">
        <f>'Distr CV 0'!A58</f>
        <v>Custos produção</v>
      </c>
      <c r="B58" s="455" t="str">
        <f t="array" ref="B58:M58">meses</f>
        <v>janeiro</v>
      </c>
      <c r="C58" s="451" t="str">
        <v>fevereiro</v>
      </c>
      <c r="D58" s="451" t="str">
        <v>março</v>
      </c>
      <c r="E58" s="451" t="str">
        <v>abril</v>
      </c>
      <c r="F58" s="451" t="str">
        <v>maio</v>
      </c>
      <c r="G58" s="451" t="str">
        <v>junho</v>
      </c>
      <c r="H58" s="451" t="str">
        <v>julho</v>
      </c>
      <c r="I58" s="451" t="str">
        <v>agosto</v>
      </c>
      <c r="J58" s="451" t="str">
        <v>setembro</v>
      </c>
      <c r="K58" s="451" t="str">
        <v>outubro</v>
      </c>
      <c r="L58" s="451" t="str">
        <v>novembro</v>
      </c>
      <c r="M58" s="452" t="str">
        <v>dezembro</v>
      </c>
      <c r="N58" s="449" t="str">
        <f>N$7</f>
        <v>Totais</v>
      </c>
    </row>
    <row r="59" spans="1:15" ht="15.75" customHeight="1">
      <c r="A59" s="1996" t="str">
        <f t="array" ref="A59:A66">productos</f>
        <v>produto 1</v>
      </c>
      <c r="B59" s="598">
        <f t="array" aca="1" ref="B59:M59" ca="1">N125:Y125</f>
        <v>30.282000000000004</v>
      </c>
      <c r="C59" s="599">
        <f ca="1"/>
        <v>30.282000000000004</v>
      </c>
      <c r="D59" s="599">
        <f ca="1"/>
        <v>30.282000000000004</v>
      </c>
      <c r="E59" s="599">
        <f ca="1"/>
        <v>30.282000000000004</v>
      </c>
      <c r="F59" s="599">
        <f ca="1"/>
        <v>30.282000000000004</v>
      </c>
      <c r="G59" s="599">
        <f ca="1"/>
        <v>30.282000000000004</v>
      </c>
      <c r="H59" s="599">
        <f ca="1"/>
        <v>30.282000000000004</v>
      </c>
      <c r="I59" s="599">
        <f ca="1"/>
        <v>30.282000000000004</v>
      </c>
      <c r="J59" s="599">
        <f ca="1"/>
        <v>30.282000000000004</v>
      </c>
      <c r="K59" s="599">
        <f ca="1"/>
        <v>30.282000000000004</v>
      </c>
      <c r="L59" s="599">
        <f ca="1"/>
        <v>30.282000000000004</v>
      </c>
      <c r="M59" s="609">
        <f ca="1"/>
        <v>30.282000000000004</v>
      </c>
      <c r="N59" s="591">
        <f t="shared" ref="N59:N67" ca="1" si="6">SUM(B59:M59)</f>
        <v>363.38400000000001</v>
      </c>
      <c r="O59" s="62"/>
    </row>
    <row r="60" spans="1:15" ht="15.75" customHeight="1">
      <c r="A60" s="1997" t="str">
        <v/>
      </c>
      <c r="B60" s="600">
        <f t="array" aca="1" ref="B60:M60" ca="1">N143:Y143</f>
        <v>0</v>
      </c>
      <c r="C60" s="601">
        <f ca="1"/>
        <v>0</v>
      </c>
      <c r="D60" s="601">
        <f ca="1"/>
        <v>0</v>
      </c>
      <c r="E60" s="601">
        <f ca="1"/>
        <v>0</v>
      </c>
      <c r="F60" s="601">
        <f ca="1"/>
        <v>0</v>
      </c>
      <c r="G60" s="601">
        <f ca="1"/>
        <v>0</v>
      </c>
      <c r="H60" s="601">
        <f ca="1"/>
        <v>0</v>
      </c>
      <c r="I60" s="601">
        <f ca="1"/>
        <v>0</v>
      </c>
      <c r="J60" s="601">
        <f ca="1"/>
        <v>0</v>
      </c>
      <c r="K60" s="601">
        <f ca="1"/>
        <v>0</v>
      </c>
      <c r="L60" s="601">
        <f ca="1"/>
        <v>0</v>
      </c>
      <c r="M60" s="610">
        <f ca="1"/>
        <v>0</v>
      </c>
      <c r="N60" s="594">
        <f t="shared" ca="1" si="6"/>
        <v>0</v>
      </c>
      <c r="O60" s="62"/>
    </row>
    <row r="61" spans="1:15" ht="15.75" customHeight="1">
      <c r="A61" s="1997" t="str">
        <v/>
      </c>
      <c r="B61" s="600">
        <f t="array" aca="1" ref="B61:M61" ca="1">N161:Y161</f>
        <v>0</v>
      </c>
      <c r="C61" s="601">
        <f ca="1"/>
        <v>0</v>
      </c>
      <c r="D61" s="601">
        <f ca="1"/>
        <v>0</v>
      </c>
      <c r="E61" s="601">
        <f ca="1"/>
        <v>0</v>
      </c>
      <c r="F61" s="601">
        <f ca="1"/>
        <v>0</v>
      </c>
      <c r="G61" s="601">
        <f ca="1"/>
        <v>0</v>
      </c>
      <c r="H61" s="601">
        <f ca="1"/>
        <v>0</v>
      </c>
      <c r="I61" s="601">
        <f ca="1"/>
        <v>0</v>
      </c>
      <c r="J61" s="601">
        <f ca="1"/>
        <v>0</v>
      </c>
      <c r="K61" s="601">
        <f ca="1"/>
        <v>0</v>
      </c>
      <c r="L61" s="601">
        <f ca="1"/>
        <v>0</v>
      </c>
      <c r="M61" s="610">
        <f ca="1"/>
        <v>0</v>
      </c>
      <c r="N61" s="594">
        <f t="shared" ca="1" si="6"/>
        <v>0</v>
      </c>
      <c r="O61" s="62"/>
    </row>
    <row r="62" spans="1:15" ht="15.75" customHeight="1">
      <c r="A62" s="1997" t="str">
        <v/>
      </c>
      <c r="B62" s="600">
        <f t="array" aca="1" ref="B62:M62" ca="1">N179:Y179</f>
        <v>0</v>
      </c>
      <c r="C62" s="601">
        <f ca="1"/>
        <v>0</v>
      </c>
      <c r="D62" s="601">
        <f ca="1"/>
        <v>0</v>
      </c>
      <c r="E62" s="601">
        <f ca="1"/>
        <v>0</v>
      </c>
      <c r="F62" s="601">
        <f ca="1"/>
        <v>0</v>
      </c>
      <c r="G62" s="601">
        <f ca="1"/>
        <v>0</v>
      </c>
      <c r="H62" s="601">
        <f ca="1"/>
        <v>0</v>
      </c>
      <c r="I62" s="601">
        <f ca="1"/>
        <v>0</v>
      </c>
      <c r="J62" s="601">
        <f ca="1"/>
        <v>0</v>
      </c>
      <c r="K62" s="601">
        <f ca="1"/>
        <v>0</v>
      </c>
      <c r="L62" s="601">
        <f ca="1"/>
        <v>0</v>
      </c>
      <c r="M62" s="610">
        <f ca="1"/>
        <v>0</v>
      </c>
      <c r="N62" s="594">
        <f t="shared" ca="1" si="6"/>
        <v>0</v>
      </c>
      <c r="O62" s="62"/>
    </row>
    <row r="63" spans="1:15" ht="15.75" customHeight="1">
      <c r="A63" s="1997" t="str">
        <v/>
      </c>
      <c r="B63" s="600">
        <f t="array" aca="1" ref="B63:M63" ca="1">N197:Y197</f>
        <v>0</v>
      </c>
      <c r="C63" s="601">
        <f ca="1"/>
        <v>0</v>
      </c>
      <c r="D63" s="601">
        <f ca="1"/>
        <v>0</v>
      </c>
      <c r="E63" s="601">
        <f ca="1"/>
        <v>0</v>
      </c>
      <c r="F63" s="601">
        <f ca="1"/>
        <v>0</v>
      </c>
      <c r="G63" s="601">
        <f ca="1"/>
        <v>0</v>
      </c>
      <c r="H63" s="601">
        <f ca="1"/>
        <v>0</v>
      </c>
      <c r="I63" s="601">
        <f ca="1"/>
        <v>0</v>
      </c>
      <c r="J63" s="601">
        <f ca="1"/>
        <v>0</v>
      </c>
      <c r="K63" s="601">
        <f ca="1"/>
        <v>0</v>
      </c>
      <c r="L63" s="601">
        <f ca="1"/>
        <v>0</v>
      </c>
      <c r="M63" s="610">
        <f ca="1"/>
        <v>0</v>
      </c>
      <c r="N63" s="594">
        <f t="shared" ca="1" si="6"/>
        <v>0</v>
      </c>
      <c r="O63" s="62"/>
    </row>
    <row r="64" spans="1:15" ht="15.75" customHeight="1">
      <c r="A64" s="1997" t="str">
        <v/>
      </c>
      <c r="B64" s="600">
        <f t="array" aca="1" ref="B64:M64" ca="1">N215:Y215</f>
        <v>0</v>
      </c>
      <c r="C64" s="601">
        <f ca="1"/>
        <v>0</v>
      </c>
      <c r="D64" s="601">
        <f ca="1"/>
        <v>0</v>
      </c>
      <c r="E64" s="601">
        <f ca="1"/>
        <v>0</v>
      </c>
      <c r="F64" s="601">
        <f ca="1"/>
        <v>0</v>
      </c>
      <c r="G64" s="601">
        <f ca="1"/>
        <v>0</v>
      </c>
      <c r="H64" s="601">
        <f ca="1"/>
        <v>0</v>
      </c>
      <c r="I64" s="601">
        <f ca="1"/>
        <v>0</v>
      </c>
      <c r="J64" s="601">
        <f ca="1"/>
        <v>0</v>
      </c>
      <c r="K64" s="601">
        <f ca="1"/>
        <v>0</v>
      </c>
      <c r="L64" s="601">
        <f ca="1"/>
        <v>0</v>
      </c>
      <c r="M64" s="610">
        <f ca="1"/>
        <v>0</v>
      </c>
      <c r="N64" s="594">
        <f t="shared" ca="1" si="6"/>
        <v>0</v>
      </c>
      <c r="O64" s="62"/>
    </row>
    <row r="65" spans="1:26" ht="15.75" customHeight="1">
      <c r="A65" s="1997" t="str">
        <v/>
      </c>
      <c r="B65" s="600">
        <f t="array" aca="1" ref="B65:M65" ca="1">N233:Y233</f>
        <v>0</v>
      </c>
      <c r="C65" s="601">
        <f ca="1"/>
        <v>0</v>
      </c>
      <c r="D65" s="601">
        <f ca="1"/>
        <v>0</v>
      </c>
      <c r="E65" s="601">
        <f ca="1"/>
        <v>0</v>
      </c>
      <c r="F65" s="601">
        <f ca="1"/>
        <v>0</v>
      </c>
      <c r="G65" s="601">
        <f ca="1"/>
        <v>0</v>
      </c>
      <c r="H65" s="601">
        <f ca="1"/>
        <v>0</v>
      </c>
      <c r="I65" s="601">
        <f ca="1"/>
        <v>0</v>
      </c>
      <c r="J65" s="601">
        <f ca="1"/>
        <v>0</v>
      </c>
      <c r="K65" s="601">
        <f ca="1"/>
        <v>0</v>
      </c>
      <c r="L65" s="601">
        <f ca="1"/>
        <v>0</v>
      </c>
      <c r="M65" s="610">
        <f ca="1"/>
        <v>0</v>
      </c>
      <c r="N65" s="594">
        <f t="shared" ca="1" si="6"/>
        <v>0</v>
      </c>
      <c r="O65" s="62"/>
    </row>
    <row r="66" spans="1:26" ht="15.75" customHeight="1" thickBot="1">
      <c r="A66" s="1998" t="str">
        <v/>
      </c>
      <c r="B66" s="602">
        <f t="array" aca="1" ref="B66:M66" ca="1">N251:Y251</f>
        <v>0</v>
      </c>
      <c r="C66" s="603">
        <f ca="1"/>
        <v>0</v>
      </c>
      <c r="D66" s="603">
        <f ca="1"/>
        <v>0</v>
      </c>
      <c r="E66" s="603">
        <f ca="1"/>
        <v>0</v>
      </c>
      <c r="F66" s="603">
        <f ca="1"/>
        <v>0</v>
      </c>
      <c r="G66" s="603">
        <f ca="1"/>
        <v>0</v>
      </c>
      <c r="H66" s="603">
        <f ca="1"/>
        <v>0</v>
      </c>
      <c r="I66" s="603">
        <f ca="1"/>
        <v>0</v>
      </c>
      <c r="J66" s="603">
        <f ca="1"/>
        <v>0</v>
      </c>
      <c r="K66" s="603">
        <f ca="1"/>
        <v>0</v>
      </c>
      <c r="L66" s="603">
        <f ca="1"/>
        <v>0</v>
      </c>
      <c r="M66" s="611">
        <f ca="1"/>
        <v>0</v>
      </c>
      <c r="N66" s="604">
        <f t="shared" ca="1" si="6"/>
        <v>0</v>
      </c>
      <c r="O66" s="62"/>
    </row>
    <row r="67" spans="1:26" ht="15.75" customHeight="1" thickBot="1">
      <c r="A67" s="105" t="str">
        <f>A$28</f>
        <v>Totais</v>
      </c>
      <c r="B67" s="606">
        <f t="shared" ref="B67:M67" ca="1" si="7">SUM(B59:B66)</f>
        <v>30.282000000000004</v>
      </c>
      <c r="C67" s="607">
        <f t="shared" ca="1" si="7"/>
        <v>30.282000000000004</v>
      </c>
      <c r="D67" s="607">
        <f t="shared" ca="1" si="7"/>
        <v>30.282000000000004</v>
      </c>
      <c r="E67" s="607">
        <f t="shared" ca="1" si="7"/>
        <v>30.282000000000004</v>
      </c>
      <c r="F67" s="607">
        <f t="shared" ca="1" si="7"/>
        <v>30.282000000000004</v>
      </c>
      <c r="G67" s="607">
        <f t="shared" ca="1" si="7"/>
        <v>30.282000000000004</v>
      </c>
      <c r="H67" s="607">
        <f t="shared" ca="1" si="7"/>
        <v>30.282000000000004</v>
      </c>
      <c r="I67" s="607">
        <f t="shared" ca="1" si="7"/>
        <v>30.282000000000004</v>
      </c>
      <c r="J67" s="607">
        <f t="shared" ca="1" si="7"/>
        <v>30.282000000000004</v>
      </c>
      <c r="K67" s="607">
        <f t="shared" ca="1" si="7"/>
        <v>30.282000000000004</v>
      </c>
      <c r="L67" s="607">
        <f t="shared" ca="1" si="7"/>
        <v>30.282000000000004</v>
      </c>
      <c r="M67" s="608">
        <f t="shared" ca="1" si="7"/>
        <v>30.282000000000004</v>
      </c>
      <c r="N67" s="605">
        <f t="shared" ca="1" si="6"/>
        <v>363.38400000000001</v>
      </c>
      <c r="O67" s="62"/>
    </row>
    <row r="68" spans="1:26">
      <c r="A68" s="1011" t="s">
        <v>272</v>
      </c>
      <c r="B68" s="1011">
        <f ca="1">SUM(B125:M125,B143:M143,B161:M161,B179:M179,B197:M197,B215:M215,B233:M233,B251:M251)</f>
        <v>0</v>
      </c>
    </row>
    <row r="69" spans="1:26" ht="15">
      <c r="A69" s="220"/>
    </row>
    <row r="70" spans="1:26" ht="18.75" thickBot="1">
      <c r="A70" s="1993" t="str">
        <f>'Distr CV 0'!A70</f>
        <v>Distribuição dos custos de produção por meses das unidades vendidas no ano</v>
      </c>
      <c r="I70" s="1993" t="str">
        <f>I$44</f>
        <v>IVA NÃO incluido</v>
      </c>
    </row>
    <row r="71" spans="1:26" s="456" customFormat="1" ht="32.25" customHeight="1" thickBot="1">
      <c r="A71" s="457" t="str">
        <f>'Distr CV 0'!A71</f>
        <v>Custos produção</v>
      </c>
      <c r="B71" s="2011" t="str">
        <f t="array" ref="B71:M71">'Estimações Vendas'!B5:M5</f>
        <v>janeiro 
2026</v>
      </c>
      <c r="C71" s="2011" t="str">
        <v>fevereiro 
2026</v>
      </c>
      <c r="D71" s="2011" t="str">
        <v>março 
2026</v>
      </c>
      <c r="E71" s="2011" t="str">
        <v>abril 
2026</v>
      </c>
      <c r="F71" s="2011" t="str">
        <v>maio 
2026</v>
      </c>
      <c r="G71" s="2011" t="str">
        <v>junho 
2026</v>
      </c>
      <c r="H71" s="2011" t="str">
        <v>julho 
2026</v>
      </c>
      <c r="I71" s="2011" t="str">
        <v>agosto 
2026</v>
      </c>
      <c r="J71" s="2011" t="str">
        <v>setembro 
2026</v>
      </c>
      <c r="K71" s="2011" t="str">
        <v>outubro 
2026</v>
      </c>
      <c r="L71" s="2011" t="str">
        <v>novembro 
2026</v>
      </c>
      <c r="M71" s="2011" t="str">
        <v>dezembro 
2026</v>
      </c>
      <c r="N71" s="2734" t="str">
        <f t="array" ref="N71:Y71">'Estimações Vendas'!B18:M18</f>
        <v>janeiro 
2027</v>
      </c>
      <c r="O71" s="2735" t="str">
        <v>fevereiro 
2027</v>
      </c>
      <c r="P71" s="2735" t="str">
        <v>março 
2027</v>
      </c>
      <c r="Q71" s="2735" t="str">
        <v>abril 
2027</v>
      </c>
      <c r="R71" s="2735" t="str">
        <v>maio 
2027</v>
      </c>
      <c r="S71" s="2735" t="str">
        <v>junho 
2027</v>
      </c>
      <c r="T71" s="2735" t="str">
        <v>julho 
2027</v>
      </c>
      <c r="U71" s="2735" t="str">
        <v>agosto 
2027</v>
      </c>
      <c r="V71" s="2735" t="str">
        <v>setembro 
2027</v>
      </c>
      <c r="W71" s="2735" t="str">
        <v>outubro 
2027</v>
      </c>
      <c r="X71" s="2735" t="str">
        <v>novembro 
2027</v>
      </c>
      <c r="Y71" s="2736" t="str">
        <v>dezembro 
2027</v>
      </c>
      <c r="Z71" s="62"/>
    </row>
    <row r="72" spans="1:26" ht="15.75" customHeight="1">
      <c r="A72" s="1994" t="s">
        <v>259</v>
      </c>
      <c r="B72" s="1991"/>
      <c r="C72" s="1991"/>
      <c r="D72" s="1991"/>
      <c r="E72" s="1991"/>
      <c r="F72" s="1991"/>
      <c r="G72" s="1991"/>
      <c r="H72" s="1989"/>
      <c r="I72" s="1990"/>
      <c r="J72" s="1990"/>
      <c r="K72" s="1990"/>
      <c r="L72" s="1990"/>
      <c r="M72" s="1990"/>
      <c r="N72" s="599">
        <f t="array" aca="1" ref="N72" ca="1">SUM(B20:B27*Produção!$N$8:$N$15)</f>
        <v>144.20000000000002</v>
      </c>
      <c r="O72" s="599">
        <f t="array" aca="1" ref="O72" ca="1">SUM(C20:C27*Produção!$N$8:$N$15)</f>
        <v>144.20000000000002</v>
      </c>
      <c r="P72" s="599">
        <f t="array" aca="1" ref="P72" ca="1">SUM(D20:D27*Produção!$N$8:$N$15)</f>
        <v>144.20000000000002</v>
      </c>
      <c r="Q72" s="599">
        <f t="array" aca="1" ref="Q72" ca="1">SUM(E20:E27*Produção!$N$8:$N$15)</f>
        <v>144.20000000000002</v>
      </c>
      <c r="R72" s="599">
        <f t="array" aca="1" ref="R72" ca="1">SUM(F20:F27*Produção!$N$8:$N$15)</f>
        <v>144.20000000000002</v>
      </c>
      <c r="S72" s="599">
        <f t="array" aca="1" ref="S72" ca="1">SUM(G20:G27*Produção!$N$8:$N$15)</f>
        <v>144.20000000000002</v>
      </c>
      <c r="T72" s="599">
        <f t="array" aca="1" ref="T72" ca="1">SUM(H20:H27*Produção!$N$8:$N$15)</f>
        <v>144.20000000000002</v>
      </c>
      <c r="U72" s="599">
        <f t="array" aca="1" ref="U72" ca="1">SUM(I20:I27*Produção!$N$8:$N$15)</f>
        <v>144.20000000000002</v>
      </c>
      <c r="V72" s="599">
        <f t="array" aca="1" ref="V72" ca="1">SUM(J20:J27*Produção!$N$8:$N$15)</f>
        <v>144.20000000000002</v>
      </c>
      <c r="W72" s="599">
        <f t="array" aca="1" ref="W72" ca="1">SUM(K20:K27*Produção!$N$8:$N$15)</f>
        <v>144.20000000000002</v>
      </c>
      <c r="X72" s="599">
        <f t="array" aca="1" ref="X72" ca="1">SUM(L20:L27*Produção!$N$8:$N$15)</f>
        <v>144.20000000000002</v>
      </c>
      <c r="Y72" s="2009">
        <f t="array" aca="1" ref="Y72" ca="1">SUM(M20:M27*Produção!$N$8:$N$15)</f>
        <v>144.20000000000002</v>
      </c>
    </row>
    <row r="73" spans="1:26" ht="15.75" customHeight="1">
      <c r="A73" s="1995" t="s">
        <v>260</v>
      </c>
      <c r="B73" s="1991"/>
      <c r="C73" s="1991"/>
      <c r="D73" s="1991"/>
      <c r="E73" s="1991"/>
      <c r="F73" s="1991"/>
      <c r="G73" s="1991"/>
      <c r="H73" s="1991"/>
      <c r="I73" s="1988"/>
      <c r="J73" s="1988"/>
      <c r="K73" s="1988"/>
      <c r="L73" s="1988"/>
      <c r="M73" s="601">
        <f t="array" aca="1" ref="M73" ca="1">SUM(B20:B27*Produção!$M$8:$M$15)</f>
        <v>0</v>
      </c>
      <c r="N73" s="601">
        <f t="array" aca="1" ref="N73" ca="1">SUM(C20:C27*Produção!$M$8:$M$15)</f>
        <v>0</v>
      </c>
      <c r="O73" s="601">
        <f t="array" aca="1" ref="O73" ca="1">SUM(D20:D27*Produção!$M$8:$M$15)</f>
        <v>0</v>
      </c>
      <c r="P73" s="601">
        <f t="array" aca="1" ref="P73" ca="1">SUM(E20:E27*Produção!$M$8:$M$15)</f>
        <v>0</v>
      </c>
      <c r="Q73" s="601">
        <f t="array" aca="1" ref="Q73" ca="1">SUM(F20:F27*Produção!$M$8:$M$15)</f>
        <v>0</v>
      </c>
      <c r="R73" s="601">
        <f t="array" aca="1" ref="R73" ca="1">SUM(G20:G27*Produção!$M$8:$M$15)</f>
        <v>0</v>
      </c>
      <c r="S73" s="601">
        <f t="array" aca="1" ref="S73" ca="1">SUM(H20:H27*Produção!$M$8:$M$15)</f>
        <v>0</v>
      </c>
      <c r="T73" s="601">
        <f t="array" aca="1" ref="T73" ca="1">SUM(I20:I27*Produção!$M$8:$M$15)</f>
        <v>0</v>
      </c>
      <c r="U73" s="601">
        <f t="array" aca="1" ref="U73" ca="1">SUM(J20:J27*Produção!$M$8:$M$15)</f>
        <v>0</v>
      </c>
      <c r="V73" s="601">
        <f t="array" aca="1" ref="V73" ca="1">SUM(K20:K27*Produção!$M$8:$M$15)</f>
        <v>0</v>
      </c>
      <c r="W73" s="601">
        <f t="array" aca="1" ref="W73" ca="1">SUM(L20:L27*Produção!$M$8:$M$15)</f>
        <v>0</v>
      </c>
      <c r="X73" s="601">
        <f t="array" aca="1" ref="X73" ca="1">SUM(M20:M27*Produção!$M$8:$M$15)</f>
        <v>0</v>
      </c>
      <c r="Y73" s="2007">
        <f t="array" aca="1" ref="Y73:Y84" ca="1">'Distr CV 2'!M73:M84</f>
        <v>0</v>
      </c>
    </row>
    <row r="74" spans="1:26" ht="15.75" customHeight="1">
      <c r="A74" s="1995" t="s">
        <v>261</v>
      </c>
      <c r="B74" s="1991"/>
      <c r="C74" s="1991"/>
      <c r="D74" s="1991"/>
      <c r="E74" s="1991"/>
      <c r="F74" s="1991"/>
      <c r="G74" s="1991"/>
      <c r="H74" s="1991"/>
      <c r="I74" s="1988"/>
      <c r="J74" s="1988"/>
      <c r="K74" s="1988"/>
      <c r="L74" s="601">
        <f t="array" aca="1" ref="L74" ca="1">SUM(B20:B27*Produção!$L$8:$L$15)</f>
        <v>0</v>
      </c>
      <c r="M74" s="601">
        <f t="array" aca="1" ref="M74" ca="1">SUM(C20:C27*Produção!$L$8:$L$15)</f>
        <v>0</v>
      </c>
      <c r="N74" s="601">
        <f t="array" aca="1" ref="N74" ca="1">SUM(D20:D27*Produção!$L$8:$L$15)</f>
        <v>0</v>
      </c>
      <c r="O74" s="601">
        <f t="array" aca="1" ref="O74" ca="1">SUM(E20:E27*Produção!$L$8:$L$15)</f>
        <v>0</v>
      </c>
      <c r="P74" s="601">
        <f t="array" aca="1" ref="P74" ca="1">SUM(F20:F27*Produção!$L$8:$L$15)</f>
        <v>0</v>
      </c>
      <c r="Q74" s="601">
        <f t="array" aca="1" ref="Q74" ca="1">SUM(G20:G27*Produção!$L$8:$L$15)</f>
        <v>0</v>
      </c>
      <c r="R74" s="601">
        <f t="array" aca="1" ref="R74" ca="1">SUM(H20:H27*Produção!$L$8:$L$15)</f>
        <v>0</v>
      </c>
      <c r="S74" s="601">
        <f t="array" aca="1" ref="S74" ca="1">SUM(I20:I27*Produção!$L$8:$L$15)</f>
        <v>0</v>
      </c>
      <c r="T74" s="601">
        <f t="array" aca="1" ref="T74" ca="1">SUM(J20:J27*Produção!$L$8:$L$15)</f>
        <v>0</v>
      </c>
      <c r="U74" s="601">
        <f t="array" aca="1" ref="U74" ca="1">SUM(K20:K27*Produção!$L$8:$L$15)</f>
        <v>0</v>
      </c>
      <c r="V74" s="601">
        <f t="array" aca="1" ref="V74" ca="1">SUM(L20:L27*Produção!$L$8:$L$15)</f>
        <v>0</v>
      </c>
      <c r="W74" s="601">
        <f t="array" aca="1" ref="W74" ca="1">SUM(M20:M27*Produção!$L$8:$L$15)</f>
        <v>0</v>
      </c>
      <c r="X74" s="1988">
        <f t="array" aca="1" ref="X74:X84" ca="1">'Distr CV 2'!L74:L84</f>
        <v>0</v>
      </c>
      <c r="Y74" s="2007">
        <f ca="1"/>
        <v>0</v>
      </c>
    </row>
    <row r="75" spans="1:26" ht="15.75" customHeight="1">
      <c r="A75" s="1995" t="s">
        <v>262</v>
      </c>
      <c r="B75" s="1991"/>
      <c r="C75" s="1991"/>
      <c r="D75" s="1991"/>
      <c r="E75" s="1991"/>
      <c r="F75" s="1991"/>
      <c r="G75" s="1991"/>
      <c r="H75" s="1991"/>
      <c r="I75" s="1988"/>
      <c r="J75" s="1988"/>
      <c r="K75" s="601">
        <f t="array" aca="1" ref="K75" ca="1">SUM(B20:B27*Produção!$K$8:$K$15)</f>
        <v>0</v>
      </c>
      <c r="L75" s="601">
        <f t="array" aca="1" ref="L75" ca="1">SUM(C20:C27*Produção!$K$8:$K$15)</f>
        <v>0</v>
      </c>
      <c r="M75" s="601">
        <f t="array" aca="1" ref="M75" ca="1">SUM(D20:D27*Produção!$K$8:$K$15)</f>
        <v>0</v>
      </c>
      <c r="N75" s="601">
        <f t="array" aca="1" ref="N75" ca="1">SUM(E20:E27*Produção!$K$8:$K$15)</f>
        <v>0</v>
      </c>
      <c r="O75" s="601">
        <f t="array" aca="1" ref="O75" ca="1">SUM(F20:F27*Produção!$K$8:$K$15)</f>
        <v>0</v>
      </c>
      <c r="P75" s="601">
        <f t="array" aca="1" ref="P75" ca="1">SUM(G20:G27*Produção!$K$8:$K$15)</f>
        <v>0</v>
      </c>
      <c r="Q75" s="601">
        <f t="array" aca="1" ref="Q75" ca="1">SUM(H20:H27*Produção!$K$8:$K$15)</f>
        <v>0</v>
      </c>
      <c r="R75" s="601">
        <f t="array" aca="1" ref="R75" ca="1">SUM(I20:I27*Produção!$K$8:$K$15)</f>
        <v>0</v>
      </c>
      <c r="S75" s="601">
        <f t="array" aca="1" ref="S75" ca="1">SUM(J20:J27*Produção!$K$8:$K$15)</f>
        <v>0</v>
      </c>
      <c r="T75" s="601">
        <f t="array" aca="1" ref="T75" ca="1">SUM(K20:K27*Produção!$K$8:$K$15)</f>
        <v>0</v>
      </c>
      <c r="U75" s="601">
        <f t="array" aca="1" ref="U75" ca="1">SUM(L20:L27*Produção!$K$8:$K$15)</f>
        <v>0</v>
      </c>
      <c r="V75" s="601">
        <f t="array" aca="1" ref="V75" ca="1">SUM(M20:M27*Produção!$K$8:$K$15)</f>
        <v>0</v>
      </c>
      <c r="W75" s="1988">
        <f t="array" aca="1" ref="W75:W84" ca="1">'Distr CV 2'!K75:K84</f>
        <v>0</v>
      </c>
      <c r="X75" s="1988">
        <f ca="1"/>
        <v>0</v>
      </c>
      <c r="Y75" s="2007">
        <f ca="1"/>
        <v>0</v>
      </c>
    </row>
    <row r="76" spans="1:26" ht="15.75" customHeight="1">
      <c r="A76" s="1995" t="s">
        <v>263</v>
      </c>
      <c r="B76" s="1991"/>
      <c r="C76" s="1991"/>
      <c r="D76" s="1991"/>
      <c r="E76" s="1991"/>
      <c r="F76" s="1991"/>
      <c r="G76" s="1991"/>
      <c r="H76" s="1991"/>
      <c r="I76" s="1988"/>
      <c r="J76" s="601">
        <f t="array" aca="1" ref="J76" ca="1">SUM(B20:B27*Produção!$J$8:$J$15)</f>
        <v>0</v>
      </c>
      <c r="K76" s="601">
        <f t="array" aca="1" ref="K76" ca="1">SUM(C20:C27*Produção!$J$8:$J$15)</f>
        <v>0</v>
      </c>
      <c r="L76" s="601">
        <f t="array" aca="1" ref="L76" ca="1">SUM(D20:D27*Produção!$J$8:$J$15)</f>
        <v>0</v>
      </c>
      <c r="M76" s="601">
        <f t="array" aca="1" ref="M76" ca="1">SUM(E20:E27*Produção!$J$8:$J$15)</f>
        <v>0</v>
      </c>
      <c r="N76" s="601">
        <f t="array" aca="1" ref="N76" ca="1">SUM(F20:F27*Produção!$J$8:$J$15)</f>
        <v>0</v>
      </c>
      <c r="O76" s="601">
        <f t="array" aca="1" ref="O76" ca="1">SUM(G20:G27*Produção!$J$8:$J$15)</f>
        <v>0</v>
      </c>
      <c r="P76" s="601">
        <f t="array" aca="1" ref="P76" ca="1">SUM(H20:H27*Produção!$J$8:$J$15)</f>
        <v>0</v>
      </c>
      <c r="Q76" s="601">
        <f t="array" aca="1" ref="Q76" ca="1">SUM(I20:I27*Produção!$J$8:$J$15)</f>
        <v>0</v>
      </c>
      <c r="R76" s="601">
        <f t="array" aca="1" ref="R76" ca="1">SUM(J20:J27*Produção!$J$8:$J$15)</f>
        <v>0</v>
      </c>
      <c r="S76" s="601">
        <f t="array" aca="1" ref="S76" ca="1">SUM(K20:K27*Produção!$J$8:$J$15)</f>
        <v>0</v>
      </c>
      <c r="T76" s="601">
        <f t="array" aca="1" ref="T76" ca="1">SUM(L20:L27*Produção!$J$8:$J$15)</f>
        <v>0</v>
      </c>
      <c r="U76" s="601">
        <f t="array" aca="1" ref="U76" ca="1">SUM(M20:M27*Produção!$J$8:$J$15)</f>
        <v>0</v>
      </c>
      <c r="V76" s="1988">
        <f t="array" aca="1" ref="V76:V84" ca="1">'Distr CV 2'!J76:J84</f>
        <v>0</v>
      </c>
      <c r="W76" s="1988">
        <f ca="1"/>
        <v>0</v>
      </c>
      <c r="X76" s="1988">
        <f ca="1"/>
        <v>0</v>
      </c>
      <c r="Y76" s="2007">
        <f ca="1"/>
        <v>0</v>
      </c>
    </row>
    <row r="77" spans="1:26" ht="15.75" customHeight="1">
      <c r="A77" s="1995" t="s">
        <v>264</v>
      </c>
      <c r="B77" s="1991"/>
      <c r="C77" s="1991"/>
      <c r="D77" s="1991"/>
      <c r="E77" s="1991"/>
      <c r="F77" s="1991"/>
      <c r="G77" s="1991"/>
      <c r="H77" s="1991"/>
      <c r="I77" s="601">
        <f t="array" aca="1" ref="I77" ca="1">SUM(B20:B27*Produção!$I$8:$I$15)</f>
        <v>0</v>
      </c>
      <c r="J77" s="601">
        <f t="array" aca="1" ref="J77" ca="1">SUM(C20:C27*Produção!$I$8:$I$15)</f>
        <v>0</v>
      </c>
      <c r="K77" s="601">
        <f t="array" aca="1" ref="K77" ca="1">SUM(D20:D27*Produção!$I$8:$I$15)</f>
        <v>0</v>
      </c>
      <c r="L77" s="601">
        <f t="array" aca="1" ref="L77" ca="1">SUM(E20:E27*Produção!$I$8:$I$15)</f>
        <v>0</v>
      </c>
      <c r="M77" s="601">
        <f t="array" aca="1" ref="M77" ca="1">SUM(F20:F27*Produção!$I$8:$I$15)</f>
        <v>0</v>
      </c>
      <c r="N77" s="601">
        <f t="array" aca="1" ref="N77" ca="1">SUM(G20:G27*Produção!$I$8:$I$15)</f>
        <v>0</v>
      </c>
      <c r="O77" s="601">
        <f t="array" aca="1" ref="O77" ca="1">SUM(H20:H27*Produção!$I$8:$I$15)</f>
        <v>0</v>
      </c>
      <c r="P77" s="601">
        <f t="array" aca="1" ref="P77" ca="1">SUM(I20:I27*Produção!$I$8:$I$15)</f>
        <v>0</v>
      </c>
      <c r="Q77" s="601">
        <f t="array" aca="1" ref="Q77" ca="1">SUM(J20:J27*Produção!$I$8:$I$15)</f>
        <v>0</v>
      </c>
      <c r="R77" s="601">
        <f t="array" aca="1" ref="R77" ca="1">SUM(K20:K27*Produção!$I$8:$I$15)</f>
        <v>0</v>
      </c>
      <c r="S77" s="601">
        <f t="array" aca="1" ref="S77" ca="1">SUM(L20:L27*Produção!$I$8:$I$15)</f>
        <v>0</v>
      </c>
      <c r="T77" s="601">
        <f t="array" aca="1" ref="T77" ca="1">SUM(M20:M27*Produção!$I$8:$I$15)</f>
        <v>0</v>
      </c>
      <c r="U77" s="1988">
        <f t="array" aca="1" ref="U77:U84" ca="1">'Distr CV 2'!I77:I84</f>
        <v>0</v>
      </c>
      <c r="V77" s="1988">
        <f ca="1"/>
        <v>0</v>
      </c>
      <c r="W77" s="1988">
        <f ca="1"/>
        <v>0</v>
      </c>
      <c r="X77" s="1988">
        <f ca="1"/>
        <v>0</v>
      </c>
      <c r="Y77" s="2007">
        <f ca="1"/>
        <v>0</v>
      </c>
    </row>
    <row r="78" spans="1:26" ht="15.75" customHeight="1">
      <c r="A78" s="1995" t="s">
        <v>265</v>
      </c>
      <c r="B78" s="1991"/>
      <c r="C78" s="1991"/>
      <c r="D78" s="1991"/>
      <c r="E78" s="1991"/>
      <c r="F78" s="1991"/>
      <c r="G78" s="1991"/>
      <c r="H78" s="601">
        <f t="array" aca="1" ref="H78" ca="1">SUM(B20:B27*Produção!$H$8:$H$15)</f>
        <v>0</v>
      </c>
      <c r="I78" s="601">
        <f t="array" aca="1" ref="I78" ca="1">SUM(C20:C27*Produção!$H$8:$H$15)</f>
        <v>0</v>
      </c>
      <c r="J78" s="601">
        <f t="array" aca="1" ref="J78" ca="1">SUM(D20:D27*Produção!$H$8:$H$15)</f>
        <v>0</v>
      </c>
      <c r="K78" s="601">
        <f t="array" aca="1" ref="K78" ca="1">SUM(E20:E27*Produção!$H$8:$H$15)</f>
        <v>0</v>
      </c>
      <c r="L78" s="601">
        <f t="array" aca="1" ref="L78" ca="1">SUM(F20:F27*Produção!$H$8:$H$15)</f>
        <v>0</v>
      </c>
      <c r="M78" s="601">
        <f t="array" aca="1" ref="M78" ca="1">SUM(G20:G27*Produção!$H$8:$H$15)</f>
        <v>0</v>
      </c>
      <c r="N78" s="601">
        <f t="array" aca="1" ref="N78" ca="1">SUM(H20:H27*Produção!$H$8:$H$15)</f>
        <v>0</v>
      </c>
      <c r="O78" s="601">
        <f t="array" aca="1" ref="O78" ca="1">SUM(I20:I27*Produção!$H$8:$H$15)</f>
        <v>0</v>
      </c>
      <c r="P78" s="601">
        <f t="array" aca="1" ref="P78" ca="1">SUM(J20:J27*Produção!$H$8:$H$15)</f>
        <v>0</v>
      </c>
      <c r="Q78" s="601">
        <f t="array" aca="1" ref="Q78" ca="1">SUM(K20:K27*Produção!$H$8:$H$15)</f>
        <v>0</v>
      </c>
      <c r="R78" s="601">
        <f t="array" aca="1" ref="R78" ca="1">SUM(L20:L27*Produção!$H$8:$H$15)</f>
        <v>0</v>
      </c>
      <c r="S78" s="601">
        <f t="array" aca="1" ref="S78" ca="1">SUM(M20:M27*Produção!$H$8:$H$15)</f>
        <v>0</v>
      </c>
      <c r="T78" s="1988">
        <f t="array" aca="1" ref="T78:T84" ca="1">'Distr CV 2'!H78:H84</f>
        <v>0</v>
      </c>
      <c r="U78" s="1988">
        <f ca="1"/>
        <v>0</v>
      </c>
      <c r="V78" s="1988">
        <f ca="1"/>
        <v>0</v>
      </c>
      <c r="W78" s="1988">
        <f ca="1"/>
        <v>0</v>
      </c>
      <c r="X78" s="1988">
        <f ca="1"/>
        <v>0</v>
      </c>
      <c r="Y78" s="2007">
        <f ca="1"/>
        <v>0</v>
      </c>
    </row>
    <row r="79" spans="1:26" ht="15.75" customHeight="1">
      <c r="A79" s="1995" t="s">
        <v>266</v>
      </c>
      <c r="B79" s="1991"/>
      <c r="C79" s="1991"/>
      <c r="D79" s="1991"/>
      <c r="E79" s="1991"/>
      <c r="F79" s="1991"/>
      <c r="G79" s="603">
        <f t="array" aca="1" ref="G79" ca="1">SUM(B20:B27*Produção!$G$8:$G$15)</f>
        <v>0</v>
      </c>
      <c r="H79" s="603">
        <f t="array" aca="1" ref="H79" ca="1">SUM(C20:C27*Produção!$G$8:$G$15)</f>
        <v>0</v>
      </c>
      <c r="I79" s="603">
        <f t="array" aca="1" ref="I79" ca="1">SUM(D20:D27*Produção!$G$8:$G$15)</f>
        <v>0</v>
      </c>
      <c r="J79" s="603">
        <f t="array" aca="1" ref="J79" ca="1">SUM(E20:E27*Produção!$G$8:$G$15)</f>
        <v>0</v>
      </c>
      <c r="K79" s="603">
        <f t="array" aca="1" ref="K79" ca="1">SUM(F20:F27*Produção!$G$8:$G$15)</f>
        <v>0</v>
      </c>
      <c r="L79" s="603">
        <f t="array" aca="1" ref="L79" ca="1">SUM(G20:G27*Produção!$G$8:$G$15)</f>
        <v>0</v>
      </c>
      <c r="M79" s="603">
        <f t="array" aca="1" ref="M79" ca="1">SUM(H20:H27*Produção!$G$8:$G$15)</f>
        <v>0</v>
      </c>
      <c r="N79" s="603">
        <f t="array" aca="1" ref="N79" ca="1">SUM(I20:I27*Produção!$G$8:$G$15)</f>
        <v>0</v>
      </c>
      <c r="O79" s="603">
        <f t="array" aca="1" ref="O79" ca="1">SUM(J20:J27*Produção!$G$8:$G$15)</f>
        <v>0</v>
      </c>
      <c r="P79" s="603">
        <f t="array" aca="1" ref="P79" ca="1">SUM(K20:K27*Produção!$G$8:$G$15)</f>
        <v>0</v>
      </c>
      <c r="Q79" s="603">
        <f t="array" aca="1" ref="Q79" ca="1">SUM(L20:L27*Produção!$G$8:$G$15)</f>
        <v>0</v>
      </c>
      <c r="R79" s="603">
        <f t="array" aca="1" ref="R79" ca="1">SUM(M20:M27*Produção!$G$8:$G$15)</f>
        <v>0</v>
      </c>
      <c r="S79" s="1992">
        <f t="array" aca="1" ref="S79:S84" ca="1">'Distr CV 2'!G79:G84</f>
        <v>0</v>
      </c>
      <c r="T79" s="1992">
        <f ca="1"/>
        <v>0</v>
      </c>
      <c r="U79" s="1992">
        <f ca="1"/>
        <v>0</v>
      </c>
      <c r="V79" s="1992">
        <f ca="1"/>
        <v>0</v>
      </c>
      <c r="W79" s="1992">
        <f ca="1"/>
        <v>0</v>
      </c>
      <c r="X79" s="1992">
        <f ca="1"/>
        <v>0</v>
      </c>
      <c r="Y79" s="2010">
        <f ca="1"/>
        <v>0</v>
      </c>
    </row>
    <row r="80" spans="1:26" ht="15.75" customHeight="1">
      <c r="A80" s="1995" t="s">
        <v>267</v>
      </c>
      <c r="B80" s="1991"/>
      <c r="C80" s="1991"/>
      <c r="D80" s="1991"/>
      <c r="E80" s="1991"/>
      <c r="F80" s="603">
        <f t="array" aca="1" ref="F80" ca="1">SUM(B20:B27*Produção!$F$8:$F$15)</f>
        <v>0</v>
      </c>
      <c r="G80" s="603">
        <f t="array" aca="1" ref="G80" ca="1">SUM(C20:C27*Produção!$F$8:$F$15)</f>
        <v>0</v>
      </c>
      <c r="H80" s="603">
        <f t="array" aca="1" ref="H80" ca="1">SUM(D20:D27*Produção!$F$8:$F$15)</f>
        <v>0</v>
      </c>
      <c r="I80" s="603">
        <f t="array" aca="1" ref="I80" ca="1">SUM(E20:E27*Produção!$F$8:$F$15)</f>
        <v>0</v>
      </c>
      <c r="J80" s="603">
        <f t="array" aca="1" ref="J80" ca="1">SUM(F20:F27*Produção!$F$8:$F$15)</f>
        <v>0</v>
      </c>
      <c r="K80" s="603">
        <f t="array" aca="1" ref="K80" ca="1">SUM(G20:G27*Produção!$F$8:$F$15)</f>
        <v>0</v>
      </c>
      <c r="L80" s="603">
        <f t="array" aca="1" ref="L80" ca="1">SUM(H20:H27*Produção!$F$8:$F$15)</f>
        <v>0</v>
      </c>
      <c r="M80" s="603">
        <f t="array" aca="1" ref="M80" ca="1">SUM(I20:I27*Produção!$F$8:$F$15)</f>
        <v>0</v>
      </c>
      <c r="N80" s="603">
        <f t="array" aca="1" ref="N80" ca="1">SUM(J20:J27*Produção!$F$8:$F$15)</f>
        <v>0</v>
      </c>
      <c r="O80" s="603">
        <f t="array" aca="1" ref="O80" ca="1">SUM(K20:K27*Produção!$F$8:$F$15)</f>
        <v>0</v>
      </c>
      <c r="P80" s="603">
        <f t="array" aca="1" ref="P80" ca="1">SUM(L20:L27*Produção!$F$8:$F$15)</f>
        <v>0</v>
      </c>
      <c r="Q80" s="603">
        <f t="array" aca="1" ref="Q80" ca="1">SUM(M20:M27*Produção!$F$8:$F$15)</f>
        <v>0</v>
      </c>
      <c r="R80" s="1992">
        <f t="array" aca="1" ref="R80:R84" ca="1">'Distr CV 2'!F80:F84</f>
        <v>0</v>
      </c>
      <c r="S80" s="1992">
        <f ca="1"/>
        <v>0</v>
      </c>
      <c r="T80" s="1992">
        <f ca="1"/>
        <v>0</v>
      </c>
      <c r="U80" s="1992">
        <f ca="1"/>
        <v>0</v>
      </c>
      <c r="V80" s="1992">
        <f ca="1"/>
        <v>0</v>
      </c>
      <c r="W80" s="1992">
        <f ca="1"/>
        <v>0</v>
      </c>
      <c r="X80" s="1992">
        <f ca="1"/>
        <v>0</v>
      </c>
      <c r="Y80" s="2010">
        <f ca="1"/>
        <v>0</v>
      </c>
    </row>
    <row r="81" spans="1:26" ht="15.75" customHeight="1">
      <c r="A81" s="1995" t="s">
        <v>268</v>
      </c>
      <c r="B81" s="1991"/>
      <c r="C81" s="1991"/>
      <c r="D81" s="1991"/>
      <c r="E81" s="603">
        <f t="array" aca="1" ref="E81" ca="1">SUM(B20:B27*Produção!$E$8:$E$15)</f>
        <v>0</v>
      </c>
      <c r="F81" s="603">
        <f t="array" aca="1" ref="F81" ca="1">SUM(C20:C27*Produção!$E$8:$E$15)</f>
        <v>0</v>
      </c>
      <c r="G81" s="603">
        <f t="array" aca="1" ref="G81" ca="1">SUM(D20:D27*Produção!$E$8:$E$15)</f>
        <v>0</v>
      </c>
      <c r="H81" s="603">
        <f t="array" aca="1" ref="H81" ca="1">SUM(E20:E27*Produção!$E$8:$E$15)</f>
        <v>0</v>
      </c>
      <c r="I81" s="603">
        <f t="array" aca="1" ref="I81" ca="1">SUM(F20:F27*Produção!$E$8:$E$15)</f>
        <v>0</v>
      </c>
      <c r="J81" s="603">
        <f t="array" aca="1" ref="J81" ca="1">SUM(G20:G27*Produção!$E$8:$E$15)</f>
        <v>0</v>
      </c>
      <c r="K81" s="603">
        <f t="array" aca="1" ref="K81" ca="1">SUM(H20:H27*Produção!$E$8:$E$15)</f>
        <v>0</v>
      </c>
      <c r="L81" s="603">
        <f t="array" aca="1" ref="L81" ca="1">SUM(I20:I27*Produção!$E$8:$E$15)</f>
        <v>0</v>
      </c>
      <c r="M81" s="603">
        <f t="array" aca="1" ref="M81" ca="1">SUM(J20:J27*Produção!$E$8:$E$15)</f>
        <v>0</v>
      </c>
      <c r="N81" s="603">
        <f t="array" aca="1" ref="N81" ca="1">SUM(K20:K27*Produção!$E$8:$E$15)</f>
        <v>0</v>
      </c>
      <c r="O81" s="603">
        <f t="array" aca="1" ref="O81" ca="1">SUM(L20:L27*Produção!$E$8:$E$15)</f>
        <v>0</v>
      </c>
      <c r="P81" s="603">
        <f t="array" aca="1" ref="P81" ca="1">SUM(M20:M27*Produção!$E$8:$E$15)</f>
        <v>0</v>
      </c>
      <c r="Q81" s="1992">
        <f t="array" aca="1" ref="Q81:Q84" ca="1">'Distr CV 2'!E81:E84</f>
        <v>0</v>
      </c>
      <c r="R81" s="1992">
        <f ca="1"/>
        <v>0</v>
      </c>
      <c r="S81" s="1992">
        <f ca="1"/>
        <v>0</v>
      </c>
      <c r="T81" s="1992">
        <f ca="1"/>
        <v>0</v>
      </c>
      <c r="U81" s="1992">
        <f ca="1"/>
        <v>0</v>
      </c>
      <c r="V81" s="1992">
        <f ca="1"/>
        <v>0</v>
      </c>
      <c r="W81" s="1992">
        <f ca="1"/>
        <v>0</v>
      </c>
      <c r="X81" s="1992">
        <f ca="1"/>
        <v>0</v>
      </c>
      <c r="Y81" s="2010">
        <f ca="1"/>
        <v>0</v>
      </c>
    </row>
    <row r="82" spans="1:26" ht="15.75" customHeight="1">
      <c r="A82" s="1995" t="s">
        <v>269</v>
      </c>
      <c r="B82" s="1991"/>
      <c r="C82" s="1991"/>
      <c r="D82" s="602">
        <f t="array" aca="1" ref="D82" ca="1">SUM(B20:B27*Produção!$D$8:$D$15)</f>
        <v>0</v>
      </c>
      <c r="E82" s="602">
        <f t="array" aca="1" ref="E82" ca="1">SUM(C20:C27*Produção!$D$8:$D$15)</f>
        <v>0</v>
      </c>
      <c r="F82" s="602">
        <f t="array" aca="1" ref="F82" ca="1">SUM(D20:D27*Produção!$D$8:$D$15)</f>
        <v>0</v>
      </c>
      <c r="G82" s="602">
        <f t="array" aca="1" ref="G82" ca="1">SUM(E20:E27*Produção!$D$8:$D$15)</f>
        <v>0</v>
      </c>
      <c r="H82" s="602">
        <f t="array" aca="1" ref="H82" ca="1">SUM(F20:F27*Produção!$D$8:$D$15)</f>
        <v>0</v>
      </c>
      <c r="I82" s="602">
        <f t="array" aca="1" ref="I82" ca="1">SUM(G20:G27*Produção!$D$8:$D$15)</f>
        <v>0</v>
      </c>
      <c r="J82" s="602">
        <f t="array" aca="1" ref="J82" ca="1">SUM(H20:H27*Produção!$D$8:$D$15)</f>
        <v>0</v>
      </c>
      <c r="K82" s="602">
        <f t="array" aca="1" ref="K82" ca="1">SUM(I20:I27*Produção!$D$8:$D$15)</f>
        <v>0</v>
      </c>
      <c r="L82" s="602">
        <f t="array" aca="1" ref="L82" ca="1">SUM(J20:J27*Produção!$D$8:$D$15)</f>
        <v>0</v>
      </c>
      <c r="M82" s="602">
        <f t="array" aca="1" ref="M82" ca="1">SUM(K20:K27*Produção!$D$8:$D$15)</f>
        <v>0</v>
      </c>
      <c r="N82" s="602">
        <f t="array" aca="1" ref="N82" ca="1">SUM(L20:L27*Produção!$D$8:$D$15)</f>
        <v>0</v>
      </c>
      <c r="O82" s="602">
        <f t="array" aca="1" ref="O82" ca="1">SUM(M20:M27*Produção!$D$8:$D$15)</f>
        <v>0</v>
      </c>
      <c r="P82" s="1992">
        <f t="array" aca="1" ref="P82:P84" ca="1">'Distr CV 2'!D82:D84</f>
        <v>0</v>
      </c>
      <c r="Q82" s="1992">
        <f ca="1"/>
        <v>0</v>
      </c>
      <c r="R82" s="1992">
        <f ca="1"/>
        <v>0</v>
      </c>
      <c r="S82" s="1992">
        <f ca="1"/>
        <v>0</v>
      </c>
      <c r="T82" s="1992">
        <f ca="1"/>
        <v>0</v>
      </c>
      <c r="U82" s="1992">
        <f ca="1"/>
        <v>0</v>
      </c>
      <c r="V82" s="1992">
        <f ca="1"/>
        <v>0</v>
      </c>
      <c r="W82" s="1992">
        <f ca="1"/>
        <v>0</v>
      </c>
      <c r="X82" s="1992">
        <f ca="1"/>
        <v>0</v>
      </c>
      <c r="Y82" s="2010">
        <f ca="1"/>
        <v>0</v>
      </c>
    </row>
    <row r="83" spans="1:26" ht="15.75" customHeight="1">
      <c r="A83" s="1995" t="s">
        <v>270</v>
      </c>
      <c r="B83" s="1991"/>
      <c r="C83" s="603">
        <f t="array" aca="1" ref="C83" ca="1">SUM(B20:B27*Produção!$C$8:$C$15)</f>
        <v>0</v>
      </c>
      <c r="D83" s="603">
        <f t="array" aca="1" ref="D83" ca="1">SUM(C20:C27*Produção!$C$8:$C$15)</f>
        <v>0</v>
      </c>
      <c r="E83" s="603">
        <f t="array" aca="1" ref="E83" ca="1">SUM(D20:D27*Produção!$C$8:$C$15)</f>
        <v>0</v>
      </c>
      <c r="F83" s="603">
        <f t="array" aca="1" ref="F83" ca="1">SUM(E20:E27*Produção!$C$8:$C$15)</f>
        <v>0</v>
      </c>
      <c r="G83" s="603">
        <f t="array" aca="1" ref="G83" ca="1">SUM(F20:F27*Produção!$C$8:$C$15)</f>
        <v>0</v>
      </c>
      <c r="H83" s="603">
        <f t="array" aca="1" ref="H83" ca="1">SUM(G20:G27*Produção!$C$8:$C$15)</f>
        <v>0</v>
      </c>
      <c r="I83" s="603">
        <f t="array" aca="1" ref="I83" ca="1">SUM(H20:H27*Produção!$C$8:$C$15)</f>
        <v>0</v>
      </c>
      <c r="J83" s="603">
        <f t="array" aca="1" ref="J83" ca="1">SUM(I20:I27*Produção!$C$8:$C$15)</f>
        <v>0</v>
      </c>
      <c r="K83" s="603">
        <f t="array" aca="1" ref="K83" ca="1">SUM(J20:J27*Produção!$C$8:$C$15)</f>
        <v>0</v>
      </c>
      <c r="L83" s="603">
        <f t="array" aca="1" ref="L83" ca="1">SUM(K20:K27*Produção!$C$8:$C$15)</f>
        <v>0</v>
      </c>
      <c r="M83" s="603">
        <f t="array" aca="1" ref="M83" ca="1">SUM(L20:L27*Produção!$C$8:$C$15)</f>
        <v>0</v>
      </c>
      <c r="N83" s="603">
        <f t="array" aca="1" ref="N83" ca="1">SUM(M20:M27*Produção!$C$8:$C$15)</f>
        <v>0</v>
      </c>
      <c r="O83" s="1992">
        <f t="array" aca="1" ref="O83:O84" ca="1">'Distr CV 2'!C83:C84</f>
        <v>0</v>
      </c>
      <c r="P83" s="1992">
        <f ca="1"/>
        <v>0</v>
      </c>
      <c r="Q83" s="1992">
        <f ca="1"/>
        <v>0</v>
      </c>
      <c r="R83" s="1992">
        <f ca="1"/>
        <v>0</v>
      </c>
      <c r="S83" s="1992">
        <f ca="1"/>
        <v>0</v>
      </c>
      <c r="T83" s="1992">
        <f ca="1"/>
        <v>0</v>
      </c>
      <c r="U83" s="1992">
        <f ca="1"/>
        <v>0</v>
      </c>
      <c r="V83" s="1992">
        <f ca="1"/>
        <v>0</v>
      </c>
      <c r="W83" s="1992">
        <f ca="1"/>
        <v>0</v>
      </c>
      <c r="X83" s="1992">
        <f ca="1"/>
        <v>0</v>
      </c>
      <c r="Y83" s="2010">
        <f ca="1"/>
        <v>0</v>
      </c>
    </row>
    <row r="84" spans="1:26" ht="15.75" customHeight="1" thickBot="1">
      <c r="A84" s="1995" t="s">
        <v>271</v>
      </c>
      <c r="B84" s="603">
        <f t="array" aca="1" ref="B84" ca="1">SUM(B20:B27*Produção!$B$8:$B$15)</f>
        <v>0</v>
      </c>
      <c r="C84" s="603">
        <f t="array" aca="1" ref="C84" ca="1">SUM(C20:C27*Produção!$B$8:$B$15)</f>
        <v>0</v>
      </c>
      <c r="D84" s="603">
        <f t="array" aca="1" ref="D84" ca="1">SUM(D20:D27*Produção!$B$8:$B$15)</f>
        <v>0</v>
      </c>
      <c r="E84" s="603">
        <f t="array" aca="1" ref="E84" ca="1">SUM(E20:E27*Produção!$B$8:$B$15)</f>
        <v>0</v>
      </c>
      <c r="F84" s="603">
        <f t="array" aca="1" ref="F84" ca="1">SUM(F20:F27*Produção!$B$8:$B$15)</f>
        <v>0</v>
      </c>
      <c r="G84" s="603">
        <f t="array" aca="1" ref="G84" ca="1">SUM(G20:G27*Produção!$B$8:$B$15)</f>
        <v>0</v>
      </c>
      <c r="H84" s="603">
        <f t="array" aca="1" ref="H84" ca="1">SUM(H20:H27*Produção!$B$8:$B$15)</f>
        <v>0</v>
      </c>
      <c r="I84" s="603">
        <f t="array" aca="1" ref="I84" ca="1">SUM(I20:I27*Produção!$B$8:$B$15)</f>
        <v>0</v>
      </c>
      <c r="J84" s="603">
        <f t="array" aca="1" ref="J84" ca="1">SUM(J20:J27*Produção!$B$8:$B$15)</f>
        <v>0</v>
      </c>
      <c r="K84" s="603">
        <f t="array" aca="1" ref="K84" ca="1">SUM(K20:K27*Produção!$B$8:$B$15)</f>
        <v>0</v>
      </c>
      <c r="L84" s="603">
        <f t="array" aca="1" ref="L84" ca="1">SUM(L20:L27*Produção!$B$8:$B$15)</f>
        <v>0</v>
      </c>
      <c r="M84" s="603">
        <f t="array" aca="1" ref="M84" ca="1">SUM(M20:M27*Produção!$B$8:$B$15)</f>
        <v>0</v>
      </c>
      <c r="N84" s="1992">
        <f ca="1">'Distr CV 2'!B84</f>
        <v>0</v>
      </c>
      <c r="O84" s="1992">
        <f ca="1"/>
        <v>0</v>
      </c>
      <c r="P84" s="1992">
        <f ca="1"/>
        <v>0</v>
      </c>
      <c r="Q84" s="1992">
        <f ca="1"/>
        <v>0</v>
      </c>
      <c r="R84" s="1992">
        <f ca="1"/>
        <v>0</v>
      </c>
      <c r="S84" s="1992">
        <f ca="1"/>
        <v>0</v>
      </c>
      <c r="T84" s="1992">
        <f ca="1"/>
        <v>0</v>
      </c>
      <c r="U84" s="1992">
        <f ca="1"/>
        <v>0</v>
      </c>
      <c r="V84" s="1992">
        <f ca="1"/>
        <v>0</v>
      </c>
      <c r="W84" s="1992">
        <f ca="1"/>
        <v>0</v>
      </c>
      <c r="X84" s="1992">
        <f ca="1"/>
        <v>0</v>
      </c>
      <c r="Y84" s="2010">
        <f ca="1"/>
        <v>0</v>
      </c>
    </row>
    <row r="85" spans="1:26" ht="15.75" customHeight="1" thickBot="1">
      <c r="A85" s="105" t="str">
        <f>A$28</f>
        <v>Totais</v>
      </c>
      <c r="B85" s="607">
        <f t="shared" ref="B85:Y85" ca="1" si="8">SUM(B72:B84)</f>
        <v>0</v>
      </c>
      <c r="C85" s="607">
        <f t="shared" ca="1" si="8"/>
        <v>0</v>
      </c>
      <c r="D85" s="607">
        <f t="shared" ca="1" si="8"/>
        <v>0</v>
      </c>
      <c r="E85" s="607">
        <f t="shared" ca="1" si="8"/>
        <v>0</v>
      </c>
      <c r="F85" s="607">
        <f t="shared" ca="1" si="8"/>
        <v>0</v>
      </c>
      <c r="G85" s="607">
        <f ca="1">SUM(G72:G84)</f>
        <v>0</v>
      </c>
      <c r="H85" s="607">
        <f t="shared" ca="1" si="8"/>
        <v>0</v>
      </c>
      <c r="I85" s="607">
        <f t="shared" ca="1" si="8"/>
        <v>0</v>
      </c>
      <c r="J85" s="607">
        <f t="shared" ca="1" si="8"/>
        <v>0</v>
      </c>
      <c r="K85" s="607">
        <f t="shared" ca="1" si="8"/>
        <v>0</v>
      </c>
      <c r="L85" s="607">
        <f t="shared" ca="1" si="8"/>
        <v>0</v>
      </c>
      <c r="M85" s="607">
        <f t="shared" ca="1" si="8"/>
        <v>0</v>
      </c>
      <c r="N85" s="607">
        <f t="shared" ca="1" si="8"/>
        <v>144.20000000000002</v>
      </c>
      <c r="O85" s="607">
        <f t="shared" ca="1" si="8"/>
        <v>144.20000000000002</v>
      </c>
      <c r="P85" s="607">
        <f t="shared" ca="1" si="8"/>
        <v>144.20000000000002</v>
      </c>
      <c r="Q85" s="607">
        <f t="shared" ca="1" si="8"/>
        <v>144.20000000000002</v>
      </c>
      <c r="R85" s="607">
        <f t="shared" ca="1" si="8"/>
        <v>144.20000000000002</v>
      </c>
      <c r="S85" s="607">
        <f t="shared" ca="1" si="8"/>
        <v>144.20000000000002</v>
      </c>
      <c r="T85" s="607">
        <f t="shared" ca="1" si="8"/>
        <v>144.20000000000002</v>
      </c>
      <c r="U85" s="607">
        <f t="shared" ca="1" si="8"/>
        <v>144.20000000000002</v>
      </c>
      <c r="V85" s="607">
        <f t="shared" ca="1" si="8"/>
        <v>144.20000000000002</v>
      </c>
      <c r="W85" s="607">
        <f t="shared" ca="1" si="8"/>
        <v>144.20000000000002</v>
      </c>
      <c r="X85" s="607">
        <f t="shared" ca="1" si="8"/>
        <v>144.20000000000002</v>
      </c>
      <c r="Y85" s="2008">
        <f t="shared" ca="1" si="8"/>
        <v>144.20000000000002</v>
      </c>
    </row>
    <row r="86" spans="1:26">
      <c r="B86" s="62"/>
    </row>
    <row r="87" spans="1:26">
      <c r="B87" s="62">
        <f ca="1">SUM(B85:M85)</f>
        <v>0</v>
      </c>
    </row>
    <row r="88" spans="1:26">
      <c r="B88" s="62"/>
    </row>
    <row r="89" spans="1:26" ht="18.75" thickBot="1">
      <c r="A89" s="1993" t="str">
        <f>'Distr CV 0'!A89</f>
        <v>IVA dos custos de produção por meses de compra</v>
      </c>
      <c r="I89" s="1993"/>
    </row>
    <row r="90" spans="1:26" s="456" customFormat="1" ht="35.25" customHeight="1" thickBot="1">
      <c r="A90" s="457" t="str">
        <f>'Distr CV 0'!A90</f>
        <v>IVA Custos produção</v>
      </c>
      <c r="B90" s="2011" t="str">
        <f t="array" ref="B90:Y90">B$71:Y$71</f>
        <v>janeiro 
2026</v>
      </c>
      <c r="C90" s="2011" t="str">
        <v>fevereiro 
2026</v>
      </c>
      <c r="D90" s="2011" t="str">
        <v>março 
2026</v>
      </c>
      <c r="E90" s="2011" t="str">
        <v>abril 
2026</v>
      </c>
      <c r="F90" s="2011" t="str">
        <v>maio 
2026</v>
      </c>
      <c r="G90" s="2011" t="str">
        <v>junho 
2026</v>
      </c>
      <c r="H90" s="2011" t="str">
        <v>julho 
2026</v>
      </c>
      <c r="I90" s="2011" t="str">
        <v>agosto 
2026</v>
      </c>
      <c r="J90" s="2011" t="str">
        <v>setembro 
2026</v>
      </c>
      <c r="K90" s="2011" t="str">
        <v>outubro 
2026</v>
      </c>
      <c r="L90" s="2011" t="str">
        <v>novembro 
2026</v>
      </c>
      <c r="M90" s="2011" t="str">
        <v>dezembro 
2026</v>
      </c>
      <c r="N90" s="2737" t="str">
        <v>janeiro 
2027</v>
      </c>
      <c r="O90" s="2738" t="str">
        <v>fevereiro 
2027</v>
      </c>
      <c r="P90" s="2738" t="str">
        <v>março 
2027</v>
      </c>
      <c r="Q90" s="2738" t="str">
        <v>abril 
2027</v>
      </c>
      <c r="R90" s="2738" t="str">
        <v>maio 
2027</v>
      </c>
      <c r="S90" s="2738" t="str">
        <v>junho 
2027</v>
      </c>
      <c r="T90" s="2738" t="str">
        <v>julho 
2027</v>
      </c>
      <c r="U90" s="2738" t="str">
        <v>agosto 
2027</v>
      </c>
      <c r="V90" s="2738" t="str">
        <v>setembro 
2027</v>
      </c>
      <c r="W90" s="2738" t="str">
        <v>outubro 
2027</v>
      </c>
      <c r="X90" s="2738" t="str">
        <v>novembro 
2027</v>
      </c>
      <c r="Y90" s="2739" t="str">
        <v>dezembro 
2027</v>
      </c>
      <c r="Z90" s="62"/>
    </row>
    <row r="91" spans="1:26" ht="15.75" customHeight="1">
      <c r="A91" s="1994" t="str">
        <f t="shared" ref="A91:A103" si="9">A72</f>
        <v>mismo mes</v>
      </c>
      <c r="B91" s="1991"/>
      <c r="C91" s="1991"/>
      <c r="D91" s="1991"/>
      <c r="E91" s="1991"/>
      <c r="F91" s="1991"/>
      <c r="G91" s="1991"/>
      <c r="H91" s="1989"/>
      <c r="I91" s="1990"/>
      <c r="J91" s="1990"/>
      <c r="K91" s="1990"/>
      <c r="L91" s="1990"/>
      <c r="M91" s="1990"/>
      <c r="N91" s="599">
        <f t="array" aca="1" ref="N91" ca="1">SUM(B32:B39*Produção!$N$8:$N$15)</f>
        <v>30.282000000000004</v>
      </c>
      <c r="O91" s="599">
        <f t="array" aca="1" ref="O91" ca="1">SUM(C32:C39*Produção!$N$8:$N$15)</f>
        <v>30.282000000000004</v>
      </c>
      <c r="P91" s="599">
        <f t="array" aca="1" ref="P91" ca="1">SUM(D32:D39*Produção!$N$8:$N$15)</f>
        <v>30.282000000000004</v>
      </c>
      <c r="Q91" s="599">
        <f t="array" aca="1" ref="Q91" ca="1">SUM(E32:E39*Produção!$N$8:$N$15)</f>
        <v>30.282000000000004</v>
      </c>
      <c r="R91" s="599">
        <f t="array" aca="1" ref="R91" ca="1">SUM(F32:F39*Produção!$N$8:$N$15)</f>
        <v>30.282000000000004</v>
      </c>
      <c r="S91" s="599">
        <f t="array" aca="1" ref="S91" ca="1">SUM(G32:G39*Produção!$N$8:$N$15)</f>
        <v>30.282000000000004</v>
      </c>
      <c r="T91" s="599">
        <f t="array" aca="1" ref="T91" ca="1">SUM(H32:H39*Produção!$N$8:$N$15)</f>
        <v>30.282000000000004</v>
      </c>
      <c r="U91" s="599">
        <f t="array" aca="1" ref="U91" ca="1">SUM(I32:I39*Produção!$N$8:$N$15)</f>
        <v>30.282000000000004</v>
      </c>
      <c r="V91" s="599">
        <f t="array" aca="1" ref="V91" ca="1">SUM(J32:J39*Produção!$N$8:$N$15)</f>
        <v>30.282000000000004</v>
      </c>
      <c r="W91" s="599">
        <f t="array" aca="1" ref="W91" ca="1">SUM(K32:K39*Produção!$N$8:$N$15)</f>
        <v>30.282000000000004</v>
      </c>
      <c r="X91" s="599">
        <f t="array" aca="1" ref="X91" ca="1">SUM(L32:L39*Produção!$N$8:$N$15)</f>
        <v>30.282000000000004</v>
      </c>
      <c r="Y91" s="2009">
        <f t="array" aca="1" ref="Y91" ca="1">SUM(M32:M39*Produção!$N$8:$N$15)</f>
        <v>30.282000000000004</v>
      </c>
    </row>
    <row r="92" spans="1:26" ht="15.75" customHeight="1">
      <c r="A92" s="1995" t="str">
        <f t="shared" si="9"/>
        <v>1 mes antes</v>
      </c>
      <c r="B92" s="1991"/>
      <c r="C92" s="1991"/>
      <c r="D92" s="1991"/>
      <c r="E92" s="1991"/>
      <c r="F92" s="1991"/>
      <c r="G92" s="1991"/>
      <c r="H92" s="1991"/>
      <c r="I92" s="1988"/>
      <c r="J92" s="1988"/>
      <c r="K92" s="1988"/>
      <c r="L92" s="1988"/>
      <c r="M92" s="601">
        <f t="array" aca="1" ref="M92" ca="1">SUM(B32:B39*Produção!$M$8:$M$15)</f>
        <v>0</v>
      </c>
      <c r="N92" s="601">
        <f t="array" aca="1" ref="N92" ca="1">SUM(C32:C39*Produção!$M$8:$M$15)</f>
        <v>0</v>
      </c>
      <c r="O92" s="601">
        <f t="array" aca="1" ref="O92" ca="1">SUM(D32:D39*Produção!$M$8:$M$15)</f>
        <v>0</v>
      </c>
      <c r="P92" s="601">
        <f t="array" aca="1" ref="P92" ca="1">SUM(E32:E39*Produção!$M$8:$M$15)</f>
        <v>0</v>
      </c>
      <c r="Q92" s="601">
        <f t="array" aca="1" ref="Q92" ca="1">SUM(F32:F39*Produção!$M$8:$M$15)</f>
        <v>0</v>
      </c>
      <c r="R92" s="601">
        <f t="array" aca="1" ref="R92" ca="1">SUM(G32:G39*Produção!$M$8:$M$15)</f>
        <v>0</v>
      </c>
      <c r="S92" s="601">
        <f t="array" aca="1" ref="S92" ca="1">SUM(H32:H39*Produção!$M$8:$M$15)</f>
        <v>0</v>
      </c>
      <c r="T92" s="601">
        <f t="array" aca="1" ref="T92" ca="1">SUM(I32:I39*Produção!$M$8:$M$15)</f>
        <v>0</v>
      </c>
      <c r="U92" s="601">
        <f t="array" aca="1" ref="U92" ca="1">SUM(J32:J39*Produção!$M$8:$M$15)</f>
        <v>0</v>
      </c>
      <c r="V92" s="601">
        <f t="array" aca="1" ref="V92" ca="1">SUM(K32:K39*Produção!$M$8:$M$15)</f>
        <v>0</v>
      </c>
      <c r="W92" s="601">
        <f t="array" aca="1" ref="W92" ca="1">SUM(L32:L39*Produção!$M$8:$M$15)</f>
        <v>0</v>
      </c>
      <c r="X92" s="601">
        <f t="array" aca="1" ref="X92" ca="1">SUM(M32:M39*Produção!$M$8:$M$15)</f>
        <v>0</v>
      </c>
      <c r="Y92" s="2007">
        <f t="array" aca="1" ref="Y92:Y103" ca="1">'Distr CV 2'!M92:M103</f>
        <v>0</v>
      </c>
    </row>
    <row r="93" spans="1:26" ht="15.75" customHeight="1">
      <c r="A93" s="1995" t="str">
        <f t="shared" si="9"/>
        <v>2 meses antes</v>
      </c>
      <c r="B93" s="1991"/>
      <c r="C93" s="1991"/>
      <c r="D93" s="1991"/>
      <c r="E93" s="1991"/>
      <c r="F93" s="1991"/>
      <c r="G93" s="1991"/>
      <c r="H93" s="1991"/>
      <c r="I93" s="1988"/>
      <c r="J93" s="1988"/>
      <c r="K93" s="1988"/>
      <c r="L93" s="601">
        <f t="array" aca="1" ref="L93" ca="1">SUM(B32:B39*Produção!$L$8:$L$15)</f>
        <v>0</v>
      </c>
      <c r="M93" s="601">
        <f t="array" aca="1" ref="M93" ca="1">SUM(C32:C39*Produção!$L$8:$L$15)</f>
        <v>0</v>
      </c>
      <c r="N93" s="601">
        <f t="array" aca="1" ref="N93" ca="1">SUM(D32:D39*Produção!$L$8:$L$15)</f>
        <v>0</v>
      </c>
      <c r="O93" s="601">
        <f t="array" aca="1" ref="O93" ca="1">SUM(E32:E39*Produção!$L$8:$L$15)</f>
        <v>0</v>
      </c>
      <c r="P93" s="601">
        <f t="array" aca="1" ref="P93" ca="1">SUM(F32:F39*Produção!$L$8:$L$15)</f>
        <v>0</v>
      </c>
      <c r="Q93" s="601">
        <f t="array" aca="1" ref="Q93" ca="1">SUM(G32:G39*Produção!$L$8:$L$15)</f>
        <v>0</v>
      </c>
      <c r="R93" s="601">
        <f t="array" aca="1" ref="R93" ca="1">SUM(H32:H39*Produção!$L$8:$L$15)</f>
        <v>0</v>
      </c>
      <c r="S93" s="601">
        <f t="array" aca="1" ref="S93" ca="1">SUM(I32:I39*Produção!$L$8:$L$15)</f>
        <v>0</v>
      </c>
      <c r="T93" s="601">
        <f t="array" aca="1" ref="T93" ca="1">SUM(J32:J39*Produção!$L$8:$L$15)</f>
        <v>0</v>
      </c>
      <c r="U93" s="601">
        <f t="array" aca="1" ref="U93" ca="1">SUM(K32:K39*Produção!$L$8:$L$15)</f>
        <v>0</v>
      </c>
      <c r="V93" s="601">
        <f t="array" aca="1" ref="V93" ca="1">SUM(L32:L39*Produção!$L$8:$L$15)</f>
        <v>0</v>
      </c>
      <c r="W93" s="601">
        <f t="array" aca="1" ref="W93" ca="1">SUM(M32:M39*Produção!$L$8:$L$15)</f>
        <v>0</v>
      </c>
      <c r="X93" s="1988">
        <f t="array" aca="1" ref="X93:X103" ca="1">'Distr CV 2'!L93:L103</f>
        <v>0</v>
      </c>
      <c r="Y93" s="2007">
        <f ca="1"/>
        <v>0</v>
      </c>
    </row>
    <row r="94" spans="1:26" ht="15.75" customHeight="1">
      <c r="A94" s="1995" t="str">
        <f t="shared" si="9"/>
        <v>3 meses antes</v>
      </c>
      <c r="B94" s="1991"/>
      <c r="C94" s="1991"/>
      <c r="D94" s="1991"/>
      <c r="E94" s="1991"/>
      <c r="F94" s="1991"/>
      <c r="G94" s="1991"/>
      <c r="H94" s="1991"/>
      <c r="I94" s="1988"/>
      <c r="J94" s="1988"/>
      <c r="K94" s="601">
        <f t="array" aca="1" ref="K94" ca="1">SUM(B32:B39*Produção!$K$8:$K$15)</f>
        <v>0</v>
      </c>
      <c r="L94" s="601">
        <f t="array" aca="1" ref="L94" ca="1">SUM(C32:C39*Produção!$K$8:$K$15)</f>
        <v>0</v>
      </c>
      <c r="M94" s="601">
        <f t="array" aca="1" ref="M94" ca="1">SUM(D32:D39*Produção!$K$8:$K$15)</f>
        <v>0</v>
      </c>
      <c r="N94" s="601">
        <f t="array" aca="1" ref="N94" ca="1">SUM(E32:E39*Produção!$K$8:$K$15)</f>
        <v>0</v>
      </c>
      <c r="O94" s="601">
        <f t="array" aca="1" ref="O94" ca="1">SUM(F32:F39*Produção!$K$8:$K$15)</f>
        <v>0</v>
      </c>
      <c r="P94" s="601">
        <f t="array" aca="1" ref="P94" ca="1">SUM(G32:G39*Produção!$K$8:$K$15)</f>
        <v>0</v>
      </c>
      <c r="Q94" s="601">
        <f t="array" aca="1" ref="Q94" ca="1">SUM(H32:H39*Produção!$K$8:$K$15)</f>
        <v>0</v>
      </c>
      <c r="R94" s="601">
        <f t="array" aca="1" ref="R94" ca="1">SUM(I32:I39*Produção!$K$8:$K$15)</f>
        <v>0</v>
      </c>
      <c r="S94" s="601">
        <f t="array" aca="1" ref="S94" ca="1">SUM(J32:J39*Produção!$K$8:$K$15)</f>
        <v>0</v>
      </c>
      <c r="T94" s="601">
        <f t="array" aca="1" ref="T94" ca="1">SUM(K32:K39*Produção!$K$8:$K$15)</f>
        <v>0</v>
      </c>
      <c r="U94" s="601">
        <f t="array" aca="1" ref="U94" ca="1">SUM(L32:L39*Produção!$K$8:$K$15)</f>
        <v>0</v>
      </c>
      <c r="V94" s="601">
        <f t="array" aca="1" ref="V94" ca="1">SUM(M32:M39*Produção!$K$8:$K$15)</f>
        <v>0</v>
      </c>
      <c r="W94" s="1988">
        <f t="array" aca="1" ref="W94:W103" ca="1">'Distr CV 2'!K94:K103</f>
        <v>0</v>
      </c>
      <c r="X94" s="1988">
        <f ca="1"/>
        <v>0</v>
      </c>
      <c r="Y94" s="2007">
        <f ca="1"/>
        <v>0</v>
      </c>
    </row>
    <row r="95" spans="1:26" ht="15.75" customHeight="1">
      <c r="A95" s="1995" t="str">
        <f t="shared" si="9"/>
        <v>4 meses antes</v>
      </c>
      <c r="B95" s="1991"/>
      <c r="C95" s="1991"/>
      <c r="D95" s="1991"/>
      <c r="E95" s="1991"/>
      <c r="F95" s="1991"/>
      <c r="G95" s="1991"/>
      <c r="H95" s="1991"/>
      <c r="I95" s="1988"/>
      <c r="J95" s="601">
        <f t="array" aca="1" ref="J95" ca="1">SUM(B32:B39*Produção!$J$8:$J$15)</f>
        <v>0</v>
      </c>
      <c r="K95" s="601">
        <f t="array" aca="1" ref="K95" ca="1">SUM(C32:C39*Produção!$J$8:$J$15)</f>
        <v>0</v>
      </c>
      <c r="L95" s="601">
        <f t="array" aca="1" ref="L95" ca="1">SUM(D32:D39*Produção!$J$8:$J$15)</f>
        <v>0</v>
      </c>
      <c r="M95" s="601">
        <f t="array" aca="1" ref="M95" ca="1">SUM(E32:E39*Produção!$J$8:$J$15)</f>
        <v>0</v>
      </c>
      <c r="N95" s="601">
        <f t="array" aca="1" ref="N95" ca="1">SUM(F32:F39*Produção!$J$8:$J$15)</f>
        <v>0</v>
      </c>
      <c r="O95" s="601">
        <f t="array" aca="1" ref="O95" ca="1">SUM(G32:G39*Produção!$J$8:$J$15)</f>
        <v>0</v>
      </c>
      <c r="P95" s="601">
        <f t="array" aca="1" ref="P95" ca="1">SUM(H32:H39*Produção!$J$8:$J$15)</f>
        <v>0</v>
      </c>
      <c r="Q95" s="601">
        <f t="array" aca="1" ref="Q95" ca="1">SUM(I32:I39*Produção!$J$8:$J$15)</f>
        <v>0</v>
      </c>
      <c r="R95" s="601">
        <f t="array" aca="1" ref="R95" ca="1">SUM(J32:J39*Produção!$J$8:$J$15)</f>
        <v>0</v>
      </c>
      <c r="S95" s="601">
        <f t="array" aca="1" ref="S95" ca="1">SUM(K32:K39*Produção!$J$8:$J$15)</f>
        <v>0</v>
      </c>
      <c r="T95" s="601">
        <f t="array" aca="1" ref="T95" ca="1">SUM(L32:L39*Produção!$J$8:$J$15)</f>
        <v>0</v>
      </c>
      <c r="U95" s="601">
        <f t="array" aca="1" ref="U95" ca="1">SUM(M32:M39*Produção!$J$8:$J$15)</f>
        <v>0</v>
      </c>
      <c r="V95" s="1988">
        <f t="array" aca="1" ref="V95:V103" ca="1">'Distr CV 2'!J95:J103</f>
        <v>0</v>
      </c>
      <c r="W95" s="1988">
        <f ca="1"/>
        <v>0</v>
      </c>
      <c r="X95" s="1988">
        <f ca="1"/>
        <v>0</v>
      </c>
      <c r="Y95" s="2007">
        <f ca="1"/>
        <v>0</v>
      </c>
    </row>
    <row r="96" spans="1:26" ht="15.75" customHeight="1">
      <c r="A96" s="1995" t="str">
        <f t="shared" si="9"/>
        <v>5 meses antes</v>
      </c>
      <c r="B96" s="1991"/>
      <c r="C96" s="1991"/>
      <c r="D96" s="1991"/>
      <c r="E96" s="1991"/>
      <c r="F96" s="1991"/>
      <c r="G96" s="1991"/>
      <c r="H96" s="1991"/>
      <c r="I96" s="601">
        <f t="array" aca="1" ref="I96" ca="1">SUM(B32:B39*Produção!$I$8:$I$15)</f>
        <v>0</v>
      </c>
      <c r="J96" s="601">
        <f t="array" aca="1" ref="J96" ca="1">SUM(C32:C39*Produção!$I$8:$I$15)</f>
        <v>0</v>
      </c>
      <c r="K96" s="601">
        <f t="array" aca="1" ref="K96" ca="1">SUM(D32:D39*Produção!$I$8:$I$15)</f>
        <v>0</v>
      </c>
      <c r="L96" s="601">
        <f t="array" aca="1" ref="L96" ca="1">SUM(E32:E39*Produção!$I$8:$I$15)</f>
        <v>0</v>
      </c>
      <c r="M96" s="601">
        <f t="array" aca="1" ref="M96" ca="1">SUM(F32:F39*Produção!$I$8:$I$15)</f>
        <v>0</v>
      </c>
      <c r="N96" s="601">
        <f t="array" aca="1" ref="N96" ca="1">SUM(G32:G39*Produção!$I$8:$I$15)</f>
        <v>0</v>
      </c>
      <c r="O96" s="601">
        <f t="array" aca="1" ref="O96" ca="1">SUM(H32:H39*Produção!$I$8:$I$15)</f>
        <v>0</v>
      </c>
      <c r="P96" s="601">
        <f t="array" aca="1" ref="P96" ca="1">SUM(I32:I39*Produção!$I$8:$I$15)</f>
        <v>0</v>
      </c>
      <c r="Q96" s="601">
        <f t="array" aca="1" ref="Q96" ca="1">SUM(J32:J39*Produção!$I$8:$I$15)</f>
        <v>0</v>
      </c>
      <c r="R96" s="601">
        <f t="array" aca="1" ref="R96" ca="1">SUM(K32:K39*Produção!$I$8:$I$15)</f>
        <v>0</v>
      </c>
      <c r="S96" s="601">
        <f t="array" aca="1" ref="S96" ca="1">SUM(L32:L39*Produção!$I$8:$I$15)</f>
        <v>0</v>
      </c>
      <c r="T96" s="601">
        <f t="array" aca="1" ref="T96" ca="1">SUM(M32:M39*Produção!$I$8:$I$15)</f>
        <v>0</v>
      </c>
      <c r="U96" s="1988">
        <f t="array" aca="1" ref="U96:U103" ca="1">'Distr CV 2'!I96:I103</f>
        <v>0</v>
      </c>
      <c r="V96" s="1988">
        <f ca="1"/>
        <v>0</v>
      </c>
      <c r="W96" s="1988">
        <f ca="1"/>
        <v>0</v>
      </c>
      <c r="X96" s="1988">
        <f ca="1"/>
        <v>0</v>
      </c>
      <c r="Y96" s="2007">
        <f ca="1"/>
        <v>0</v>
      </c>
    </row>
    <row r="97" spans="1:26" ht="15.75" customHeight="1">
      <c r="A97" s="1995" t="str">
        <f t="shared" si="9"/>
        <v>6 meses antes</v>
      </c>
      <c r="B97" s="1991"/>
      <c r="C97" s="1991"/>
      <c r="D97" s="1991"/>
      <c r="E97" s="1991"/>
      <c r="F97" s="1991"/>
      <c r="G97" s="1991"/>
      <c r="H97" s="601">
        <f t="array" aca="1" ref="H97" ca="1">SUM(B32:B39*Produção!$H$8:$H$15)</f>
        <v>0</v>
      </c>
      <c r="I97" s="601">
        <f t="array" aca="1" ref="I97" ca="1">SUM(C32:C39*Produção!$H$8:$H$15)</f>
        <v>0</v>
      </c>
      <c r="J97" s="601">
        <f t="array" aca="1" ref="J97" ca="1">SUM(D32:D39*Produção!$H$8:$H$15)</f>
        <v>0</v>
      </c>
      <c r="K97" s="601">
        <f t="array" aca="1" ref="K97" ca="1">SUM(E32:E39*Produção!$H$8:$H$15)</f>
        <v>0</v>
      </c>
      <c r="L97" s="601">
        <f t="array" aca="1" ref="L97" ca="1">SUM(F32:F39*Produção!$H$8:$H$15)</f>
        <v>0</v>
      </c>
      <c r="M97" s="601">
        <f t="array" aca="1" ref="M97" ca="1">SUM(G32:G39*Produção!$H$8:$H$15)</f>
        <v>0</v>
      </c>
      <c r="N97" s="601">
        <f t="array" aca="1" ref="N97" ca="1">SUM(H32:H39*Produção!$H$8:$H$15)</f>
        <v>0</v>
      </c>
      <c r="O97" s="601">
        <f t="array" aca="1" ref="O97" ca="1">SUM(I32:I39*Produção!$H$8:$H$15)</f>
        <v>0</v>
      </c>
      <c r="P97" s="601">
        <f t="array" aca="1" ref="P97" ca="1">SUM(J32:J39*Produção!$H$8:$H$15)</f>
        <v>0</v>
      </c>
      <c r="Q97" s="601">
        <f t="array" aca="1" ref="Q97" ca="1">SUM(K32:K39*Produção!$H$8:$H$15)</f>
        <v>0</v>
      </c>
      <c r="R97" s="601">
        <f t="array" aca="1" ref="R97" ca="1">SUM(L32:L39*Produção!$H$8:$H$15)</f>
        <v>0</v>
      </c>
      <c r="S97" s="601">
        <f t="array" aca="1" ref="S97" ca="1">SUM(M32:M39*Produção!$H$8:$H$15)</f>
        <v>0</v>
      </c>
      <c r="T97" s="1988">
        <f t="array" aca="1" ref="T97:T103" ca="1">'Distr CV 2'!H97:H103</f>
        <v>0</v>
      </c>
      <c r="U97" s="1988">
        <f ca="1"/>
        <v>0</v>
      </c>
      <c r="V97" s="1988">
        <f ca="1"/>
        <v>0</v>
      </c>
      <c r="W97" s="1988">
        <f ca="1"/>
        <v>0</v>
      </c>
      <c r="X97" s="1988">
        <f ca="1"/>
        <v>0</v>
      </c>
      <c r="Y97" s="2007">
        <f ca="1"/>
        <v>0</v>
      </c>
    </row>
    <row r="98" spans="1:26" ht="15.75" customHeight="1">
      <c r="A98" s="1995" t="str">
        <f t="shared" si="9"/>
        <v>7 meses antes</v>
      </c>
      <c r="B98" s="1991"/>
      <c r="C98" s="1991"/>
      <c r="D98" s="1991"/>
      <c r="E98" s="1991"/>
      <c r="F98" s="1991"/>
      <c r="G98" s="603">
        <f t="array" aca="1" ref="G98" ca="1">SUM(B32:B39*Produção!$G$8:$G$15)</f>
        <v>0</v>
      </c>
      <c r="H98" s="603">
        <f t="array" aca="1" ref="H98" ca="1">SUM(C32:C39*Produção!$G$8:$G$15)</f>
        <v>0</v>
      </c>
      <c r="I98" s="603">
        <f t="array" aca="1" ref="I98" ca="1">SUM(D32:D39*Produção!$G$8:$G$15)</f>
        <v>0</v>
      </c>
      <c r="J98" s="603">
        <f t="array" aca="1" ref="J98" ca="1">SUM(E32:E39*Produção!$G$8:$G$15)</f>
        <v>0</v>
      </c>
      <c r="K98" s="603">
        <f t="array" aca="1" ref="K98" ca="1">SUM(F32:F39*Produção!$G$8:$G$15)</f>
        <v>0</v>
      </c>
      <c r="L98" s="603">
        <f t="array" aca="1" ref="L98" ca="1">SUM(G32:G39*Produção!$G$8:$G$15)</f>
        <v>0</v>
      </c>
      <c r="M98" s="603">
        <f t="array" aca="1" ref="M98" ca="1">SUM(H32:H39*Produção!$G$8:$G$15)</f>
        <v>0</v>
      </c>
      <c r="N98" s="603">
        <f t="array" aca="1" ref="N98" ca="1">SUM(I32:I39*Produção!$G$8:$G$15)</f>
        <v>0</v>
      </c>
      <c r="O98" s="603">
        <f t="array" aca="1" ref="O98" ca="1">SUM(J32:J39*Produção!$G$8:$G$15)</f>
        <v>0</v>
      </c>
      <c r="P98" s="603">
        <f t="array" aca="1" ref="P98" ca="1">SUM(K32:K39*Produção!$G$8:$G$15)</f>
        <v>0</v>
      </c>
      <c r="Q98" s="603">
        <f t="array" aca="1" ref="Q98" ca="1">SUM(L32:L39*Produção!$G$8:$G$15)</f>
        <v>0</v>
      </c>
      <c r="R98" s="603">
        <f t="array" aca="1" ref="R98" ca="1">SUM(M32:M39*Produção!$G$8:$G$15)</f>
        <v>0</v>
      </c>
      <c r="S98" s="1992">
        <f t="array" aca="1" ref="S98:S103" ca="1">'Distr CV 2'!G98:G103</f>
        <v>0</v>
      </c>
      <c r="T98" s="1992">
        <f ca="1"/>
        <v>0</v>
      </c>
      <c r="U98" s="1992">
        <f ca="1"/>
        <v>0</v>
      </c>
      <c r="V98" s="1992">
        <f ca="1"/>
        <v>0</v>
      </c>
      <c r="W98" s="1992">
        <f ca="1"/>
        <v>0</v>
      </c>
      <c r="X98" s="1992">
        <f ca="1"/>
        <v>0</v>
      </c>
      <c r="Y98" s="2010">
        <f ca="1"/>
        <v>0</v>
      </c>
    </row>
    <row r="99" spans="1:26" ht="15.75" customHeight="1">
      <c r="A99" s="1995" t="str">
        <f t="shared" si="9"/>
        <v>8 meses antes</v>
      </c>
      <c r="B99" s="1991"/>
      <c r="C99" s="1991"/>
      <c r="D99" s="1991"/>
      <c r="E99" s="1991"/>
      <c r="F99" s="603">
        <f t="array" aca="1" ref="F99" ca="1">SUM(B32:B39*Produção!$F$8:$F$15)</f>
        <v>0</v>
      </c>
      <c r="G99" s="603">
        <f t="array" aca="1" ref="G99" ca="1">SUM(C32:C39*Produção!$F$8:$F$15)</f>
        <v>0</v>
      </c>
      <c r="H99" s="603">
        <f t="array" aca="1" ref="H99" ca="1">SUM(D32:D39*Produção!$F$8:$F$15)</f>
        <v>0</v>
      </c>
      <c r="I99" s="603">
        <f t="array" aca="1" ref="I99" ca="1">SUM(E32:E39*Produção!$F$8:$F$15)</f>
        <v>0</v>
      </c>
      <c r="J99" s="603">
        <f t="array" aca="1" ref="J99" ca="1">SUM(F32:F39*Produção!$F$8:$F$15)</f>
        <v>0</v>
      </c>
      <c r="K99" s="603">
        <f t="array" aca="1" ref="K99" ca="1">SUM(G32:G39*Produção!$F$8:$F$15)</f>
        <v>0</v>
      </c>
      <c r="L99" s="603">
        <f t="array" aca="1" ref="L99" ca="1">SUM(H32:H39*Produção!$F$8:$F$15)</f>
        <v>0</v>
      </c>
      <c r="M99" s="603">
        <f t="array" aca="1" ref="M99" ca="1">SUM(I32:I39*Produção!$F$8:$F$15)</f>
        <v>0</v>
      </c>
      <c r="N99" s="603">
        <f t="array" aca="1" ref="N99" ca="1">SUM(J32:J39*Produção!$F$8:$F$15)</f>
        <v>0</v>
      </c>
      <c r="O99" s="603">
        <f t="array" aca="1" ref="O99" ca="1">SUM(K32:K39*Produção!$F$8:$F$15)</f>
        <v>0</v>
      </c>
      <c r="P99" s="603">
        <f t="array" aca="1" ref="P99" ca="1">SUM(L32:L39*Produção!$F$8:$F$15)</f>
        <v>0</v>
      </c>
      <c r="Q99" s="603">
        <f t="array" aca="1" ref="Q99" ca="1">SUM(M32:M39*Produção!$F$8:$F$15)</f>
        <v>0</v>
      </c>
      <c r="R99" s="1992">
        <f t="array" aca="1" ref="R99:R103" ca="1">'Distr CV 2'!F99:F103</f>
        <v>0</v>
      </c>
      <c r="S99" s="1992">
        <f ca="1"/>
        <v>0</v>
      </c>
      <c r="T99" s="1992">
        <f ca="1"/>
        <v>0</v>
      </c>
      <c r="U99" s="1992">
        <f ca="1"/>
        <v>0</v>
      </c>
      <c r="V99" s="1992">
        <f ca="1"/>
        <v>0</v>
      </c>
      <c r="W99" s="1992">
        <f ca="1"/>
        <v>0</v>
      </c>
      <c r="X99" s="1992">
        <f ca="1"/>
        <v>0</v>
      </c>
      <c r="Y99" s="2010">
        <f ca="1"/>
        <v>0</v>
      </c>
    </row>
    <row r="100" spans="1:26" ht="15.75" customHeight="1">
      <c r="A100" s="1995" t="str">
        <f t="shared" si="9"/>
        <v>9 meses antes</v>
      </c>
      <c r="B100" s="1991"/>
      <c r="C100" s="1991"/>
      <c r="D100" s="1991"/>
      <c r="E100" s="603">
        <f t="array" aca="1" ref="E100" ca="1">SUM(B32:B39*Produção!$E$8:$E$15)</f>
        <v>0</v>
      </c>
      <c r="F100" s="603">
        <f t="array" aca="1" ref="F100" ca="1">SUM(C32:C39*Produção!$E$8:$E$15)</f>
        <v>0</v>
      </c>
      <c r="G100" s="603">
        <f t="array" aca="1" ref="G100" ca="1">SUM(D32:D39*Produção!$E$8:$E$15)</f>
        <v>0</v>
      </c>
      <c r="H100" s="603">
        <f t="array" aca="1" ref="H100" ca="1">SUM(E32:E39*Produção!$E$8:$E$15)</f>
        <v>0</v>
      </c>
      <c r="I100" s="603">
        <f t="array" aca="1" ref="I100" ca="1">SUM(F32:F39*Produção!$E$8:$E$15)</f>
        <v>0</v>
      </c>
      <c r="J100" s="603">
        <f t="array" aca="1" ref="J100" ca="1">SUM(G32:G39*Produção!$E$8:$E$15)</f>
        <v>0</v>
      </c>
      <c r="K100" s="603">
        <f t="array" aca="1" ref="K100" ca="1">SUM(H32:H39*Produção!$E$8:$E$15)</f>
        <v>0</v>
      </c>
      <c r="L100" s="603">
        <f t="array" aca="1" ref="L100" ca="1">SUM(I32:I39*Produção!$E$8:$E$15)</f>
        <v>0</v>
      </c>
      <c r="M100" s="603">
        <f t="array" aca="1" ref="M100" ca="1">SUM(J32:J39*Produção!$E$8:$E$15)</f>
        <v>0</v>
      </c>
      <c r="N100" s="603">
        <f t="array" aca="1" ref="N100" ca="1">SUM(K32:K39*Produção!$E$8:$E$15)</f>
        <v>0</v>
      </c>
      <c r="O100" s="603">
        <f t="array" aca="1" ref="O100" ca="1">SUM(L32:L39*Produção!$E$8:$E$15)</f>
        <v>0</v>
      </c>
      <c r="P100" s="603">
        <f t="array" aca="1" ref="P100" ca="1">SUM(M32:M39*Produção!$E$8:$E$15)</f>
        <v>0</v>
      </c>
      <c r="Q100" s="1992">
        <f t="array" aca="1" ref="Q100:Q103" ca="1">'Distr CV 2'!E100:E103</f>
        <v>0</v>
      </c>
      <c r="R100" s="1992">
        <f ca="1"/>
        <v>0</v>
      </c>
      <c r="S100" s="1992">
        <f ca="1"/>
        <v>0</v>
      </c>
      <c r="T100" s="1992">
        <f ca="1"/>
        <v>0</v>
      </c>
      <c r="U100" s="1992">
        <f ca="1"/>
        <v>0</v>
      </c>
      <c r="V100" s="1992">
        <f ca="1"/>
        <v>0</v>
      </c>
      <c r="W100" s="1992">
        <f ca="1"/>
        <v>0</v>
      </c>
      <c r="X100" s="1992">
        <f ca="1"/>
        <v>0</v>
      </c>
      <c r="Y100" s="2010">
        <f ca="1"/>
        <v>0</v>
      </c>
    </row>
    <row r="101" spans="1:26" ht="15.75" customHeight="1">
      <c r="A101" s="1995" t="str">
        <f t="shared" si="9"/>
        <v>10 meses antes</v>
      </c>
      <c r="B101" s="1991"/>
      <c r="C101" s="1991"/>
      <c r="D101" s="602">
        <f t="array" aca="1" ref="D101" ca="1">SUM(B32:B39*Produção!$D$8:$D$15)</f>
        <v>0</v>
      </c>
      <c r="E101" s="602">
        <f t="array" aca="1" ref="E101" ca="1">SUM(C32:C39*Produção!$D$8:$D$15)</f>
        <v>0</v>
      </c>
      <c r="F101" s="602">
        <f t="array" aca="1" ref="F101" ca="1">SUM(D32:D39*Produção!$D$8:$D$15)</f>
        <v>0</v>
      </c>
      <c r="G101" s="602">
        <f t="array" aca="1" ref="G101" ca="1">SUM(E32:E39*Produção!$D$8:$D$15)</f>
        <v>0</v>
      </c>
      <c r="H101" s="602">
        <f t="array" aca="1" ref="H101" ca="1">SUM(F32:F39*Produção!$D$8:$D$15)</f>
        <v>0</v>
      </c>
      <c r="I101" s="602">
        <f t="array" aca="1" ref="I101" ca="1">SUM(G32:G39*Produção!$D$8:$D$15)</f>
        <v>0</v>
      </c>
      <c r="J101" s="602">
        <f t="array" aca="1" ref="J101" ca="1">SUM(H32:H39*Produção!$D$8:$D$15)</f>
        <v>0</v>
      </c>
      <c r="K101" s="602">
        <f t="array" aca="1" ref="K101" ca="1">SUM(I32:I39*Produção!$D$8:$D$15)</f>
        <v>0</v>
      </c>
      <c r="L101" s="602">
        <f t="array" aca="1" ref="L101" ca="1">SUM(J32:J39*Produção!$D$8:$D$15)</f>
        <v>0</v>
      </c>
      <c r="M101" s="602">
        <f t="array" aca="1" ref="M101" ca="1">SUM(K32:K39*Produção!$D$8:$D$15)</f>
        <v>0</v>
      </c>
      <c r="N101" s="602">
        <f t="array" aca="1" ref="N101" ca="1">SUM(L32:L39*Produção!$D$8:$D$15)</f>
        <v>0</v>
      </c>
      <c r="O101" s="602">
        <f t="array" aca="1" ref="O101" ca="1">SUM(M32:M39*Produção!$D$8:$D$15)</f>
        <v>0</v>
      </c>
      <c r="P101" s="1992">
        <f t="array" aca="1" ref="P101:P103" ca="1">'Distr CV 2'!D101:D103</f>
        <v>0</v>
      </c>
      <c r="Q101" s="1992">
        <f ca="1"/>
        <v>0</v>
      </c>
      <c r="R101" s="1992">
        <f ca="1"/>
        <v>0</v>
      </c>
      <c r="S101" s="1992">
        <f ca="1"/>
        <v>0</v>
      </c>
      <c r="T101" s="1992">
        <f ca="1"/>
        <v>0</v>
      </c>
      <c r="U101" s="1992">
        <f ca="1"/>
        <v>0</v>
      </c>
      <c r="V101" s="1992">
        <f ca="1"/>
        <v>0</v>
      </c>
      <c r="W101" s="1992">
        <f ca="1"/>
        <v>0</v>
      </c>
      <c r="X101" s="1992">
        <f ca="1"/>
        <v>0</v>
      </c>
      <c r="Y101" s="2010">
        <f ca="1"/>
        <v>0</v>
      </c>
    </row>
    <row r="102" spans="1:26" ht="15.75" customHeight="1">
      <c r="A102" s="1995" t="str">
        <f t="shared" si="9"/>
        <v>11 meses antes</v>
      </c>
      <c r="B102" s="1991"/>
      <c r="C102" s="603">
        <f t="array" aca="1" ref="C102" ca="1">SUM(B32:B39*Produção!$C$8:$C$15)</f>
        <v>0</v>
      </c>
      <c r="D102" s="603">
        <f t="array" aca="1" ref="D102" ca="1">SUM(C32:C39*Produção!$C$8:$C$15)</f>
        <v>0</v>
      </c>
      <c r="E102" s="603">
        <f t="array" aca="1" ref="E102" ca="1">SUM(D32:D39*Produção!$C$8:$C$15)</f>
        <v>0</v>
      </c>
      <c r="F102" s="603">
        <f t="array" aca="1" ref="F102" ca="1">SUM(E32:E39*Produção!$C$8:$C$15)</f>
        <v>0</v>
      </c>
      <c r="G102" s="603">
        <f t="array" aca="1" ref="G102" ca="1">SUM(F32:F39*Produção!$C$8:$C$15)</f>
        <v>0</v>
      </c>
      <c r="H102" s="603">
        <f t="array" aca="1" ref="H102" ca="1">SUM(G32:G39*Produção!$C$8:$C$15)</f>
        <v>0</v>
      </c>
      <c r="I102" s="603">
        <f t="array" aca="1" ref="I102" ca="1">SUM(H32:H39*Produção!$C$8:$C$15)</f>
        <v>0</v>
      </c>
      <c r="J102" s="603">
        <f t="array" aca="1" ref="J102" ca="1">SUM(I32:I39*Produção!$C$8:$C$15)</f>
        <v>0</v>
      </c>
      <c r="K102" s="603">
        <f t="array" aca="1" ref="K102" ca="1">SUM(J32:J39*Produção!$C$8:$C$15)</f>
        <v>0</v>
      </c>
      <c r="L102" s="603">
        <f t="array" aca="1" ref="L102" ca="1">SUM(K32:K39*Produção!$C$8:$C$15)</f>
        <v>0</v>
      </c>
      <c r="M102" s="603">
        <f t="array" aca="1" ref="M102" ca="1">SUM(L32:L39*Produção!$C$8:$C$15)</f>
        <v>0</v>
      </c>
      <c r="N102" s="603">
        <f t="array" aca="1" ref="N102" ca="1">SUM(M32:M39*Produção!$C$8:$C$15)</f>
        <v>0</v>
      </c>
      <c r="O102" s="1992">
        <f ca="1">'Distr CV 2'!C102</f>
        <v>0</v>
      </c>
      <c r="P102" s="1992">
        <f ca="1"/>
        <v>0</v>
      </c>
      <c r="Q102" s="1992">
        <f ca="1"/>
        <v>0</v>
      </c>
      <c r="R102" s="1992">
        <f ca="1"/>
        <v>0</v>
      </c>
      <c r="S102" s="1992">
        <f ca="1"/>
        <v>0</v>
      </c>
      <c r="T102" s="1992">
        <f ca="1"/>
        <v>0</v>
      </c>
      <c r="U102" s="1992">
        <f ca="1"/>
        <v>0</v>
      </c>
      <c r="V102" s="1992">
        <f ca="1"/>
        <v>0</v>
      </c>
      <c r="W102" s="1992">
        <f ca="1"/>
        <v>0</v>
      </c>
      <c r="X102" s="1992">
        <f ca="1"/>
        <v>0</v>
      </c>
      <c r="Y102" s="2010">
        <f ca="1"/>
        <v>0</v>
      </c>
    </row>
    <row r="103" spans="1:26" ht="15.75" customHeight="1" thickBot="1">
      <c r="A103" s="1995" t="str">
        <f t="shared" si="9"/>
        <v>12 meses antes</v>
      </c>
      <c r="B103" s="603">
        <f t="array" aca="1" ref="B103" ca="1">SUM(B32:B39*Produção!$B$8:$B$15)</f>
        <v>0</v>
      </c>
      <c r="C103" s="603">
        <f t="array" aca="1" ref="C103" ca="1">SUM(C32:C39*Produção!$B$8:$B$15)</f>
        <v>0</v>
      </c>
      <c r="D103" s="603">
        <f t="array" aca="1" ref="D103" ca="1">SUM(D32:D39*Produção!$B$8:$B$15)</f>
        <v>0</v>
      </c>
      <c r="E103" s="603">
        <f t="array" aca="1" ref="E103" ca="1">SUM(E32:E39*Produção!$B$8:$B$15)</f>
        <v>0</v>
      </c>
      <c r="F103" s="603">
        <f t="array" aca="1" ref="F103" ca="1">SUM(F32:F39*Produção!$B$8:$B$15)</f>
        <v>0</v>
      </c>
      <c r="G103" s="603">
        <f t="array" aca="1" ref="G103" ca="1">SUM(G32:G39*Produção!$B$8:$B$15)</f>
        <v>0</v>
      </c>
      <c r="H103" s="603">
        <f t="array" aca="1" ref="H103" ca="1">SUM(H32:H39*Produção!$B$8:$B$15)</f>
        <v>0</v>
      </c>
      <c r="I103" s="603">
        <f t="array" aca="1" ref="I103" ca="1">SUM(I32:I39*Produção!$B$8:$B$15)</f>
        <v>0</v>
      </c>
      <c r="J103" s="603">
        <f t="array" aca="1" ref="J103" ca="1">SUM(J32:J39*Produção!$B$8:$B$15)</f>
        <v>0</v>
      </c>
      <c r="K103" s="603">
        <f t="array" aca="1" ref="K103" ca="1">SUM(K32:K39*Produção!$B$8:$B$15)</f>
        <v>0</v>
      </c>
      <c r="L103" s="603">
        <f t="array" aca="1" ref="L103" ca="1">SUM(L32:L39*Produção!$B$8:$B$15)</f>
        <v>0</v>
      </c>
      <c r="M103" s="603">
        <f t="array" aca="1" ref="M103" ca="1">SUM(M32:M39*Produção!$B$8:$B$15)</f>
        <v>0</v>
      </c>
      <c r="N103" s="1992">
        <f ca="1">'Distr CV 2'!B103</f>
        <v>0</v>
      </c>
      <c r="O103" s="1992">
        <f ca="1">'Distr CV 2'!C103</f>
        <v>0</v>
      </c>
      <c r="P103" s="1992">
        <f ca="1"/>
        <v>0</v>
      </c>
      <c r="Q103" s="1992">
        <f ca="1"/>
        <v>0</v>
      </c>
      <c r="R103" s="1992">
        <f ca="1"/>
        <v>0</v>
      </c>
      <c r="S103" s="1992">
        <f ca="1"/>
        <v>0</v>
      </c>
      <c r="T103" s="1992">
        <f ca="1"/>
        <v>0</v>
      </c>
      <c r="U103" s="1992">
        <f ca="1"/>
        <v>0</v>
      </c>
      <c r="V103" s="1992">
        <f ca="1"/>
        <v>0</v>
      </c>
      <c r="W103" s="1992">
        <f ca="1"/>
        <v>0</v>
      </c>
      <c r="X103" s="1992">
        <f ca="1"/>
        <v>0</v>
      </c>
      <c r="Y103" s="2010">
        <f ca="1"/>
        <v>0</v>
      </c>
    </row>
    <row r="104" spans="1:26" ht="15.75" customHeight="1" thickBot="1">
      <c r="A104" s="105" t="str">
        <f>A$28</f>
        <v>Totais</v>
      </c>
      <c r="B104" s="607">
        <f t="shared" ref="B104:Y104" ca="1" si="10">SUM(B91:B103)</f>
        <v>0</v>
      </c>
      <c r="C104" s="607">
        <f t="shared" ca="1" si="10"/>
        <v>0</v>
      </c>
      <c r="D104" s="607">
        <f t="shared" ca="1" si="10"/>
        <v>0</v>
      </c>
      <c r="E104" s="607">
        <f t="shared" ca="1" si="10"/>
        <v>0</v>
      </c>
      <c r="F104" s="607">
        <f t="shared" ca="1" si="10"/>
        <v>0</v>
      </c>
      <c r="G104" s="607">
        <f t="shared" ca="1" si="10"/>
        <v>0</v>
      </c>
      <c r="H104" s="607">
        <f t="shared" ca="1" si="10"/>
        <v>0</v>
      </c>
      <c r="I104" s="607">
        <f t="shared" ca="1" si="10"/>
        <v>0</v>
      </c>
      <c r="J104" s="607">
        <f t="shared" ca="1" si="10"/>
        <v>0</v>
      </c>
      <c r="K104" s="607">
        <f t="shared" ca="1" si="10"/>
        <v>0</v>
      </c>
      <c r="L104" s="607">
        <f t="shared" ca="1" si="10"/>
        <v>0</v>
      </c>
      <c r="M104" s="607">
        <f t="shared" ca="1" si="10"/>
        <v>0</v>
      </c>
      <c r="N104" s="607">
        <f t="shared" ca="1" si="10"/>
        <v>30.282000000000004</v>
      </c>
      <c r="O104" s="607">
        <f t="shared" ca="1" si="10"/>
        <v>30.282000000000004</v>
      </c>
      <c r="P104" s="607">
        <f t="shared" ca="1" si="10"/>
        <v>30.282000000000004</v>
      </c>
      <c r="Q104" s="607">
        <f t="shared" ca="1" si="10"/>
        <v>30.282000000000004</v>
      </c>
      <c r="R104" s="607">
        <f t="shared" ca="1" si="10"/>
        <v>30.282000000000004</v>
      </c>
      <c r="S104" s="607">
        <f t="shared" ca="1" si="10"/>
        <v>30.282000000000004</v>
      </c>
      <c r="T104" s="607">
        <f t="shared" ca="1" si="10"/>
        <v>30.282000000000004</v>
      </c>
      <c r="U104" s="607">
        <f t="shared" ca="1" si="10"/>
        <v>30.282000000000004</v>
      </c>
      <c r="V104" s="607">
        <f t="shared" ca="1" si="10"/>
        <v>30.282000000000004</v>
      </c>
      <c r="W104" s="607">
        <f t="shared" ca="1" si="10"/>
        <v>30.282000000000004</v>
      </c>
      <c r="X104" s="607">
        <f t="shared" ca="1" si="10"/>
        <v>30.282000000000004</v>
      </c>
      <c r="Y104" s="2008">
        <f t="shared" ca="1" si="10"/>
        <v>30.282000000000004</v>
      </c>
    </row>
    <row r="106" spans="1:26">
      <c r="A106" s="239" t="str">
        <f>'Dados Básicos'!A28&amp;" del pendiente anterior"</f>
        <v>IVA del pendiente anterior</v>
      </c>
      <c r="B106" s="62">
        <f ca="1">SUM(B104:M104)</f>
        <v>0</v>
      </c>
    </row>
    <row r="108" spans="1:26">
      <c r="F108" s="62" t="str">
        <f>'Distr CV 0'!F108</f>
        <v>(PARA PODERMOS CALCULAR OS PAGAMENTOS NOS MESES APROPRIADOS)</v>
      </c>
      <c r="K108" s="62" t="str">
        <f>'Distr CV 0'!K108</f>
        <v>Totais custos / compras para a produção do producto 1 pelos meses nos que se produzir os custos</v>
      </c>
    </row>
    <row r="109" spans="1:26" ht="18.75" thickBot="1">
      <c r="A109" s="1993" t="str">
        <f>'Distr CV 0'!A109</f>
        <v>Compras / custos de produção por meses de produto 1</v>
      </c>
      <c r="I109" s="1993" t="str">
        <f>I$44</f>
        <v>IVA NÃO incluido</v>
      </c>
      <c r="K109" s="2005">
        <f>Parametros!$F$24</f>
        <v>0.21</v>
      </c>
    </row>
    <row r="110" spans="1:26" s="456" customFormat="1" ht="30" customHeight="1" thickBot="1">
      <c r="A110" s="457" t="str">
        <f>'Distr CV 0'!A110</f>
        <v>mes de compra / custo</v>
      </c>
      <c r="B110" s="2011" t="str">
        <f t="array" ref="B110:Y110">B$71:Y$71</f>
        <v>janeiro 
2026</v>
      </c>
      <c r="C110" s="2011" t="str">
        <v>fevereiro 
2026</v>
      </c>
      <c r="D110" s="2011" t="str">
        <v>março 
2026</v>
      </c>
      <c r="E110" s="2011" t="str">
        <v>abril 
2026</v>
      </c>
      <c r="F110" s="2011" t="str">
        <v>maio 
2026</v>
      </c>
      <c r="G110" s="2011" t="str">
        <v>junho 
2026</v>
      </c>
      <c r="H110" s="2011" t="str">
        <v>julho 
2026</v>
      </c>
      <c r="I110" s="2011" t="str">
        <v>agosto 
2026</v>
      </c>
      <c r="J110" s="2011" t="str">
        <v>setembro 
2026</v>
      </c>
      <c r="K110" s="2011" t="str">
        <v>outubro 
2026</v>
      </c>
      <c r="L110" s="2011" t="str">
        <v>novembro 
2026</v>
      </c>
      <c r="M110" s="2011" t="str">
        <v>dezembro 
2026</v>
      </c>
      <c r="N110" s="2734" t="str">
        <v>janeiro 
2027</v>
      </c>
      <c r="O110" s="2735" t="str">
        <v>fevereiro 
2027</v>
      </c>
      <c r="P110" s="2735" t="str">
        <v>março 
2027</v>
      </c>
      <c r="Q110" s="2735" t="str">
        <v>abril 
2027</v>
      </c>
      <c r="R110" s="2735" t="str">
        <v>maio 
2027</v>
      </c>
      <c r="S110" s="2735" t="str">
        <v>junho 
2027</v>
      </c>
      <c r="T110" s="2735" t="str">
        <v>julho 
2027</v>
      </c>
      <c r="U110" s="2735" t="str">
        <v>agosto 
2027</v>
      </c>
      <c r="V110" s="2735" t="str">
        <v>setembro 
2027</v>
      </c>
      <c r="W110" s="2735" t="str">
        <v>outubro 
2027</v>
      </c>
      <c r="X110" s="2735" t="str">
        <v>novembro 
2027</v>
      </c>
      <c r="Y110" s="2736" t="str">
        <v>dezembro 
2027</v>
      </c>
      <c r="Z110" s="62"/>
    </row>
    <row r="111" spans="1:26">
      <c r="A111" s="1994" t="str">
        <f>A$72</f>
        <v>mismo mes</v>
      </c>
      <c r="B111" s="1991"/>
      <c r="C111" s="1991"/>
      <c r="D111" s="1991"/>
      <c r="E111" s="1991"/>
      <c r="F111" s="1991"/>
      <c r="G111" s="1991"/>
      <c r="H111" s="1991"/>
      <c r="I111" s="1991"/>
      <c r="J111" s="1991"/>
      <c r="K111" s="1991"/>
      <c r="L111" s="1991"/>
      <c r="M111" s="1991"/>
      <c r="N111" s="603">
        <f t="array" aca="1" ref="N111:Y111" ca="1">B$20:M20*Produção!$N$8</f>
        <v>144.20000000000002</v>
      </c>
      <c r="O111" s="603">
        <f ca="1"/>
        <v>144.20000000000002</v>
      </c>
      <c r="P111" s="603">
        <f ca="1"/>
        <v>144.20000000000002</v>
      </c>
      <c r="Q111" s="603">
        <f ca="1"/>
        <v>144.20000000000002</v>
      </c>
      <c r="R111" s="603">
        <f ca="1"/>
        <v>144.20000000000002</v>
      </c>
      <c r="S111" s="603">
        <f ca="1"/>
        <v>144.20000000000002</v>
      </c>
      <c r="T111" s="603">
        <f ca="1"/>
        <v>144.20000000000002</v>
      </c>
      <c r="U111" s="603">
        <f ca="1"/>
        <v>144.20000000000002</v>
      </c>
      <c r="V111" s="603">
        <f ca="1"/>
        <v>144.20000000000002</v>
      </c>
      <c r="W111" s="603">
        <f ca="1"/>
        <v>144.20000000000002</v>
      </c>
      <c r="X111" s="603">
        <f ca="1"/>
        <v>144.20000000000002</v>
      </c>
      <c r="Y111" s="2006">
        <f ca="1"/>
        <v>144.20000000000002</v>
      </c>
    </row>
    <row r="112" spans="1:26">
      <c r="A112" s="1995" t="str">
        <f>A$73</f>
        <v>1 mes antes</v>
      </c>
      <c r="B112" s="1991"/>
      <c r="C112" s="1991"/>
      <c r="D112" s="1991"/>
      <c r="E112" s="1991"/>
      <c r="F112" s="1991"/>
      <c r="G112" s="1991"/>
      <c r="H112" s="1991"/>
      <c r="I112" s="1991"/>
      <c r="J112" s="1991"/>
      <c r="K112" s="1991"/>
      <c r="L112" s="1991"/>
      <c r="M112" s="603">
        <f t="array" aca="1" ref="M112:X112" ca="1">B$20:M20*Produção!$M$8</f>
        <v>0</v>
      </c>
      <c r="N112" s="603">
        <f ca="1"/>
        <v>0</v>
      </c>
      <c r="O112" s="603">
        <f ca="1"/>
        <v>0</v>
      </c>
      <c r="P112" s="603">
        <f ca="1"/>
        <v>0</v>
      </c>
      <c r="Q112" s="603">
        <f ca="1"/>
        <v>0</v>
      </c>
      <c r="R112" s="603">
        <f ca="1"/>
        <v>0</v>
      </c>
      <c r="S112" s="603">
        <f ca="1"/>
        <v>0</v>
      </c>
      <c r="T112" s="603">
        <f ca="1"/>
        <v>0</v>
      </c>
      <c r="U112" s="603">
        <f ca="1"/>
        <v>0</v>
      </c>
      <c r="V112" s="603">
        <f ca="1"/>
        <v>0</v>
      </c>
      <c r="W112" s="603">
        <f ca="1"/>
        <v>0</v>
      </c>
      <c r="X112" s="603">
        <f ca="1"/>
        <v>0</v>
      </c>
      <c r="Y112" s="2007">
        <f t="array" aca="1" ref="Y112:Y123" ca="1">'Distr CV 2'!M112:M123</f>
        <v>0</v>
      </c>
    </row>
    <row r="113" spans="1:25">
      <c r="A113" s="1995" t="str">
        <f>A$74</f>
        <v>2 meses antes</v>
      </c>
      <c r="B113" s="1991"/>
      <c r="C113" s="1991"/>
      <c r="D113" s="1991"/>
      <c r="E113" s="1991"/>
      <c r="F113" s="1991"/>
      <c r="G113" s="1991"/>
      <c r="H113" s="1991"/>
      <c r="I113" s="1991"/>
      <c r="J113" s="1991"/>
      <c r="K113" s="1991"/>
      <c r="L113" s="603">
        <f t="array" aca="1" ref="L113:W113" ca="1">B$20:M20*Produção!$L$8</f>
        <v>0</v>
      </c>
      <c r="M113" s="603">
        <f ca="1"/>
        <v>0</v>
      </c>
      <c r="N113" s="603">
        <f ca="1"/>
        <v>0</v>
      </c>
      <c r="O113" s="603">
        <f ca="1"/>
        <v>0</v>
      </c>
      <c r="P113" s="603">
        <f ca="1"/>
        <v>0</v>
      </c>
      <c r="Q113" s="603">
        <f ca="1"/>
        <v>0</v>
      </c>
      <c r="R113" s="603">
        <f ca="1"/>
        <v>0</v>
      </c>
      <c r="S113" s="603">
        <f ca="1"/>
        <v>0</v>
      </c>
      <c r="T113" s="603">
        <f ca="1"/>
        <v>0</v>
      </c>
      <c r="U113" s="603">
        <f ca="1"/>
        <v>0</v>
      </c>
      <c r="V113" s="603">
        <f ca="1"/>
        <v>0</v>
      </c>
      <c r="W113" s="603">
        <f ca="1"/>
        <v>0</v>
      </c>
      <c r="X113" s="1988">
        <f t="array" aca="1" ref="X113:X123" ca="1">'Distr CV 2'!L113:L123</f>
        <v>0</v>
      </c>
      <c r="Y113" s="2007">
        <f ca="1"/>
        <v>0</v>
      </c>
    </row>
    <row r="114" spans="1:25">
      <c r="A114" s="1995" t="str">
        <f>A$75</f>
        <v>3 meses antes</v>
      </c>
      <c r="B114" s="1991"/>
      <c r="C114" s="1991"/>
      <c r="D114" s="1991"/>
      <c r="E114" s="1991"/>
      <c r="F114" s="1991"/>
      <c r="G114" s="1991"/>
      <c r="H114" s="1991"/>
      <c r="I114" s="1991"/>
      <c r="J114" s="1991"/>
      <c r="K114" s="603">
        <f t="array" aca="1" ref="K114:V114" ca="1">B$20:M20*Produção!$K$8</f>
        <v>0</v>
      </c>
      <c r="L114" s="603">
        <f ca="1"/>
        <v>0</v>
      </c>
      <c r="M114" s="603">
        <f ca="1"/>
        <v>0</v>
      </c>
      <c r="N114" s="603">
        <f ca="1"/>
        <v>0</v>
      </c>
      <c r="O114" s="603">
        <f ca="1"/>
        <v>0</v>
      </c>
      <c r="P114" s="603">
        <f ca="1"/>
        <v>0</v>
      </c>
      <c r="Q114" s="603">
        <f ca="1"/>
        <v>0</v>
      </c>
      <c r="R114" s="603">
        <f ca="1"/>
        <v>0</v>
      </c>
      <c r="S114" s="603">
        <f ca="1"/>
        <v>0</v>
      </c>
      <c r="T114" s="603">
        <f ca="1"/>
        <v>0</v>
      </c>
      <c r="U114" s="603">
        <f ca="1"/>
        <v>0</v>
      </c>
      <c r="V114" s="603">
        <f ca="1"/>
        <v>0</v>
      </c>
      <c r="W114" s="1988">
        <f t="array" aca="1" ref="W114:W123" ca="1">'Distr CV 2'!K114:K123</f>
        <v>0</v>
      </c>
      <c r="X114" s="1988">
        <f ca="1"/>
        <v>0</v>
      </c>
      <c r="Y114" s="2007">
        <f ca="1"/>
        <v>0</v>
      </c>
    </row>
    <row r="115" spans="1:25">
      <c r="A115" s="1995" t="str">
        <f>A$76</f>
        <v>4 meses antes</v>
      </c>
      <c r="B115" s="1991"/>
      <c r="C115" s="1991"/>
      <c r="D115" s="1991"/>
      <c r="E115" s="1991"/>
      <c r="F115" s="1991"/>
      <c r="G115" s="1991"/>
      <c r="H115" s="1991"/>
      <c r="I115" s="1991"/>
      <c r="J115" s="603">
        <f t="array" aca="1" ref="J115:U115" ca="1">B$20:M20*Produção!$J$8</f>
        <v>0</v>
      </c>
      <c r="K115" s="603">
        <f ca="1"/>
        <v>0</v>
      </c>
      <c r="L115" s="603">
        <f ca="1"/>
        <v>0</v>
      </c>
      <c r="M115" s="603">
        <f ca="1"/>
        <v>0</v>
      </c>
      <c r="N115" s="603">
        <f ca="1"/>
        <v>0</v>
      </c>
      <c r="O115" s="603">
        <f ca="1"/>
        <v>0</v>
      </c>
      <c r="P115" s="603">
        <f ca="1"/>
        <v>0</v>
      </c>
      <c r="Q115" s="603">
        <f ca="1"/>
        <v>0</v>
      </c>
      <c r="R115" s="603">
        <f ca="1"/>
        <v>0</v>
      </c>
      <c r="S115" s="603">
        <f ca="1"/>
        <v>0</v>
      </c>
      <c r="T115" s="603">
        <f ca="1"/>
        <v>0</v>
      </c>
      <c r="U115" s="603">
        <f ca="1"/>
        <v>0</v>
      </c>
      <c r="V115" s="1988">
        <f t="array" aca="1" ref="V115:V123" ca="1">'Distr CV 2'!J115:J123</f>
        <v>0</v>
      </c>
      <c r="W115" s="1988">
        <f ca="1"/>
        <v>0</v>
      </c>
      <c r="X115" s="1988">
        <f ca="1"/>
        <v>0</v>
      </c>
      <c r="Y115" s="2007">
        <f ca="1"/>
        <v>0</v>
      </c>
    </row>
    <row r="116" spans="1:25">
      <c r="A116" s="1995" t="str">
        <f>A$77</f>
        <v>5 meses antes</v>
      </c>
      <c r="B116" s="1991"/>
      <c r="C116" s="1991"/>
      <c r="D116" s="1991"/>
      <c r="E116" s="1991"/>
      <c r="F116" s="1991"/>
      <c r="G116" s="1991"/>
      <c r="H116" s="1991"/>
      <c r="I116" s="603">
        <f t="array" aca="1" ref="I116:T116" ca="1">B$20:M20*Produção!$I$8</f>
        <v>0</v>
      </c>
      <c r="J116" s="603">
        <f ca="1"/>
        <v>0</v>
      </c>
      <c r="K116" s="603">
        <f ca="1"/>
        <v>0</v>
      </c>
      <c r="L116" s="603">
        <f ca="1"/>
        <v>0</v>
      </c>
      <c r="M116" s="603">
        <f ca="1"/>
        <v>0</v>
      </c>
      <c r="N116" s="603">
        <f ca="1"/>
        <v>0</v>
      </c>
      <c r="O116" s="603">
        <f ca="1"/>
        <v>0</v>
      </c>
      <c r="P116" s="603">
        <f ca="1"/>
        <v>0</v>
      </c>
      <c r="Q116" s="603">
        <f ca="1"/>
        <v>0</v>
      </c>
      <c r="R116" s="603">
        <f ca="1"/>
        <v>0</v>
      </c>
      <c r="S116" s="603">
        <f ca="1"/>
        <v>0</v>
      </c>
      <c r="T116" s="603">
        <f ca="1"/>
        <v>0</v>
      </c>
      <c r="U116" s="1988">
        <f t="array" aca="1" ref="U116:U123" ca="1">'Distr CV 2'!I116:I123</f>
        <v>0</v>
      </c>
      <c r="V116" s="1988">
        <f ca="1"/>
        <v>0</v>
      </c>
      <c r="W116" s="1988">
        <f ca="1"/>
        <v>0</v>
      </c>
      <c r="X116" s="1988">
        <f ca="1"/>
        <v>0</v>
      </c>
      <c r="Y116" s="2007">
        <f ca="1"/>
        <v>0</v>
      </c>
    </row>
    <row r="117" spans="1:25">
      <c r="A117" s="1995" t="str">
        <f>A$78</f>
        <v>6 meses antes</v>
      </c>
      <c r="B117" s="1991"/>
      <c r="C117" s="1991"/>
      <c r="D117" s="1991"/>
      <c r="E117" s="1991"/>
      <c r="F117" s="1991"/>
      <c r="G117" s="1991"/>
      <c r="H117" s="603">
        <f t="array" aca="1" ref="H117:S117" ca="1">B$20:M20*Produção!$H$8</f>
        <v>0</v>
      </c>
      <c r="I117" s="603">
        <f ca="1"/>
        <v>0</v>
      </c>
      <c r="J117" s="603">
        <f ca="1"/>
        <v>0</v>
      </c>
      <c r="K117" s="603">
        <f ca="1"/>
        <v>0</v>
      </c>
      <c r="L117" s="603">
        <f ca="1"/>
        <v>0</v>
      </c>
      <c r="M117" s="603">
        <f ca="1"/>
        <v>0</v>
      </c>
      <c r="N117" s="603">
        <f ca="1"/>
        <v>0</v>
      </c>
      <c r="O117" s="603">
        <f ca="1"/>
        <v>0</v>
      </c>
      <c r="P117" s="603">
        <f ca="1"/>
        <v>0</v>
      </c>
      <c r="Q117" s="603">
        <f ca="1"/>
        <v>0</v>
      </c>
      <c r="R117" s="603">
        <f ca="1"/>
        <v>0</v>
      </c>
      <c r="S117" s="603">
        <f ca="1"/>
        <v>0</v>
      </c>
      <c r="T117" s="1988">
        <f t="array" aca="1" ref="T117:T123" ca="1">'Distr CV 2'!H117:H123</f>
        <v>0</v>
      </c>
      <c r="U117" s="1988">
        <f ca="1"/>
        <v>0</v>
      </c>
      <c r="V117" s="1988">
        <f ca="1"/>
        <v>0</v>
      </c>
      <c r="W117" s="1988">
        <f ca="1"/>
        <v>0</v>
      </c>
      <c r="X117" s="1988">
        <f ca="1"/>
        <v>0</v>
      </c>
      <c r="Y117" s="2007">
        <f ca="1"/>
        <v>0</v>
      </c>
    </row>
    <row r="118" spans="1:25">
      <c r="A118" s="1995" t="str">
        <f>A$79</f>
        <v>7 meses antes</v>
      </c>
      <c r="B118" s="1991"/>
      <c r="C118" s="1991"/>
      <c r="D118" s="1991"/>
      <c r="E118" s="1991"/>
      <c r="F118" s="1991"/>
      <c r="G118" s="603">
        <f t="array" aca="1" ref="G118:R118" ca="1">B$20:M20*Produção!$G$8</f>
        <v>0</v>
      </c>
      <c r="H118" s="603">
        <f ca="1"/>
        <v>0</v>
      </c>
      <c r="I118" s="603">
        <f ca="1"/>
        <v>0</v>
      </c>
      <c r="J118" s="603">
        <f ca="1"/>
        <v>0</v>
      </c>
      <c r="K118" s="603">
        <f ca="1"/>
        <v>0</v>
      </c>
      <c r="L118" s="603">
        <f ca="1"/>
        <v>0</v>
      </c>
      <c r="M118" s="603">
        <f ca="1"/>
        <v>0</v>
      </c>
      <c r="N118" s="603">
        <f ca="1"/>
        <v>0</v>
      </c>
      <c r="O118" s="603">
        <f ca="1"/>
        <v>0</v>
      </c>
      <c r="P118" s="603">
        <f ca="1"/>
        <v>0</v>
      </c>
      <c r="Q118" s="603">
        <f ca="1"/>
        <v>0</v>
      </c>
      <c r="R118" s="603">
        <f ca="1"/>
        <v>0</v>
      </c>
      <c r="S118" s="1992">
        <f t="array" aca="1" ref="S118:S123" ca="1">'Distr CV 2'!G118:G123</f>
        <v>0</v>
      </c>
      <c r="T118" s="1992">
        <f ca="1"/>
        <v>0</v>
      </c>
      <c r="U118" s="1992">
        <f ca="1"/>
        <v>0</v>
      </c>
      <c r="V118" s="1992">
        <f ca="1"/>
        <v>0</v>
      </c>
      <c r="W118" s="1992">
        <f ca="1"/>
        <v>0</v>
      </c>
      <c r="X118" s="1992">
        <f ca="1"/>
        <v>0</v>
      </c>
      <c r="Y118" s="2010">
        <f ca="1"/>
        <v>0</v>
      </c>
    </row>
    <row r="119" spans="1:25">
      <c r="A119" s="1995" t="str">
        <f>A$80</f>
        <v>8 meses antes</v>
      </c>
      <c r="B119" s="1991"/>
      <c r="C119" s="1991"/>
      <c r="D119" s="1991"/>
      <c r="E119" s="1991"/>
      <c r="F119" s="603">
        <f t="array" aca="1" ref="F119:Q119" ca="1">B$20:M20*Produção!$F$8</f>
        <v>0</v>
      </c>
      <c r="G119" s="603">
        <f ca="1"/>
        <v>0</v>
      </c>
      <c r="H119" s="603">
        <f ca="1"/>
        <v>0</v>
      </c>
      <c r="I119" s="603">
        <f ca="1"/>
        <v>0</v>
      </c>
      <c r="J119" s="603">
        <f ca="1"/>
        <v>0</v>
      </c>
      <c r="K119" s="603">
        <f ca="1"/>
        <v>0</v>
      </c>
      <c r="L119" s="603">
        <f ca="1"/>
        <v>0</v>
      </c>
      <c r="M119" s="603">
        <f ca="1"/>
        <v>0</v>
      </c>
      <c r="N119" s="603">
        <f ca="1"/>
        <v>0</v>
      </c>
      <c r="O119" s="603">
        <f ca="1"/>
        <v>0</v>
      </c>
      <c r="P119" s="603">
        <f ca="1"/>
        <v>0</v>
      </c>
      <c r="Q119" s="603">
        <f ca="1"/>
        <v>0</v>
      </c>
      <c r="R119" s="1992">
        <f t="array" aca="1" ref="R119:R123" ca="1">'Distr CV 2'!F119:F123</f>
        <v>0</v>
      </c>
      <c r="S119" s="1992">
        <f ca="1"/>
        <v>0</v>
      </c>
      <c r="T119" s="1992">
        <f ca="1"/>
        <v>0</v>
      </c>
      <c r="U119" s="1992">
        <f ca="1"/>
        <v>0</v>
      </c>
      <c r="V119" s="1992">
        <f ca="1"/>
        <v>0</v>
      </c>
      <c r="W119" s="1992">
        <f ca="1"/>
        <v>0</v>
      </c>
      <c r="X119" s="1992">
        <f ca="1"/>
        <v>0</v>
      </c>
      <c r="Y119" s="2010">
        <f ca="1"/>
        <v>0</v>
      </c>
    </row>
    <row r="120" spans="1:25">
      <c r="A120" s="1995" t="str">
        <f>A$81</f>
        <v>9 meses antes</v>
      </c>
      <c r="B120" s="1991"/>
      <c r="C120" s="1991"/>
      <c r="D120" s="1991"/>
      <c r="E120" s="603">
        <f t="array" aca="1" ref="E120:P120" ca="1">B$20:M20*Produção!$E$8</f>
        <v>0</v>
      </c>
      <c r="F120" s="603">
        <f ca="1"/>
        <v>0</v>
      </c>
      <c r="G120" s="603">
        <f ca="1"/>
        <v>0</v>
      </c>
      <c r="H120" s="603">
        <f ca="1"/>
        <v>0</v>
      </c>
      <c r="I120" s="603">
        <f ca="1"/>
        <v>0</v>
      </c>
      <c r="J120" s="603">
        <f ca="1"/>
        <v>0</v>
      </c>
      <c r="K120" s="603">
        <f ca="1"/>
        <v>0</v>
      </c>
      <c r="L120" s="603">
        <f ca="1"/>
        <v>0</v>
      </c>
      <c r="M120" s="603">
        <f ca="1"/>
        <v>0</v>
      </c>
      <c r="N120" s="603">
        <f ca="1"/>
        <v>0</v>
      </c>
      <c r="O120" s="603">
        <f ca="1"/>
        <v>0</v>
      </c>
      <c r="P120" s="603">
        <f ca="1"/>
        <v>0</v>
      </c>
      <c r="Q120" s="1992">
        <f t="array" aca="1" ref="Q120:Q123" ca="1">'Distr CV 2'!E120:E123</f>
        <v>0</v>
      </c>
      <c r="R120" s="1992">
        <f ca="1"/>
        <v>0</v>
      </c>
      <c r="S120" s="1992">
        <f ca="1"/>
        <v>0</v>
      </c>
      <c r="T120" s="1992">
        <f ca="1"/>
        <v>0</v>
      </c>
      <c r="U120" s="1992">
        <f ca="1"/>
        <v>0</v>
      </c>
      <c r="V120" s="1992">
        <f ca="1"/>
        <v>0</v>
      </c>
      <c r="W120" s="1992">
        <f ca="1"/>
        <v>0</v>
      </c>
      <c r="X120" s="1992">
        <f ca="1"/>
        <v>0</v>
      </c>
      <c r="Y120" s="2010">
        <f ca="1"/>
        <v>0</v>
      </c>
    </row>
    <row r="121" spans="1:25">
      <c r="A121" s="1995" t="str">
        <f>A$82</f>
        <v>10 meses antes</v>
      </c>
      <c r="B121" s="1991"/>
      <c r="C121" s="1991"/>
      <c r="D121" s="603">
        <f t="array" aca="1" ref="D121:O121" ca="1">B$20:M20*Produção!$D$8</f>
        <v>0</v>
      </c>
      <c r="E121" s="603">
        <f ca="1"/>
        <v>0</v>
      </c>
      <c r="F121" s="603">
        <f ca="1"/>
        <v>0</v>
      </c>
      <c r="G121" s="603">
        <f ca="1"/>
        <v>0</v>
      </c>
      <c r="H121" s="603">
        <f ca="1"/>
        <v>0</v>
      </c>
      <c r="I121" s="603">
        <f ca="1"/>
        <v>0</v>
      </c>
      <c r="J121" s="603">
        <f ca="1"/>
        <v>0</v>
      </c>
      <c r="K121" s="603">
        <f ca="1"/>
        <v>0</v>
      </c>
      <c r="L121" s="603">
        <f ca="1"/>
        <v>0</v>
      </c>
      <c r="M121" s="603">
        <f ca="1"/>
        <v>0</v>
      </c>
      <c r="N121" s="603">
        <f ca="1"/>
        <v>0</v>
      </c>
      <c r="O121" s="603">
        <f ca="1"/>
        <v>0</v>
      </c>
      <c r="P121" s="1992">
        <f t="array" aca="1" ref="P121:P123" ca="1">'Distr CV 2'!D121:D123</f>
        <v>0</v>
      </c>
      <c r="Q121" s="1992">
        <f ca="1"/>
        <v>0</v>
      </c>
      <c r="R121" s="1992">
        <f ca="1"/>
        <v>0</v>
      </c>
      <c r="S121" s="1992">
        <f ca="1"/>
        <v>0</v>
      </c>
      <c r="T121" s="1992">
        <f ca="1"/>
        <v>0</v>
      </c>
      <c r="U121" s="1992">
        <f ca="1"/>
        <v>0</v>
      </c>
      <c r="V121" s="1992">
        <f ca="1"/>
        <v>0</v>
      </c>
      <c r="W121" s="1992">
        <f ca="1"/>
        <v>0</v>
      </c>
      <c r="X121" s="1992">
        <f ca="1"/>
        <v>0</v>
      </c>
      <c r="Y121" s="2010">
        <f ca="1"/>
        <v>0</v>
      </c>
    </row>
    <row r="122" spans="1:25">
      <c r="A122" s="1995" t="str">
        <f>A$83</f>
        <v>11 meses antes</v>
      </c>
      <c r="B122" s="1991"/>
      <c r="C122" s="603">
        <f t="array" aca="1" ref="C122:N122" ca="1">B$20:M20*Produção!$C$8</f>
        <v>0</v>
      </c>
      <c r="D122" s="603">
        <f ca="1"/>
        <v>0</v>
      </c>
      <c r="E122" s="603">
        <f ca="1"/>
        <v>0</v>
      </c>
      <c r="F122" s="603">
        <f ca="1"/>
        <v>0</v>
      </c>
      <c r="G122" s="603">
        <f ca="1"/>
        <v>0</v>
      </c>
      <c r="H122" s="603">
        <f ca="1"/>
        <v>0</v>
      </c>
      <c r="I122" s="603">
        <f ca="1"/>
        <v>0</v>
      </c>
      <c r="J122" s="603">
        <f ca="1"/>
        <v>0</v>
      </c>
      <c r="K122" s="603">
        <f ca="1"/>
        <v>0</v>
      </c>
      <c r="L122" s="603">
        <f ca="1"/>
        <v>0</v>
      </c>
      <c r="M122" s="603">
        <f ca="1"/>
        <v>0</v>
      </c>
      <c r="N122" s="603">
        <f ca="1"/>
        <v>0</v>
      </c>
      <c r="O122" s="1992">
        <f ca="1">'Distr CV 2'!C122</f>
        <v>0</v>
      </c>
      <c r="P122" s="1992">
        <f ca="1"/>
        <v>0</v>
      </c>
      <c r="Q122" s="1992">
        <f ca="1"/>
        <v>0</v>
      </c>
      <c r="R122" s="1992">
        <f ca="1"/>
        <v>0</v>
      </c>
      <c r="S122" s="1992">
        <f ca="1"/>
        <v>0</v>
      </c>
      <c r="T122" s="1992">
        <f ca="1"/>
        <v>0</v>
      </c>
      <c r="U122" s="1992">
        <f ca="1"/>
        <v>0</v>
      </c>
      <c r="V122" s="1992">
        <f ca="1"/>
        <v>0</v>
      </c>
      <c r="W122" s="1992">
        <f ca="1"/>
        <v>0</v>
      </c>
      <c r="X122" s="1992">
        <f ca="1"/>
        <v>0</v>
      </c>
      <c r="Y122" s="2010">
        <f ca="1"/>
        <v>0</v>
      </c>
    </row>
    <row r="123" spans="1:25" ht="13.5" thickBot="1">
      <c r="A123" s="1995" t="str">
        <f>A$84</f>
        <v>12 meses antes</v>
      </c>
      <c r="B123" s="603">
        <f t="array" aca="1" ref="B123:M123" ca="1">B$20:M20*Produção!$B$8</f>
        <v>0</v>
      </c>
      <c r="C123" s="603">
        <f ca="1"/>
        <v>0</v>
      </c>
      <c r="D123" s="603">
        <f ca="1"/>
        <v>0</v>
      </c>
      <c r="E123" s="603">
        <f ca="1"/>
        <v>0</v>
      </c>
      <c r="F123" s="603">
        <f ca="1"/>
        <v>0</v>
      </c>
      <c r="G123" s="603">
        <f ca="1"/>
        <v>0</v>
      </c>
      <c r="H123" s="603">
        <f ca="1"/>
        <v>0</v>
      </c>
      <c r="I123" s="603">
        <f ca="1"/>
        <v>0</v>
      </c>
      <c r="J123" s="603">
        <f ca="1"/>
        <v>0</v>
      </c>
      <c r="K123" s="603">
        <f ca="1"/>
        <v>0</v>
      </c>
      <c r="L123" s="603">
        <f ca="1"/>
        <v>0</v>
      </c>
      <c r="M123" s="603">
        <f ca="1"/>
        <v>0</v>
      </c>
      <c r="N123" s="1992">
        <f ca="1">'Distr CV 2'!B123</f>
        <v>0</v>
      </c>
      <c r="O123" s="1992">
        <f ca="1">'Distr CV 2'!C123</f>
        <v>0</v>
      </c>
      <c r="P123" s="1992">
        <f ca="1"/>
        <v>0</v>
      </c>
      <c r="Q123" s="1992">
        <f ca="1"/>
        <v>0</v>
      </c>
      <c r="R123" s="1992">
        <f ca="1"/>
        <v>0</v>
      </c>
      <c r="S123" s="1992">
        <f ca="1"/>
        <v>0</v>
      </c>
      <c r="T123" s="1992">
        <f ca="1"/>
        <v>0</v>
      </c>
      <c r="U123" s="1992">
        <f ca="1"/>
        <v>0</v>
      </c>
      <c r="V123" s="1992">
        <f ca="1"/>
        <v>0</v>
      </c>
      <c r="W123" s="1992">
        <f ca="1"/>
        <v>0</v>
      </c>
      <c r="X123" s="1992">
        <f ca="1"/>
        <v>0</v>
      </c>
      <c r="Y123" s="2010">
        <f ca="1"/>
        <v>0</v>
      </c>
    </row>
    <row r="124" spans="1:25" ht="15.75" customHeight="1" thickBot="1">
      <c r="A124" s="105" t="str">
        <f>"Totales CV "&amp;A$8</f>
        <v>Totales CV produto 1</v>
      </c>
      <c r="B124" s="607">
        <f t="shared" ref="B124:Y124" ca="1" si="11">SUM(B111:B123)</f>
        <v>0</v>
      </c>
      <c r="C124" s="607">
        <f t="shared" ca="1" si="11"/>
        <v>0</v>
      </c>
      <c r="D124" s="607">
        <f t="shared" ca="1" si="11"/>
        <v>0</v>
      </c>
      <c r="E124" s="607">
        <f t="shared" ca="1" si="11"/>
        <v>0</v>
      </c>
      <c r="F124" s="607">
        <f t="shared" ca="1" si="11"/>
        <v>0</v>
      </c>
      <c r="G124" s="607">
        <f t="shared" ca="1" si="11"/>
        <v>0</v>
      </c>
      <c r="H124" s="607">
        <f t="shared" ca="1" si="11"/>
        <v>0</v>
      </c>
      <c r="I124" s="607">
        <f t="shared" ca="1" si="11"/>
        <v>0</v>
      </c>
      <c r="J124" s="607">
        <f t="shared" ca="1" si="11"/>
        <v>0</v>
      </c>
      <c r="K124" s="607">
        <f t="shared" ca="1" si="11"/>
        <v>0</v>
      </c>
      <c r="L124" s="607">
        <f t="shared" ca="1" si="11"/>
        <v>0</v>
      </c>
      <c r="M124" s="607">
        <f t="shared" ca="1" si="11"/>
        <v>0</v>
      </c>
      <c r="N124" s="607">
        <f t="shared" ca="1" si="11"/>
        <v>144.20000000000002</v>
      </c>
      <c r="O124" s="607">
        <f t="shared" ca="1" si="11"/>
        <v>144.20000000000002</v>
      </c>
      <c r="P124" s="607">
        <f t="shared" ca="1" si="11"/>
        <v>144.20000000000002</v>
      </c>
      <c r="Q124" s="607">
        <f t="shared" ca="1" si="11"/>
        <v>144.20000000000002</v>
      </c>
      <c r="R124" s="607">
        <f t="shared" ca="1" si="11"/>
        <v>144.20000000000002</v>
      </c>
      <c r="S124" s="607">
        <f t="shared" ca="1" si="11"/>
        <v>144.20000000000002</v>
      </c>
      <c r="T124" s="607">
        <f t="shared" ca="1" si="11"/>
        <v>144.20000000000002</v>
      </c>
      <c r="U124" s="607">
        <f t="shared" ca="1" si="11"/>
        <v>144.20000000000002</v>
      </c>
      <c r="V124" s="607">
        <f t="shared" ca="1" si="11"/>
        <v>144.20000000000002</v>
      </c>
      <c r="W124" s="607">
        <f t="shared" ca="1" si="11"/>
        <v>144.20000000000002</v>
      </c>
      <c r="X124" s="607">
        <f t="shared" ca="1" si="11"/>
        <v>144.20000000000002</v>
      </c>
      <c r="Y124" s="2008">
        <f t="shared" ca="1" si="11"/>
        <v>144.20000000000002</v>
      </c>
    </row>
    <row r="125" spans="1:25" ht="15.75" customHeight="1" thickBot="1">
      <c r="A125" s="105" t="str">
        <f>'Dados Básicos'!A28&amp;" sop. CV "&amp;$A$8</f>
        <v>IVA sop. CV produto 1</v>
      </c>
      <c r="B125" s="607">
        <f t="array" aca="1" ref="B125:Y125" ca="1">$K$109*B124:Y124</f>
        <v>0</v>
      </c>
      <c r="C125" s="607">
        <f ca="1"/>
        <v>0</v>
      </c>
      <c r="D125" s="607">
        <f ca="1"/>
        <v>0</v>
      </c>
      <c r="E125" s="607">
        <f ca="1"/>
        <v>0</v>
      </c>
      <c r="F125" s="607">
        <f ca="1"/>
        <v>0</v>
      </c>
      <c r="G125" s="607">
        <f ca="1"/>
        <v>0</v>
      </c>
      <c r="H125" s="607">
        <f ca="1"/>
        <v>0</v>
      </c>
      <c r="I125" s="607">
        <f ca="1"/>
        <v>0</v>
      </c>
      <c r="J125" s="607">
        <f ca="1"/>
        <v>0</v>
      </c>
      <c r="K125" s="607">
        <f ca="1"/>
        <v>0</v>
      </c>
      <c r="L125" s="607">
        <f ca="1"/>
        <v>0</v>
      </c>
      <c r="M125" s="607">
        <f ca="1"/>
        <v>0</v>
      </c>
      <c r="N125" s="607">
        <f ca="1"/>
        <v>30.282000000000004</v>
      </c>
      <c r="O125" s="607">
        <f ca="1"/>
        <v>30.282000000000004</v>
      </c>
      <c r="P125" s="607">
        <f ca="1"/>
        <v>30.282000000000004</v>
      </c>
      <c r="Q125" s="607">
        <f ca="1"/>
        <v>30.282000000000004</v>
      </c>
      <c r="R125" s="607">
        <f ca="1"/>
        <v>30.282000000000004</v>
      </c>
      <c r="S125" s="607">
        <f ca="1"/>
        <v>30.282000000000004</v>
      </c>
      <c r="T125" s="607">
        <f ca="1"/>
        <v>30.282000000000004</v>
      </c>
      <c r="U125" s="607">
        <f ca="1"/>
        <v>30.282000000000004</v>
      </c>
      <c r="V125" s="607">
        <f ca="1"/>
        <v>30.282000000000004</v>
      </c>
      <c r="W125" s="607">
        <f ca="1"/>
        <v>30.282000000000004</v>
      </c>
      <c r="X125" s="607">
        <f ca="1"/>
        <v>30.282000000000004</v>
      </c>
      <c r="Y125" s="2008">
        <f ca="1"/>
        <v>30.282000000000004</v>
      </c>
    </row>
    <row r="127" spans="1:25" ht="18.75" thickBot="1">
      <c r="A127" s="1993" t="str">
        <f>'Distr CV 0'!A127</f>
        <v xml:space="preserve">Compras / custos de producción por meses de </v>
      </c>
      <c r="I127" s="1993" t="str">
        <f>$I$109</f>
        <v>IVA NÃO incluido</v>
      </c>
      <c r="K127" s="2005">
        <f>Parametros!$F$25</f>
        <v>0.21</v>
      </c>
    </row>
    <row r="128" spans="1:25" ht="30" customHeight="1" thickBot="1">
      <c r="A128" s="457" t="str">
        <f>'Distr CV 0'!A128</f>
        <v>mes de compra / custo</v>
      </c>
      <c r="B128" s="2011" t="str">
        <f t="array" ref="B128:Y128">B$71:Y$71</f>
        <v>janeiro 
2026</v>
      </c>
      <c r="C128" s="2011" t="str">
        <v>fevereiro 
2026</v>
      </c>
      <c r="D128" s="2011" t="str">
        <v>março 
2026</v>
      </c>
      <c r="E128" s="2011" t="str">
        <v>abril 
2026</v>
      </c>
      <c r="F128" s="2011" t="str">
        <v>maio 
2026</v>
      </c>
      <c r="G128" s="2011" t="str">
        <v>junho 
2026</v>
      </c>
      <c r="H128" s="2011" t="str">
        <v>julho 
2026</v>
      </c>
      <c r="I128" s="2011" t="str">
        <v>agosto 
2026</v>
      </c>
      <c r="J128" s="2011" t="str">
        <v>setembro 
2026</v>
      </c>
      <c r="K128" s="2011" t="str">
        <v>outubro 
2026</v>
      </c>
      <c r="L128" s="2011" t="str">
        <v>novembro 
2026</v>
      </c>
      <c r="M128" s="2011" t="str">
        <v>dezembro 
2026</v>
      </c>
      <c r="N128" s="2737" t="str">
        <v>janeiro 
2027</v>
      </c>
      <c r="O128" s="2738" t="str">
        <v>fevereiro 
2027</v>
      </c>
      <c r="P128" s="2738" t="str">
        <v>março 
2027</v>
      </c>
      <c r="Q128" s="2738" t="str">
        <v>abril 
2027</v>
      </c>
      <c r="R128" s="2738" t="str">
        <v>maio 
2027</v>
      </c>
      <c r="S128" s="2738" t="str">
        <v>junho 
2027</v>
      </c>
      <c r="T128" s="2738" t="str">
        <v>julho 
2027</v>
      </c>
      <c r="U128" s="2738" t="str">
        <v>agosto 
2027</v>
      </c>
      <c r="V128" s="2738" t="str">
        <v>setembro 
2027</v>
      </c>
      <c r="W128" s="2738" t="str">
        <v>outubro 
2027</v>
      </c>
      <c r="X128" s="2738" t="str">
        <v>novembro 
2027</v>
      </c>
      <c r="Y128" s="2739" t="str">
        <v>dezembro 
2027</v>
      </c>
    </row>
    <row r="129" spans="1:25">
      <c r="A129" s="1994" t="str">
        <f>A$72</f>
        <v>mismo mes</v>
      </c>
      <c r="B129" s="1991"/>
      <c r="C129" s="1991"/>
      <c r="D129" s="1991"/>
      <c r="E129" s="1991"/>
      <c r="F129" s="1991"/>
      <c r="G129" s="1991"/>
      <c r="H129" s="1991"/>
      <c r="I129" s="1991"/>
      <c r="J129" s="1991"/>
      <c r="K129" s="1991"/>
      <c r="L129" s="1991"/>
      <c r="M129" s="1991"/>
      <c r="N129" s="603">
        <f t="array" aca="1" ref="N129:Y129" ca="1">B21:M21*Produção!$N$9</f>
        <v>0</v>
      </c>
      <c r="O129" s="603">
        <f ca="1"/>
        <v>0</v>
      </c>
      <c r="P129" s="603">
        <f ca="1"/>
        <v>0</v>
      </c>
      <c r="Q129" s="603">
        <f ca="1"/>
        <v>0</v>
      </c>
      <c r="R129" s="603">
        <f ca="1"/>
        <v>0</v>
      </c>
      <c r="S129" s="603">
        <f ca="1"/>
        <v>0</v>
      </c>
      <c r="T129" s="603">
        <f ca="1"/>
        <v>0</v>
      </c>
      <c r="U129" s="603">
        <f ca="1"/>
        <v>0</v>
      </c>
      <c r="V129" s="603">
        <f ca="1"/>
        <v>0</v>
      </c>
      <c r="W129" s="603">
        <f ca="1"/>
        <v>0</v>
      </c>
      <c r="X129" s="603">
        <f ca="1"/>
        <v>0</v>
      </c>
      <c r="Y129" s="2006">
        <f ca="1"/>
        <v>0</v>
      </c>
    </row>
    <row r="130" spans="1:25">
      <c r="A130" s="1995" t="str">
        <f>A$73</f>
        <v>1 mes antes</v>
      </c>
      <c r="B130" s="1991"/>
      <c r="C130" s="1991"/>
      <c r="D130" s="1991"/>
      <c r="E130" s="1991"/>
      <c r="F130" s="1991"/>
      <c r="G130" s="1991"/>
      <c r="H130" s="1991"/>
      <c r="I130" s="1991"/>
      <c r="J130" s="1991"/>
      <c r="K130" s="1991"/>
      <c r="L130" s="1991"/>
      <c r="M130" s="603">
        <f t="array" aca="1" ref="M130:X130" ca="1">B21:M21*Produção!$M$9</f>
        <v>0</v>
      </c>
      <c r="N130" s="603">
        <f ca="1"/>
        <v>0</v>
      </c>
      <c r="O130" s="603">
        <f ca="1"/>
        <v>0</v>
      </c>
      <c r="P130" s="603">
        <f ca="1"/>
        <v>0</v>
      </c>
      <c r="Q130" s="603">
        <f ca="1"/>
        <v>0</v>
      </c>
      <c r="R130" s="603">
        <f ca="1"/>
        <v>0</v>
      </c>
      <c r="S130" s="603">
        <f ca="1"/>
        <v>0</v>
      </c>
      <c r="T130" s="603">
        <f ca="1"/>
        <v>0</v>
      </c>
      <c r="U130" s="603">
        <f ca="1"/>
        <v>0</v>
      </c>
      <c r="V130" s="603">
        <f ca="1"/>
        <v>0</v>
      </c>
      <c r="W130" s="603">
        <f ca="1"/>
        <v>0</v>
      </c>
      <c r="X130" s="603">
        <f ca="1"/>
        <v>0</v>
      </c>
      <c r="Y130" s="2007">
        <f t="array" aca="1" ref="Y130:Y141" ca="1">'Distr CV 2'!M130:M141</f>
        <v>0</v>
      </c>
    </row>
    <row r="131" spans="1:25">
      <c r="A131" s="1995" t="str">
        <f>A$74</f>
        <v>2 meses antes</v>
      </c>
      <c r="B131" s="1991"/>
      <c r="C131" s="1991"/>
      <c r="D131" s="1991"/>
      <c r="E131" s="1991"/>
      <c r="F131" s="1991"/>
      <c r="G131" s="1991"/>
      <c r="H131" s="1991"/>
      <c r="I131" s="1991"/>
      <c r="J131" s="1991"/>
      <c r="K131" s="1991"/>
      <c r="L131" s="603">
        <f t="array" aca="1" ref="L131:W131" ca="1">B21:M21*Produção!$L$9</f>
        <v>0</v>
      </c>
      <c r="M131" s="603">
        <f ca="1"/>
        <v>0</v>
      </c>
      <c r="N131" s="603">
        <f ca="1"/>
        <v>0</v>
      </c>
      <c r="O131" s="603">
        <f ca="1"/>
        <v>0</v>
      </c>
      <c r="P131" s="603">
        <f ca="1"/>
        <v>0</v>
      </c>
      <c r="Q131" s="603">
        <f ca="1"/>
        <v>0</v>
      </c>
      <c r="R131" s="603">
        <f ca="1"/>
        <v>0</v>
      </c>
      <c r="S131" s="603">
        <f ca="1"/>
        <v>0</v>
      </c>
      <c r="T131" s="603">
        <f ca="1"/>
        <v>0</v>
      </c>
      <c r="U131" s="603">
        <f ca="1"/>
        <v>0</v>
      </c>
      <c r="V131" s="603">
        <f ca="1"/>
        <v>0</v>
      </c>
      <c r="W131" s="603">
        <f ca="1"/>
        <v>0</v>
      </c>
      <c r="X131" s="1988">
        <f t="array" aca="1" ref="X131:X141" ca="1">'Distr CV 2'!L131:L141</f>
        <v>0</v>
      </c>
      <c r="Y131" s="2007">
        <f ca="1"/>
        <v>0</v>
      </c>
    </row>
    <row r="132" spans="1:25">
      <c r="A132" s="1995" t="str">
        <f>A$75</f>
        <v>3 meses antes</v>
      </c>
      <c r="B132" s="1991"/>
      <c r="C132" s="1991"/>
      <c r="D132" s="1991"/>
      <c r="E132" s="1991"/>
      <c r="F132" s="1991"/>
      <c r="G132" s="1991"/>
      <c r="H132" s="1991"/>
      <c r="I132" s="1991"/>
      <c r="J132" s="1991"/>
      <c r="K132" s="603">
        <f t="array" aca="1" ref="K132:V132" ca="1">B21:M21*Produção!$K$9</f>
        <v>0</v>
      </c>
      <c r="L132" s="603">
        <f ca="1"/>
        <v>0</v>
      </c>
      <c r="M132" s="603">
        <f ca="1"/>
        <v>0</v>
      </c>
      <c r="N132" s="603">
        <f ca="1"/>
        <v>0</v>
      </c>
      <c r="O132" s="603">
        <f ca="1"/>
        <v>0</v>
      </c>
      <c r="P132" s="603">
        <f ca="1"/>
        <v>0</v>
      </c>
      <c r="Q132" s="603">
        <f ca="1"/>
        <v>0</v>
      </c>
      <c r="R132" s="603">
        <f ca="1"/>
        <v>0</v>
      </c>
      <c r="S132" s="603">
        <f ca="1"/>
        <v>0</v>
      </c>
      <c r="T132" s="603">
        <f ca="1"/>
        <v>0</v>
      </c>
      <c r="U132" s="603">
        <f ca="1"/>
        <v>0</v>
      </c>
      <c r="V132" s="603">
        <f ca="1"/>
        <v>0</v>
      </c>
      <c r="W132" s="1988">
        <f t="array" aca="1" ref="W132:W141" ca="1">'Distr CV 2'!K132:K141</f>
        <v>0</v>
      </c>
      <c r="X132" s="1988">
        <f ca="1"/>
        <v>0</v>
      </c>
      <c r="Y132" s="2007">
        <f ca="1"/>
        <v>0</v>
      </c>
    </row>
    <row r="133" spans="1:25">
      <c r="A133" s="1995" t="str">
        <f>A$76</f>
        <v>4 meses antes</v>
      </c>
      <c r="B133" s="1991"/>
      <c r="C133" s="1991"/>
      <c r="D133" s="1991"/>
      <c r="E133" s="1991"/>
      <c r="F133" s="1991"/>
      <c r="G133" s="1991"/>
      <c r="H133" s="1991"/>
      <c r="I133" s="1991"/>
      <c r="J133" s="603">
        <f t="array" aca="1" ref="J133:U133" ca="1">B21:M21*Produção!$J$9</f>
        <v>0</v>
      </c>
      <c r="K133" s="603">
        <f ca="1"/>
        <v>0</v>
      </c>
      <c r="L133" s="603">
        <f ca="1"/>
        <v>0</v>
      </c>
      <c r="M133" s="603">
        <f ca="1"/>
        <v>0</v>
      </c>
      <c r="N133" s="603">
        <f ca="1"/>
        <v>0</v>
      </c>
      <c r="O133" s="603">
        <f ca="1"/>
        <v>0</v>
      </c>
      <c r="P133" s="603">
        <f ca="1"/>
        <v>0</v>
      </c>
      <c r="Q133" s="603">
        <f ca="1"/>
        <v>0</v>
      </c>
      <c r="R133" s="603">
        <f ca="1"/>
        <v>0</v>
      </c>
      <c r="S133" s="603">
        <f ca="1"/>
        <v>0</v>
      </c>
      <c r="T133" s="603">
        <f ca="1"/>
        <v>0</v>
      </c>
      <c r="U133" s="603">
        <f ca="1"/>
        <v>0</v>
      </c>
      <c r="V133" s="1988">
        <f t="array" aca="1" ref="V133:V141" ca="1">'Distr CV 2'!J133:J141</f>
        <v>0</v>
      </c>
      <c r="W133" s="1988">
        <f ca="1"/>
        <v>0</v>
      </c>
      <c r="X133" s="1988">
        <f ca="1"/>
        <v>0</v>
      </c>
      <c r="Y133" s="2007">
        <f ca="1"/>
        <v>0</v>
      </c>
    </row>
    <row r="134" spans="1:25">
      <c r="A134" s="1995" t="str">
        <f>A$77</f>
        <v>5 meses antes</v>
      </c>
      <c r="B134" s="1991"/>
      <c r="C134" s="1991"/>
      <c r="D134" s="1991"/>
      <c r="E134" s="1991"/>
      <c r="F134" s="1991"/>
      <c r="G134" s="1991"/>
      <c r="H134" s="1991"/>
      <c r="I134" s="603">
        <f t="array" aca="1" ref="I134:T134" ca="1">B21:M21*Produção!$I$9</f>
        <v>0</v>
      </c>
      <c r="J134" s="603">
        <f ca="1"/>
        <v>0</v>
      </c>
      <c r="K134" s="603">
        <f ca="1"/>
        <v>0</v>
      </c>
      <c r="L134" s="603">
        <f ca="1"/>
        <v>0</v>
      </c>
      <c r="M134" s="603">
        <f ca="1"/>
        <v>0</v>
      </c>
      <c r="N134" s="603">
        <f ca="1"/>
        <v>0</v>
      </c>
      <c r="O134" s="603">
        <f ca="1"/>
        <v>0</v>
      </c>
      <c r="P134" s="603">
        <f ca="1"/>
        <v>0</v>
      </c>
      <c r="Q134" s="603">
        <f ca="1"/>
        <v>0</v>
      </c>
      <c r="R134" s="603">
        <f ca="1"/>
        <v>0</v>
      </c>
      <c r="S134" s="603">
        <f ca="1"/>
        <v>0</v>
      </c>
      <c r="T134" s="603">
        <f ca="1"/>
        <v>0</v>
      </c>
      <c r="U134" s="1988">
        <f t="array" aca="1" ref="U134:U141" ca="1">'Distr CV 2'!I134:I141</f>
        <v>0</v>
      </c>
      <c r="V134" s="1988">
        <f ca="1"/>
        <v>0</v>
      </c>
      <c r="W134" s="1988">
        <f ca="1"/>
        <v>0</v>
      </c>
      <c r="X134" s="1988">
        <f ca="1"/>
        <v>0</v>
      </c>
      <c r="Y134" s="2007">
        <f ca="1"/>
        <v>0</v>
      </c>
    </row>
    <row r="135" spans="1:25">
      <c r="A135" s="1995" t="str">
        <f>A$78</f>
        <v>6 meses antes</v>
      </c>
      <c r="B135" s="1991"/>
      <c r="C135" s="1991"/>
      <c r="D135" s="1991"/>
      <c r="E135" s="1991"/>
      <c r="F135" s="1991"/>
      <c r="G135" s="1991"/>
      <c r="H135" s="603">
        <f t="array" aca="1" ref="H135:S135" ca="1">B21:M21*Produção!$H$9</f>
        <v>0</v>
      </c>
      <c r="I135" s="603">
        <f ca="1"/>
        <v>0</v>
      </c>
      <c r="J135" s="603">
        <f ca="1"/>
        <v>0</v>
      </c>
      <c r="K135" s="603">
        <f ca="1"/>
        <v>0</v>
      </c>
      <c r="L135" s="603">
        <f ca="1"/>
        <v>0</v>
      </c>
      <c r="M135" s="603">
        <f ca="1"/>
        <v>0</v>
      </c>
      <c r="N135" s="603">
        <f ca="1"/>
        <v>0</v>
      </c>
      <c r="O135" s="603">
        <f ca="1"/>
        <v>0</v>
      </c>
      <c r="P135" s="603">
        <f ca="1"/>
        <v>0</v>
      </c>
      <c r="Q135" s="603">
        <f ca="1"/>
        <v>0</v>
      </c>
      <c r="R135" s="603">
        <f ca="1"/>
        <v>0</v>
      </c>
      <c r="S135" s="603">
        <f ca="1"/>
        <v>0</v>
      </c>
      <c r="T135" s="1988">
        <f t="array" aca="1" ref="T135:T141" ca="1">'Distr CV 2'!H135:H141</f>
        <v>0</v>
      </c>
      <c r="U135" s="1988">
        <f ca="1"/>
        <v>0</v>
      </c>
      <c r="V135" s="1988">
        <f ca="1"/>
        <v>0</v>
      </c>
      <c r="W135" s="1988">
        <f ca="1"/>
        <v>0</v>
      </c>
      <c r="X135" s="1988">
        <f ca="1"/>
        <v>0</v>
      </c>
      <c r="Y135" s="2007">
        <f ca="1"/>
        <v>0</v>
      </c>
    </row>
    <row r="136" spans="1:25">
      <c r="A136" s="1995" t="str">
        <f>A$79</f>
        <v>7 meses antes</v>
      </c>
      <c r="B136" s="1991"/>
      <c r="C136" s="1991"/>
      <c r="D136" s="1991"/>
      <c r="E136" s="1991"/>
      <c r="F136" s="1991"/>
      <c r="G136" s="603">
        <f t="array" aca="1" ref="G136:R136" ca="1">B21:M21*Produção!$G$9</f>
        <v>0</v>
      </c>
      <c r="H136" s="603">
        <f ca="1"/>
        <v>0</v>
      </c>
      <c r="I136" s="603">
        <f ca="1"/>
        <v>0</v>
      </c>
      <c r="J136" s="603">
        <f ca="1"/>
        <v>0</v>
      </c>
      <c r="K136" s="603">
        <f ca="1"/>
        <v>0</v>
      </c>
      <c r="L136" s="603">
        <f ca="1"/>
        <v>0</v>
      </c>
      <c r="M136" s="603">
        <f ca="1"/>
        <v>0</v>
      </c>
      <c r="N136" s="603">
        <f ca="1"/>
        <v>0</v>
      </c>
      <c r="O136" s="603">
        <f ca="1"/>
        <v>0</v>
      </c>
      <c r="P136" s="603">
        <f ca="1"/>
        <v>0</v>
      </c>
      <c r="Q136" s="603">
        <f ca="1"/>
        <v>0</v>
      </c>
      <c r="R136" s="603">
        <f ca="1"/>
        <v>0</v>
      </c>
      <c r="S136" s="1992">
        <f t="array" aca="1" ref="S136:S141" ca="1">'Distr CV 2'!G136:G141</f>
        <v>0</v>
      </c>
      <c r="T136" s="1992">
        <f ca="1"/>
        <v>0</v>
      </c>
      <c r="U136" s="1992">
        <f ca="1"/>
        <v>0</v>
      </c>
      <c r="V136" s="1992">
        <f ca="1"/>
        <v>0</v>
      </c>
      <c r="W136" s="1992">
        <f ca="1"/>
        <v>0</v>
      </c>
      <c r="X136" s="1992">
        <f ca="1"/>
        <v>0</v>
      </c>
      <c r="Y136" s="2010">
        <f ca="1"/>
        <v>0</v>
      </c>
    </row>
    <row r="137" spans="1:25">
      <c r="A137" s="1995" t="str">
        <f>A$80</f>
        <v>8 meses antes</v>
      </c>
      <c r="B137" s="1991"/>
      <c r="C137" s="1991"/>
      <c r="D137" s="1991"/>
      <c r="E137" s="1991"/>
      <c r="F137" s="603">
        <f t="array" aca="1" ref="F137:Q137" ca="1">B21:M21*Produção!$F$9</f>
        <v>0</v>
      </c>
      <c r="G137" s="603">
        <f ca="1"/>
        <v>0</v>
      </c>
      <c r="H137" s="603">
        <f ca="1"/>
        <v>0</v>
      </c>
      <c r="I137" s="603">
        <f ca="1"/>
        <v>0</v>
      </c>
      <c r="J137" s="603">
        <f ca="1"/>
        <v>0</v>
      </c>
      <c r="K137" s="603">
        <f ca="1"/>
        <v>0</v>
      </c>
      <c r="L137" s="603">
        <f ca="1"/>
        <v>0</v>
      </c>
      <c r="M137" s="603">
        <f ca="1"/>
        <v>0</v>
      </c>
      <c r="N137" s="603">
        <f ca="1"/>
        <v>0</v>
      </c>
      <c r="O137" s="603">
        <f ca="1"/>
        <v>0</v>
      </c>
      <c r="P137" s="603">
        <f ca="1"/>
        <v>0</v>
      </c>
      <c r="Q137" s="603">
        <f ca="1"/>
        <v>0</v>
      </c>
      <c r="R137" s="1992">
        <f t="array" aca="1" ref="R137:R141" ca="1">'Distr CV 2'!F137:F141</f>
        <v>0</v>
      </c>
      <c r="S137" s="1992">
        <f ca="1"/>
        <v>0</v>
      </c>
      <c r="T137" s="1992">
        <f ca="1"/>
        <v>0</v>
      </c>
      <c r="U137" s="1992">
        <f ca="1"/>
        <v>0</v>
      </c>
      <c r="V137" s="1992">
        <f ca="1"/>
        <v>0</v>
      </c>
      <c r="W137" s="1992">
        <f ca="1"/>
        <v>0</v>
      </c>
      <c r="X137" s="1992">
        <f ca="1"/>
        <v>0</v>
      </c>
      <c r="Y137" s="2010">
        <f ca="1"/>
        <v>0</v>
      </c>
    </row>
    <row r="138" spans="1:25">
      <c r="A138" s="1995" t="str">
        <f>A$81</f>
        <v>9 meses antes</v>
      </c>
      <c r="B138" s="1991"/>
      <c r="C138" s="1991"/>
      <c r="D138" s="1991"/>
      <c r="E138" s="603">
        <f t="array" aca="1" ref="E138:P138" ca="1">B21:M21*Produção!$E$9</f>
        <v>0</v>
      </c>
      <c r="F138" s="603">
        <f ca="1"/>
        <v>0</v>
      </c>
      <c r="G138" s="603">
        <f ca="1"/>
        <v>0</v>
      </c>
      <c r="H138" s="603">
        <f ca="1"/>
        <v>0</v>
      </c>
      <c r="I138" s="603">
        <f ca="1"/>
        <v>0</v>
      </c>
      <c r="J138" s="603">
        <f ca="1"/>
        <v>0</v>
      </c>
      <c r="K138" s="603">
        <f ca="1"/>
        <v>0</v>
      </c>
      <c r="L138" s="603">
        <f ca="1"/>
        <v>0</v>
      </c>
      <c r="M138" s="603">
        <f ca="1"/>
        <v>0</v>
      </c>
      <c r="N138" s="603">
        <f ca="1"/>
        <v>0</v>
      </c>
      <c r="O138" s="603">
        <f ca="1"/>
        <v>0</v>
      </c>
      <c r="P138" s="603">
        <f ca="1"/>
        <v>0</v>
      </c>
      <c r="Q138" s="1992">
        <f t="array" aca="1" ref="Q138:Q141" ca="1">'Distr CV 2'!E138:E141</f>
        <v>0</v>
      </c>
      <c r="R138" s="1992">
        <f ca="1"/>
        <v>0</v>
      </c>
      <c r="S138" s="1992">
        <f ca="1"/>
        <v>0</v>
      </c>
      <c r="T138" s="1992">
        <f ca="1"/>
        <v>0</v>
      </c>
      <c r="U138" s="1992">
        <f ca="1"/>
        <v>0</v>
      </c>
      <c r="V138" s="1992">
        <f ca="1"/>
        <v>0</v>
      </c>
      <c r="W138" s="1992">
        <f ca="1"/>
        <v>0</v>
      </c>
      <c r="X138" s="1992">
        <f ca="1"/>
        <v>0</v>
      </c>
      <c r="Y138" s="2010">
        <f ca="1"/>
        <v>0</v>
      </c>
    </row>
    <row r="139" spans="1:25">
      <c r="A139" s="1995" t="str">
        <f>A$82</f>
        <v>10 meses antes</v>
      </c>
      <c r="B139" s="1991"/>
      <c r="C139" s="1991"/>
      <c r="D139" s="603">
        <f t="array" aca="1" ref="D139:O139" ca="1">B21:M21*Produção!$D$9</f>
        <v>0</v>
      </c>
      <c r="E139" s="603">
        <f ca="1"/>
        <v>0</v>
      </c>
      <c r="F139" s="603">
        <f ca="1"/>
        <v>0</v>
      </c>
      <c r="G139" s="603">
        <f ca="1"/>
        <v>0</v>
      </c>
      <c r="H139" s="603">
        <f ca="1"/>
        <v>0</v>
      </c>
      <c r="I139" s="603">
        <f ca="1"/>
        <v>0</v>
      </c>
      <c r="J139" s="603">
        <f ca="1"/>
        <v>0</v>
      </c>
      <c r="K139" s="603">
        <f ca="1"/>
        <v>0</v>
      </c>
      <c r="L139" s="603">
        <f ca="1"/>
        <v>0</v>
      </c>
      <c r="M139" s="603">
        <f ca="1"/>
        <v>0</v>
      </c>
      <c r="N139" s="603">
        <f ca="1"/>
        <v>0</v>
      </c>
      <c r="O139" s="603">
        <f ca="1"/>
        <v>0</v>
      </c>
      <c r="P139" s="1992">
        <f t="array" aca="1" ref="P139:P141" ca="1">'Distr CV 2'!D139:D141</f>
        <v>0</v>
      </c>
      <c r="Q139" s="1992">
        <f ca="1"/>
        <v>0</v>
      </c>
      <c r="R139" s="1992">
        <f ca="1"/>
        <v>0</v>
      </c>
      <c r="S139" s="1992">
        <f ca="1"/>
        <v>0</v>
      </c>
      <c r="T139" s="1992">
        <f ca="1"/>
        <v>0</v>
      </c>
      <c r="U139" s="1992">
        <f ca="1"/>
        <v>0</v>
      </c>
      <c r="V139" s="1992">
        <f ca="1"/>
        <v>0</v>
      </c>
      <c r="W139" s="1992">
        <f ca="1"/>
        <v>0</v>
      </c>
      <c r="X139" s="1992">
        <f ca="1"/>
        <v>0</v>
      </c>
      <c r="Y139" s="2010">
        <f ca="1"/>
        <v>0</v>
      </c>
    </row>
    <row r="140" spans="1:25">
      <c r="A140" s="1995" t="str">
        <f>A$83</f>
        <v>11 meses antes</v>
      </c>
      <c r="B140" s="1991"/>
      <c r="C140" s="603">
        <f t="array" aca="1" ref="C140:N140" ca="1">B21:M21*Produção!$C$9</f>
        <v>0</v>
      </c>
      <c r="D140" s="603">
        <f ca="1"/>
        <v>0</v>
      </c>
      <c r="E140" s="603">
        <f ca="1"/>
        <v>0</v>
      </c>
      <c r="F140" s="603">
        <f ca="1"/>
        <v>0</v>
      </c>
      <c r="G140" s="603">
        <f ca="1"/>
        <v>0</v>
      </c>
      <c r="H140" s="603">
        <f ca="1"/>
        <v>0</v>
      </c>
      <c r="I140" s="603">
        <f ca="1"/>
        <v>0</v>
      </c>
      <c r="J140" s="603">
        <f ca="1"/>
        <v>0</v>
      </c>
      <c r="K140" s="603">
        <f ca="1"/>
        <v>0</v>
      </c>
      <c r="L140" s="603">
        <f ca="1"/>
        <v>0</v>
      </c>
      <c r="M140" s="603">
        <f ca="1"/>
        <v>0</v>
      </c>
      <c r="N140" s="603">
        <f ca="1"/>
        <v>0</v>
      </c>
      <c r="O140" s="1992">
        <f ca="1">'Distr CV 2'!C140</f>
        <v>0</v>
      </c>
      <c r="P140" s="1992">
        <f ca="1"/>
        <v>0</v>
      </c>
      <c r="Q140" s="1992">
        <f ca="1"/>
        <v>0</v>
      </c>
      <c r="R140" s="1992">
        <f ca="1"/>
        <v>0</v>
      </c>
      <c r="S140" s="1992">
        <f ca="1"/>
        <v>0</v>
      </c>
      <c r="T140" s="1992">
        <f ca="1"/>
        <v>0</v>
      </c>
      <c r="U140" s="1992">
        <f ca="1"/>
        <v>0</v>
      </c>
      <c r="V140" s="1992">
        <f ca="1"/>
        <v>0</v>
      </c>
      <c r="W140" s="1992">
        <f ca="1"/>
        <v>0</v>
      </c>
      <c r="X140" s="1992">
        <f ca="1"/>
        <v>0</v>
      </c>
      <c r="Y140" s="2010">
        <f ca="1"/>
        <v>0</v>
      </c>
    </row>
    <row r="141" spans="1:25" ht="13.5" thickBot="1">
      <c r="A141" s="1995" t="str">
        <f>A$84</f>
        <v>12 meses antes</v>
      </c>
      <c r="B141" s="603">
        <f t="array" aca="1" ref="B141:M141" ca="1">B21:M21*Produção!$B$9</f>
        <v>0</v>
      </c>
      <c r="C141" s="603">
        <f ca="1"/>
        <v>0</v>
      </c>
      <c r="D141" s="603">
        <f ca="1"/>
        <v>0</v>
      </c>
      <c r="E141" s="603">
        <f ca="1"/>
        <v>0</v>
      </c>
      <c r="F141" s="603">
        <f ca="1"/>
        <v>0</v>
      </c>
      <c r="G141" s="603">
        <f ca="1"/>
        <v>0</v>
      </c>
      <c r="H141" s="603">
        <f ca="1"/>
        <v>0</v>
      </c>
      <c r="I141" s="603">
        <f ca="1"/>
        <v>0</v>
      </c>
      <c r="J141" s="603">
        <f ca="1"/>
        <v>0</v>
      </c>
      <c r="K141" s="603">
        <f ca="1"/>
        <v>0</v>
      </c>
      <c r="L141" s="603">
        <f ca="1"/>
        <v>0</v>
      </c>
      <c r="M141" s="603">
        <f ca="1"/>
        <v>0</v>
      </c>
      <c r="N141" s="1991">
        <f ca="1">'Distr CV 2'!B141</f>
        <v>0</v>
      </c>
      <c r="O141" s="1992">
        <f ca="1">'Distr CV 2'!C141</f>
        <v>0</v>
      </c>
      <c r="P141" s="1992">
        <f ca="1"/>
        <v>0</v>
      </c>
      <c r="Q141" s="1992">
        <f ca="1"/>
        <v>0</v>
      </c>
      <c r="R141" s="1992">
        <f ca="1"/>
        <v>0</v>
      </c>
      <c r="S141" s="1992">
        <f ca="1"/>
        <v>0</v>
      </c>
      <c r="T141" s="1992">
        <f ca="1"/>
        <v>0</v>
      </c>
      <c r="U141" s="1992">
        <f ca="1"/>
        <v>0</v>
      </c>
      <c r="V141" s="1992">
        <f ca="1"/>
        <v>0</v>
      </c>
      <c r="W141" s="1992">
        <f ca="1"/>
        <v>0</v>
      </c>
      <c r="X141" s="1992">
        <f ca="1"/>
        <v>0</v>
      </c>
      <c r="Y141" s="2010">
        <f ca="1"/>
        <v>0</v>
      </c>
    </row>
    <row r="142" spans="1:25" ht="13.5" thickBot="1">
      <c r="A142" s="105" t="str">
        <f>"Totales CV "&amp;A$9</f>
        <v xml:space="preserve">Totales CV </v>
      </c>
      <c r="B142" s="607">
        <f t="shared" ref="B142:Y142" ca="1" si="12">SUM(B129:B141)</f>
        <v>0</v>
      </c>
      <c r="C142" s="607">
        <f t="shared" ca="1" si="12"/>
        <v>0</v>
      </c>
      <c r="D142" s="607">
        <f t="shared" ca="1" si="12"/>
        <v>0</v>
      </c>
      <c r="E142" s="607">
        <f t="shared" ca="1" si="12"/>
        <v>0</v>
      </c>
      <c r="F142" s="607">
        <f t="shared" ca="1" si="12"/>
        <v>0</v>
      </c>
      <c r="G142" s="607">
        <f t="shared" ca="1" si="12"/>
        <v>0</v>
      </c>
      <c r="H142" s="607">
        <f t="shared" ca="1" si="12"/>
        <v>0</v>
      </c>
      <c r="I142" s="607">
        <f t="shared" ca="1" si="12"/>
        <v>0</v>
      </c>
      <c r="J142" s="607">
        <f t="shared" ca="1" si="12"/>
        <v>0</v>
      </c>
      <c r="K142" s="607">
        <f t="shared" ca="1" si="12"/>
        <v>0</v>
      </c>
      <c r="L142" s="607">
        <f t="shared" ca="1" si="12"/>
        <v>0</v>
      </c>
      <c r="M142" s="607">
        <f t="shared" ca="1" si="12"/>
        <v>0</v>
      </c>
      <c r="N142" s="607">
        <f t="shared" ca="1" si="12"/>
        <v>0</v>
      </c>
      <c r="O142" s="607">
        <f t="shared" ca="1" si="12"/>
        <v>0</v>
      </c>
      <c r="P142" s="607">
        <f t="shared" ca="1" si="12"/>
        <v>0</v>
      </c>
      <c r="Q142" s="607">
        <f t="shared" ca="1" si="12"/>
        <v>0</v>
      </c>
      <c r="R142" s="607">
        <f t="shared" ca="1" si="12"/>
        <v>0</v>
      </c>
      <c r="S142" s="607">
        <f t="shared" ca="1" si="12"/>
        <v>0</v>
      </c>
      <c r="T142" s="607">
        <f t="shared" ca="1" si="12"/>
        <v>0</v>
      </c>
      <c r="U142" s="607">
        <f t="shared" ca="1" si="12"/>
        <v>0</v>
      </c>
      <c r="V142" s="607">
        <f t="shared" ca="1" si="12"/>
        <v>0</v>
      </c>
      <c r="W142" s="607">
        <f t="shared" ca="1" si="12"/>
        <v>0</v>
      </c>
      <c r="X142" s="607">
        <f t="shared" ca="1" si="12"/>
        <v>0</v>
      </c>
      <c r="Y142" s="2008">
        <f t="shared" ca="1" si="12"/>
        <v>0</v>
      </c>
    </row>
    <row r="143" spans="1:25" ht="13.5" thickBot="1">
      <c r="A143" s="105" t="str">
        <f>'Dados Básicos'!A28&amp;" sop. CV "&amp;$A$9</f>
        <v xml:space="preserve">IVA sop. CV </v>
      </c>
      <c r="B143" s="607">
        <f t="array" aca="1" ref="B143:Y143" ca="1">$K$127*B142:Y142</f>
        <v>0</v>
      </c>
      <c r="C143" s="607">
        <f ca="1"/>
        <v>0</v>
      </c>
      <c r="D143" s="607">
        <f ca="1"/>
        <v>0</v>
      </c>
      <c r="E143" s="607">
        <f ca="1"/>
        <v>0</v>
      </c>
      <c r="F143" s="607">
        <f ca="1"/>
        <v>0</v>
      </c>
      <c r="G143" s="607">
        <f ca="1"/>
        <v>0</v>
      </c>
      <c r="H143" s="607">
        <f ca="1"/>
        <v>0</v>
      </c>
      <c r="I143" s="607">
        <f ca="1"/>
        <v>0</v>
      </c>
      <c r="J143" s="607">
        <f ca="1"/>
        <v>0</v>
      </c>
      <c r="K143" s="607">
        <f ca="1"/>
        <v>0</v>
      </c>
      <c r="L143" s="607">
        <f ca="1"/>
        <v>0</v>
      </c>
      <c r="M143" s="607">
        <f ca="1"/>
        <v>0</v>
      </c>
      <c r="N143" s="607">
        <f ca="1"/>
        <v>0</v>
      </c>
      <c r="O143" s="607">
        <f ca="1"/>
        <v>0</v>
      </c>
      <c r="P143" s="607">
        <f ca="1"/>
        <v>0</v>
      </c>
      <c r="Q143" s="607">
        <f ca="1"/>
        <v>0</v>
      </c>
      <c r="R143" s="607">
        <f ca="1"/>
        <v>0</v>
      </c>
      <c r="S143" s="607">
        <f ca="1"/>
        <v>0</v>
      </c>
      <c r="T143" s="607">
        <f ca="1"/>
        <v>0</v>
      </c>
      <c r="U143" s="607">
        <f ca="1"/>
        <v>0</v>
      </c>
      <c r="V143" s="607">
        <f ca="1"/>
        <v>0</v>
      </c>
      <c r="W143" s="607">
        <f ca="1"/>
        <v>0</v>
      </c>
      <c r="X143" s="607">
        <f ca="1"/>
        <v>0</v>
      </c>
      <c r="Y143" s="2008">
        <f ca="1"/>
        <v>0</v>
      </c>
    </row>
    <row r="145" spans="1:25" ht="18.75" thickBot="1">
      <c r="A145" s="1993" t="str">
        <f>'Distr CV 0'!A145</f>
        <v xml:space="preserve">Compras / custos de producción por meses de </v>
      </c>
      <c r="I145" s="1993" t="str">
        <f>$I$109</f>
        <v>IVA NÃO incluido</v>
      </c>
      <c r="K145" s="2005">
        <f>Parametros!$F$26</f>
        <v>0.21</v>
      </c>
    </row>
    <row r="146" spans="1:25" ht="30" customHeight="1" thickBot="1">
      <c r="A146" s="457" t="str">
        <f>'Distr CV 0'!A146</f>
        <v>mes de compra / custo</v>
      </c>
      <c r="B146" s="2011" t="str">
        <f t="array" ref="B146:Y146">B$71:Y$71</f>
        <v>janeiro 
2026</v>
      </c>
      <c r="C146" s="2011" t="str">
        <v>fevereiro 
2026</v>
      </c>
      <c r="D146" s="2011" t="str">
        <v>março 
2026</v>
      </c>
      <c r="E146" s="2011" t="str">
        <v>abril 
2026</v>
      </c>
      <c r="F146" s="2011" t="str">
        <v>maio 
2026</v>
      </c>
      <c r="G146" s="2011" t="str">
        <v>junho 
2026</v>
      </c>
      <c r="H146" s="2011" t="str">
        <v>julho 
2026</v>
      </c>
      <c r="I146" s="2011" t="str">
        <v>agosto 
2026</v>
      </c>
      <c r="J146" s="2011" t="str">
        <v>setembro 
2026</v>
      </c>
      <c r="K146" s="2011" t="str">
        <v>outubro 
2026</v>
      </c>
      <c r="L146" s="2011" t="str">
        <v>novembro 
2026</v>
      </c>
      <c r="M146" s="2011" t="str">
        <v>dezembro 
2026</v>
      </c>
      <c r="N146" s="2737" t="str">
        <v>janeiro 
2027</v>
      </c>
      <c r="O146" s="2738" t="str">
        <v>fevereiro 
2027</v>
      </c>
      <c r="P146" s="2738" t="str">
        <v>março 
2027</v>
      </c>
      <c r="Q146" s="2738" t="str">
        <v>abril 
2027</v>
      </c>
      <c r="R146" s="2738" t="str">
        <v>maio 
2027</v>
      </c>
      <c r="S146" s="2738" t="str">
        <v>junho 
2027</v>
      </c>
      <c r="T146" s="2738" t="str">
        <v>julho 
2027</v>
      </c>
      <c r="U146" s="2738" t="str">
        <v>agosto 
2027</v>
      </c>
      <c r="V146" s="2738" t="str">
        <v>setembro 
2027</v>
      </c>
      <c r="W146" s="2738" t="str">
        <v>outubro 
2027</v>
      </c>
      <c r="X146" s="2738" t="str">
        <v>novembro 
2027</v>
      </c>
      <c r="Y146" s="2739" t="str">
        <v>dezembro 
2027</v>
      </c>
    </row>
    <row r="147" spans="1:25">
      <c r="A147" s="1994" t="str">
        <f>A$72</f>
        <v>mismo mes</v>
      </c>
      <c r="B147" s="1991"/>
      <c r="C147" s="1991"/>
      <c r="D147" s="1991"/>
      <c r="E147" s="1991"/>
      <c r="F147" s="1991"/>
      <c r="G147" s="1991"/>
      <c r="H147" s="1991"/>
      <c r="I147" s="1991"/>
      <c r="J147" s="1991"/>
      <c r="K147" s="1991"/>
      <c r="L147" s="1991"/>
      <c r="M147" s="1991"/>
      <c r="N147" s="603">
        <f t="array" aca="1" ref="N147:Y147" ca="1">B22:M22*Produção!$N$10</f>
        <v>0</v>
      </c>
      <c r="O147" s="603">
        <f ca="1"/>
        <v>0</v>
      </c>
      <c r="P147" s="603">
        <f ca="1"/>
        <v>0</v>
      </c>
      <c r="Q147" s="603">
        <f ca="1"/>
        <v>0</v>
      </c>
      <c r="R147" s="603">
        <f ca="1"/>
        <v>0</v>
      </c>
      <c r="S147" s="603">
        <f ca="1"/>
        <v>0</v>
      </c>
      <c r="T147" s="603">
        <f ca="1"/>
        <v>0</v>
      </c>
      <c r="U147" s="603">
        <f ca="1"/>
        <v>0</v>
      </c>
      <c r="V147" s="603">
        <f ca="1"/>
        <v>0</v>
      </c>
      <c r="W147" s="603">
        <f ca="1"/>
        <v>0</v>
      </c>
      <c r="X147" s="603">
        <f ca="1"/>
        <v>0</v>
      </c>
      <c r="Y147" s="2006">
        <f ca="1"/>
        <v>0</v>
      </c>
    </row>
    <row r="148" spans="1:25">
      <c r="A148" s="1995" t="str">
        <f>A$73</f>
        <v>1 mes antes</v>
      </c>
      <c r="B148" s="1991"/>
      <c r="C148" s="1991"/>
      <c r="D148" s="1991"/>
      <c r="E148" s="1991"/>
      <c r="F148" s="1991"/>
      <c r="G148" s="1991"/>
      <c r="H148" s="1991"/>
      <c r="I148" s="1991"/>
      <c r="J148" s="1991"/>
      <c r="K148" s="1991"/>
      <c r="L148" s="1991"/>
      <c r="M148" s="603">
        <f t="array" aca="1" ref="M148:X148" ca="1">B22:M22*Produção!$M$10</f>
        <v>0</v>
      </c>
      <c r="N148" s="603">
        <f ca="1"/>
        <v>0</v>
      </c>
      <c r="O148" s="603">
        <f ca="1"/>
        <v>0</v>
      </c>
      <c r="P148" s="603">
        <f ca="1"/>
        <v>0</v>
      </c>
      <c r="Q148" s="603">
        <f ca="1"/>
        <v>0</v>
      </c>
      <c r="R148" s="603">
        <f ca="1"/>
        <v>0</v>
      </c>
      <c r="S148" s="603">
        <f ca="1"/>
        <v>0</v>
      </c>
      <c r="T148" s="603">
        <f ca="1"/>
        <v>0</v>
      </c>
      <c r="U148" s="603">
        <f ca="1"/>
        <v>0</v>
      </c>
      <c r="V148" s="603">
        <f ca="1"/>
        <v>0</v>
      </c>
      <c r="W148" s="603">
        <f ca="1"/>
        <v>0</v>
      </c>
      <c r="X148" s="603">
        <f ca="1"/>
        <v>0</v>
      </c>
      <c r="Y148" s="2007">
        <f t="array" aca="1" ref="Y148:Y159" ca="1">'Distr CV 2'!M148:M159</f>
        <v>0</v>
      </c>
    </row>
    <row r="149" spans="1:25">
      <c r="A149" s="1995" t="str">
        <f>A$74</f>
        <v>2 meses antes</v>
      </c>
      <c r="B149" s="1991"/>
      <c r="C149" s="1991"/>
      <c r="D149" s="1991"/>
      <c r="E149" s="1991"/>
      <c r="F149" s="1991"/>
      <c r="G149" s="1991"/>
      <c r="H149" s="1991"/>
      <c r="I149" s="1991"/>
      <c r="J149" s="1991"/>
      <c r="K149" s="1991"/>
      <c r="L149" s="603">
        <f t="array" aca="1" ref="L149:W149" ca="1">B22:M22*Produção!$L$10</f>
        <v>0</v>
      </c>
      <c r="M149" s="603">
        <f ca="1"/>
        <v>0</v>
      </c>
      <c r="N149" s="603">
        <f ca="1"/>
        <v>0</v>
      </c>
      <c r="O149" s="603">
        <f ca="1"/>
        <v>0</v>
      </c>
      <c r="P149" s="603">
        <f ca="1"/>
        <v>0</v>
      </c>
      <c r="Q149" s="603">
        <f ca="1"/>
        <v>0</v>
      </c>
      <c r="R149" s="603">
        <f ca="1"/>
        <v>0</v>
      </c>
      <c r="S149" s="603">
        <f ca="1"/>
        <v>0</v>
      </c>
      <c r="T149" s="603">
        <f ca="1"/>
        <v>0</v>
      </c>
      <c r="U149" s="603">
        <f ca="1"/>
        <v>0</v>
      </c>
      <c r="V149" s="603">
        <f ca="1"/>
        <v>0</v>
      </c>
      <c r="W149" s="603">
        <f ca="1"/>
        <v>0</v>
      </c>
      <c r="X149" s="1988">
        <f t="array" aca="1" ref="X149:X159" ca="1">'Distr CV 2'!L149:L159</f>
        <v>0</v>
      </c>
      <c r="Y149" s="2007">
        <f ca="1"/>
        <v>0</v>
      </c>
    </row>
    <row r="150" spans="1:25">
      <c r="A150" s="1995" t="str">
        <f>A$75</f>
        <v>3 meses antes</v>
      </c>
      <c r="B150" s="1991"/>
      <c r="C150" s="1991"/>
      <c r="D150" s="1991"/>
      <c r="E150" s="1991"/>
      <c r="F150" s="1991"/>
      <c r="G150" s="1991"/>
      <c r="H150" s="1991"/>
      <c r="I150" s="1991"/>
      <c r="J150" s="1991"/>
      <c r="K150" s="603">
        <f t="array" aca="1" ref="K150:V150" ca="1">B22:M22*Produção!$K$10</f>
        <v>0</v>
      </c>
      <c r="L150" s="603">
        <f ca="1"/>
        <v>0</v>
      </c>
      <c r="M150" s="603">
        <f ca="1"/>
        <v>0</v>
      </c>
      <c r="N150" s="603">
        <f ca="1"/>
        <v>0</v>
      </c>
      <c r="O150" s="603">
        <f ca="1"/>
        <v>0</v>
      </c>
      <c r="P150" s="603">
        <f ca="1"/>
        <v>0</v>
      </c>
      <c r="Q150" s="603">
        <f ca="1"/>
        <v>0</v>
      </c>
      <c r="R150" s="603">
        <f ca="1"/>
        <v>0</v>
      </c>
      <c r="S150" s="603">
        <f ca="1"/>
        <v>0</v>
      </c>
      <c r="T150" s="603">
        <f ca="1"/>
        <v>0</v>
      </c>
      <c r="U150" s="603">
        <f ca="1"/>
        <v>0</v>
      </c>
      <c r="V150" s="603">
        <f ca="1"/>
        <v>0</v>
      </c>
      <c r="W150" s="1988">
        <f t="array" aca="1" ref="W150:W159" ca="1">'Distr CV 2'!K150:K159</f>
        <v>0</v>
      </c>
      <c r="X150" s="1988">
        <f ca="1"/>
        <v>0</v>
      </c>
      <c r="Y150" s="2007">
        <f ca="1"/>
        <v>0</v>
      </c>
    </row>
    <row r="151" spans="1:25">
      <c r="A151" s="1995" t="str">
        <f>A$76</f>
        <v>4 meses antes</v>
      </c>
      <c r="B151" s="1991"/>
      <c r="C151" s="1991"/>
      <c r="D151" s="1991"/>
      <c r="E151" s="1991"/>
      <c r="F151" s="1991"/>
      <c r="G151" s="1991"/>
      <c r="H151" s="1991"/>
      <c r="I151" s="1991"/>
      <c r="J151" s="603">
        <f t="array" aca="1" ref="J151:U151" ca="1">B22:M22*Produção!$J$10</f>
        <v>0</v>
      </c>
      <c r="K151" s="603">
        <f ca="1"/>
        <v>0</v>
      </c>
      <c r="L151" s="603">
        <f ca="1"/>
        <v>0</v>
      </c>
      <c r="M151" s="603">
        <f ca="1"/>
        <v>0</v>
      </c>
      <c r="N151" s="603">
        <f ca="1"/>
        <v>0</v>
      </c>
      <c r="O151" s="603">
        <f ca="1"/>
        <v>0</v>
      </c>
      <c r="P151" s="603">
        <f ca="1"/>
        <v>0</v>
      </c>
      <c r="Q151" s="603">
        <f ca="1"/>
        <v>0</v>
      </c>
      <c r="R151" s="603">
        <f ca="1"/>
        <v>0</v>
      </c>
      <c r="S151" s="603">
        <f ca="1"/>
        <v>0</v>
      </c>
      <c r="T151" s="603">
        <f ca="1"/>
        <v>0</v>
      </c>
      <c r="U151" s="603">
        <f ca="1"/>
        <v>0</v>
      </c>
      <c r="V151" s="1988">
        <f t="array" aca="1" ref="V151:V159" ca="1">'Distr CV 2'!J151:J159</f>
        <v>0</v>
      </c>
      <c r="W151" s="1988">
        <f ca="1"/>
        <v>0</v>
      </c>
      <c r="X151" s="1988">
        <f ca="1"/>
        <v>0</v>
      </c>
      <c r="Y151" s="2007">
        <f ca="1"/>
        <v>0</v>
      </c>
    </row>
    <row r="152" spans="1:25">
      <c r="A152" s="1995" t="str">
        <f>A$77</f>
        <v>5 meses antes</v>
      </c>
      <c r="B152" s="1991"/>
      <c r="C152" s="1991"/>
      <c r="D152" s="1991"/>
      <c r="E152" s="1991"/>
      <c r="F152" s="1991"/>
      <c r="G152" s="1991"/>
      <c r="H152" s="1991"/>
      <c r="I152" s="603">
        <f t="array" aca="1" ref="I152:T152" ca="1">B22:M22*Produção!$I$10</f>
        <v>0</v>
      </c>
      <c r="J152" s="603">
        <f ca="1"/>
        <v>0</v>
      </c>
      <c r="K152" s="603">
        <f ca="1"/>
        <v>0</v>
      </c>
      <c r="L152" s="603">
        <f ca="1"/>
        <v>0</v>
      </c>
      <c r="M152" s="603">
        <f ca="1"/>
        <v>0</v>
      </c>
      <c r="N152" s="603">
        <f ca="1"/>
        <v>0</v>
      </c>
      <c r="O152" s="603">
        <f ca="1"/>
        <v>0</v>
      </c>
      <c r="P152" s="603">
        <f ca="1"/>
        <v>0</v>
      </c>
      <c r="Q152" s="603">
        <f ca="1"/>
        <v>0</v>
      </c>
      <c r="R152" s="603">
        <f ca="1"/>
        <v>0</v>
      </c>
      <c r="S152" s="603">
        <f ca="1"/>
        <v>0</v>
      </c>
      <c r="T152" s="603">
        <f ca="1"/>
        <v>0</v>
      </c>
      <c r="U152" s="1988">
        <f t="array" aca="1" ref="U152:U159" ca="1">'Distr CV 2'!I152:I159</f>
        <v>0</v>
      </c>
      <c r="V152" s="1988">
        <f ca="1"/>
        <v>0</v>
      </c>
      <c r="W152" s="1988">
        <f ca="1"/>
        <v>0</v>
      </c>
      <c r="X152" s="1988">
        <f ca="1"/>
        <v>0</v>
      </c>
      <c r="Y152" s="2007">
        <f ca="1"/>
        <v>0</v>
      </c>
    </row>
    <row r="153" spans="1:25">
      <c r="A153" s="1995" t="str">
        <f>A$78</f>
        <v>6 meses antes</v>
      </c>
      <c r="B153" s="1991"/>
      <c r="C153" s="1991"/>
      <c r="D153" s="1991"/>
      <c r="E153" s="1991"/>
      <c r="F153" s="1991"/>
      <c r="G153" s="1991"/>
      <c r="H153" s="603">
        <f t="array" aca="1" ref="H153:S153" ca="1">B22:M22*Produção!$H$10</f>
        <v>0</v>
      </c>
      <c r="I153" s="603">
        <f ca="1"/>
        <v>0</v>
      </c>
      <c r="J153" s="603">
        <f ca="1"/>
        <v>0</v>
      </c>
      <c r="K153" s="603">
        <f ca="1"/>
        <v>0</v>
      </c>
      <c r="L153" s="603">
        <f ca="1"/>
        <v>0</v>
      </c>
      <c r="M153" s="603">
        <f ca="1"/>
        <v>0</v>
      </c>
      <c r="N153" s="603">
        <f ca="1"/>
        <v>0</v>
      </c>
      <c r="O153" s="603">
        <f ca="1"/>
        <v>0</v>
      </c>
      <c r="P153" s="603">
        <f ca="1"/>
        <v>0</v>
      </c>
      <c r="Q153" s="603">
        <f ca="1"/>
        <v>0</v>
      </c>
      <c r="R153" s="603">
        <f ca="1"/>
        <v>0</v>
      </c>
      <c r="S153" s="603">
        <f ca="1"/>
        <v>0</v>
      </c>
      <c r="T153" s="1988">
        <f t="array" aca="1" ref="T153:T159" ca="1">'Distr CV 2'!H153:H159</f>
        <v>0</v>
      </c>
      <c r="U153" s="1988">
        <f ca="1"/>
        <v>0</v>
      </c>
      <c r="V153" s="1988">
        <f ca="1"/>
        <v>0</v>
      </c>
      <c r="W153" s="1988">
        <f ca="1"/>
        <v>0</v>
      </c>
      <c r="X153" s="1988">
        <f ca="1"/>
        <v>0</v>
      </c>
      <c r="Y153" s="2007">
        <f ca="1"/>
        <v>0</v>
      </c>
    </row>
    <row r="154" spans="1:25">
      <c r="A154" s="1995" t="str">
        <f>A$79</f>
        <v>7 meses antes</v>
      </c>
      <c r="B154" s="1991"/>
      <c r="C154" s="1991"/>
      <c r="D154" s="1991"/>
      <c r="E154" s="1991"/>
      <c r="F154" s="1991"/>
      <c r="G154" s="603">
        <f t="array" aca="1" ref="G154:R154" ca="1">B22:M22*Produção!$G$10</f>
        <v>0</v>
      </c>
      <c r="H154" s="603">
        <f ca="1"/>
        <v>0</v>
      </c>
      <c r="I154" s="603">
        <f ca="1"/>
        <v>0</v>
      </c>
      <c r="J154" s="603">
        <f ca="1"/>
        <v>0</v>
      </c>
      <c r="K154" s="603">
        <f ca="1"/>
        <v>0</v>
      </c>
      <c r="L154" s="603">
        <f ca="1"/>
        <v>0</v>
      </c>
      <c r="M154" s="603">
        <f ca="1"/>
        <v>0</v>
      </c>
      <c r="N154" s="603">
        <f ca="1"/>
        <v>0</v>
      </c>
      <c r="O154" s="603">
        <f ca="1"/>
        <v>0</v>
      </c>
      <c r="P154" s="603">
        <f ca="1"/>
        <v>0</v>
      </c>
      <c r="Q154" s="603">
        <f ca="1"/>
        <v>0</v>
      </c>
      <c r="R154" s="603">
        <f ca="1"/>
        <v>0</v>
      </c>
      <c r="S154" s="1992">
        <f t="array" aca="1" ref="S154:S159" ca="1">'Distr CV 2'!G154:G159</f>
        <v>0</v>
      </c>
      <c r="T154" s="1992">
        <f ca="1"/>
        <v>0</v>
      </c>
      <c r="U154" s="1992">
        <f ca="1"/>
        <v>0</v>
      </c>
      <c r="V154" s="1992">
        <f ca="1"/>
        <v>0</v>
      </c>
      <c r="W154" s="1992">
        <f ca="1"/>
        <v>0</v>
      </c>
      <c r="X154" s="1992">
        <f ca="1"/>
        <v>0</v>
      </c>
      <c r="Y154" s="2010">
        <f ca="1"/>
        <v>0</v>
      </c>
    </row>
    <row r="155" spans="1:25">
      <c r="A155" s="1995" t="str">
        <f>A$80</f>
        <v>8 meses antes</v>
      </c>
      <c r="B155" s="1991"/>
      <c r="C155" s="1991"/>
      <c r="D155" s="1991"/>
      <c r="E155" s="1991"/>
      <c r="F155" s="603">
        <f t="array" aca="1" ref="F155:Q155" ca="1">B22:M22*Produção!$F$10</f>
        <v>0</v>
      </c>
      <c r="G155" s="603">
        <f ca="1"/>
        <v>0</v>
      </c>
      <c r="H155" s="603">
        <f ca="1"/>
        <v>0</v>
      </c>
      <c r="I155" s="603">
        <f ca="1"/>
        <v>0</v>
      </c>
      <c r="J155" s="603">
        <f ca="1"/>
        <v>0</v>
      </c>
      <c r="K155" s="603">
        <f ca="1"/>
        <v>0</v>
      </c>
      <c r="L155" s="603">
        <f ca="1"/>
        <v>0</v>
      </c>
      <c r="M155" s="603">
        <f ca="1"/>
        <v>0</v>
      </c>
      <c r="N155" s="603">
        <f ca="1"/>
        <v>0</v>
      </c>
      <c r="O155" s="603">
        <f ca="1"/>
        <v>0</v>
      </c>
      <c r="P155" s="603">
        <f ca="1"/>
        <v>0</v>
      </c>
      <c r="Q155" s="603">
        <f ca="1"/>
        <v>0</v>
      </c>
      <c r="R155" s="1992">
        <f t="array" aca="1" ref="R155:R159" ca="1">'Distr CV 2'!F155:F159</f>
        <v>0</v>
      </c>
      <c r="S155" s="1992">
        <f ca="1"/>
        <v>0</v>
      </c>
      <c r="T155" s="1992">
        <f ca="1"/>
        <v>0</v>
      </c>
      <c r="U155" s="1992">
        <f ca="1"/>
        <v>0</v>
      </c>
      <c r="V155" s="1992">
        <f ca="1"/>
        <v>0</v>
      </c>
      <c r="W155" s="1992">
        <f ca="1"/>
        <v>0</v>
      </c>
      <c r="X155" s="1992">
        <f ca="1"/>
        <v>0</v>
      </c>
      <c r="Y155" s="2010">
        <f ca="1"/>
        <v>0</v>
      </c>
    </row>
    <row r="156" spans="1:25">
      <c r="A156" s="1995" t="str">
        <f>A$81</f>
        <v>9 meses antes</v>
      </c>
      <c r="B156" s="1991"/>
      <c r="C156" s="1991"/>
      <c r="D156" s="1991"/>
      <c r="E156" s="603">
        <f t="array" aca="1" ref="E156:P156" ca="1">B22:M22*Produção!$E$10</f>
        <v>0</v>
      </c>
      <c r="F156" s="603">
        <f ca="1"/>
        <v>0</v>
      </c>
      <c r="G156" s="603">
        <f ca="1"/>
        <v>0</v>
      </c>
      <c r="H156" s="603">
        <f ca="1"/>
        <v>0</v>
      </c>
      <c r="I156" s="603">
        <f ca="1"/>
        <v>0</v>
      </c>
      <c r="J156" s="603">
        <f ca="1"/>
        <v>0</v>
      </c>
      <c r="K156" s="603">
        <f ca="1"/>
        <v>0</v>
      </c>
      <c r="L156" s="603">
        <f ca="1"/>
        <v>0</v>
      </c>
      <c r="M156" s="603">
        <f ca="1"/>
        <v>0</v>
      </c>
      <c r="N156" s="603">
        <f ca="1"/>
        <v>0</v>
      </c>
      <c r="O156" s="603">
        <f ca="1"/>
        <v>0</v>
      </c>
      <c r="P156" s="603">
        <f ca="1"/>
        <v>0</v>
      </c>
      <c r="Q156" s="1992">
        <f t="array" aca="1" ref="Q156:Q159" ca="1">'Distr CV 2'!E156:E159</f>
        <v>0</v>
      </c>
      <c r="R156" s="1992">
        <f ca="1"/>
        <v>0</v>
      </c>
      <c r="S156" s="1992">
        <f ca="1"/>
        <v>0</v>
      </c>
      <c r="T156" s="1992">
        <f ca="1"/>
        <v>0</v>
      </c>
      <c r="U156" s="1992">
        <f ca="1"/>
        <v>0</v>
      </c>
      <c r="V156" s="1992">
        <f ca="1"/>
        <v>0</v>
      </c>
      <c r="W156" s="1992">
        <f ca="1"/>
        <v>0</v>
      </c>
      <c r="X156" s="1992">
        <f ca="1"/>
        <v>0</v>
      </c>
      <c r="Y156" s="2010">
        <f ca="1"/>
        <v>0</v>
      </c>
    </row>
    <row r="157" spans="1:25">
      <c r="A157" s="1995" t="str">
        <f>A$82</f>
        <v>10 meses antes</v>
      </c>
      <c r="B157" s="1991"/>
      <c r="C157" s="1991"/>
      <c r="D157" s="603">
        <f t="array" aca="1" ref="D157:O157" ca="1">B22:M22*Produção!$D$10</f>
        <v>0</v>
      </c>
      <c r="E157" s="603">
        <f ca="1"/>
        <v>0</v>
      </c>
      <c r="F157" s="603">
        <f ca="1"/>
        <v>0</v>
      </c>
      <c r="G157" s="603">
        <f ca="1"/>
        <v>0</v>
      </c>
      <c r="H157" s="603">
        <f ca="1"/>
        <v>0</v>
      </c>
      <c r="I157" s="603">
        <f ca="1"/>
        <v>0</v>
      </c>
      <c r="J157" s="603">
        <f ca="1"/>
        <v>0</v>
      </c>
      <c r="K157" s="603">
        <f ca="1"/>
        <v>0</v>
      </c>
      <c r="L157" s="603">
        <f ca="1"/>
        <v>0</v>
      </c>
      <c r="M157" s="603">
        <f ca="1"/>
        <v>0</v>
      </c>
      <c r="N157" s="603">
        <f ca="1"/>
        <v>0</v>
      </c>
      <c r="O157" s="603">
        <f ca="1"/>
        <v>0</v>
      </c>
      <c r="P157" s="1992">
        <f t="array" aca="1" ref="P157:P159" ca="1">'Distr CV 2'!D157:D159</f>
        <v>0</v>
      </c>
      <c r="Q157" s="1992">
        <f ca="1"/>
        <v>0</v>
      </c>
      <c r="R157" s="1992">
        <f ca="1"/>
        <v>0</v>
      </c>
      <c r="S157" s="1992">
        <f ca="1"/>
        <v>0</v>
      </c>
      <c r="T157" s="1992">
        <f ca="1"/>
        <v>0</v>
      </c>
      <c r="U157" s="1992">
        <f ca="1"/>
        <v>0</v>
      </c>
      <c r="V157" s="1992">
        <f ca="1"/>
        <v>0</v>
      </c>
      <c r="W157" s="1992">
        <f ca="1"/>
        <v>0</v>
      </c>
      <c r="X157" s="1992">
        <f ca="1"/>
        <v>0</v>
      </c>
      <c r="Y157" s="2010">
        <f ca="1"/>
        <v>0</v>
      </c>
    </row>
    <row r="158" spans="1:25">
      <c r="A158" s="1995" t="str">
        <f>A$83</f>
        <v>11 meses antes</v>
      </c>
      <c r="B158" s="1991"/>
      <c r="C158" s="603">
        <f t="array" aca="1" ref="C158:N158" ca="1">B22:M22*Produção!$C$10</f>
        <v>0</v>
      </c>
      <c r="D158" s="603">
        <f ca="1"/>
        <v>0</v>
      </c>
      <c r="E158" s="603">
        <f ca="1"/>
        <v>0</v>
      </c>
      <c r="F158" s="603">
        <f ca="1"/>
        <v>0</v>
      </c>
      <c r="G158" s="603">
        <f ca="1"/>
        <v>0</v>
      </c>
      <c r="H158" s="603">
        <f ca="1"/>
        <v>0</v>
      </c>
      <c r="I158" s="603">
        <f ca="1"/>
        <v>0</v>
      </c>
      <c r="J158" s="603">
        <f ca="1"/>
        <v>0</v>
      </c>
      <c r="K158" s="603">
        <f ca="1"/>
        <v>0</v>
      </c>
      <c r="L158" s="603">
        <f ca="1"/>
        <v>0</v>
      </c>
      <c r="M158" s="603">
        <f ca="1"/>
        <v>0</v>
      </c>
      <c r="N158" s="603">
        <f ca="1"/>
        <v>0</v>
      </c>
      <c r="O158" s="1992">
        <f ca="1">'Distr CV 2'!C158</f>
        <v>0</v>
      </c>
      <c r="P158" s="1992">
        <f ca="1"/>
        <v>0</v>
      </c>
      <c r="Q158" s="1992">
        <f ca="1"/>
        <v>0</v>
      </c>
      <c r="R158" s="1992">
        <f ca="1"/>
        <v>0</v>
      </c>
      <c r="S158" s="1992">
        <f ca="1"/>
        <v>0</v>
      </c>
      <c r="T158" s="1992">
        <f ca="1"/>
        <v>0</v>
      </c>
      <c r="U158" s="1992">
        <f ca="1"/>
        <v>0</v>
      </c>
      <c r="V158" s="1992">
        <f ca="1"/>
        <v>0</v>
      </c>
      <c r="W158" s="1992">
        <f ca="1"/>
        <v>0</v>
      </c>
      <c r="X158" s="1992">
        <f ca="1"/>
        <v>0</v>
      </c>
      <c r="Y158" s="2010">
        <f ca="1"/>
        <v>0</v>
      </c>
    </row>
    <row r="159" spans="1:25" ht="13.5" thickBot="1">
      <c r="A159" s="1995" t="str">
        <f>A$84</f>
        <v>12 meses antes</v>
      </c>
      <c r="B159" s="603">
        <f t="array" aca="1" ref="B159:M159" ca="1">B22:M22*Produção!$B$10</f>
        <v>0</v>
      </c>
      <c r="C159" s="603">
        <f ca="1"/>
        <v>0</v>
      </c>
      <c r="D159" s="603">
        <f ca="1"/>
        <v>0</v>
      </c>
      <c r="E159" s="603">
        <f ca="1"/>
        <v>0</v>
      </c>
      <c r="F159" s="603">
        <f ca="1"/>
        <v>0</v>
      </c>
      <c r="G159" s="603">
        <f ca="1"/>
        <v>0</v>
      </c>
      <c r="H159" s="603">
        <f ca="1"/>
        <v>0</v>
      </c>
      <c r="I159" s="603">
        <f ca="1"/>
        <v>0</v>
      </c>
      <c r="J159" s="603">
        <f ca="1"/>
        <v>0</v>
      </c>
      <c r="K159" s="603">
        <f ca="1"/>
        <v>0</v>
      </c>
      <c r="L159" s="603">
        <f ca="1"/>
        <v>0</v>
      </c>
      <c r="M159" s="603">
        <f ca="1"/>
        <v>0</v>
      </c>
      <c r="N159" s="1991">
        <f ca="1">'Distr CV 2'!B159</f>
        <v>0</v>
      </c>
      <c r="O159" s="1992">
        <f ca="1">'Distr CV 2'!C159</f>
        <v>0</v>
      </c>
      <c r="P159" s="1992">
        <f ca="1"/>
        <v>0</v>
      </c>
      <c r="Q159" s="1992">
        <f ca="1"/>
        <v>0</v>
      </c>
      <c r="R159" s="1992">
        <f ca="1"/>
        <v>0</v>
      </c>
      <c r="S159" s="1992">
        <f ca="1"/>
        <v>0</v>
      </c>
      <c r="T159" s="1992">
        <f ca="1"/>
        <v>0</v>
      </c>
      <c r="U159" s="1992">
        <f ca="1"/>
        <v>0</v>
      </c>
      <c r="V159" s="1992">
        <f ca="1"/>
        <v>0</v>
      </c>
      <c r="W159" s="1992">
        <f ca="1"/>
        <v>0</v>
      </c>
      <c r="X159" s="1992">
        <f ca="1"/>
        <v>0</v>
      </c>
      <c r="Y159" s="2010">
        <f ca="1"/>
        <v>0</v>
      </c>
    </row>
    <row r="160" spans="1:25" ht="13.5" thickBot="1">
      <c r="A160" s="105" t="str">
        <f>"Totales CV "&amp;A$10</f>
        <v xml:space="preserve">Totales CV </v>
      </c>
      <c r="B160" s="607">
        <f t="shared" ref="B160:Y160" ca="1" si="13">SUM(B147:B159)</f>
        <v>0</v>
      </c>
      <c r="C160" s="607">
        <f t="shared" ca="1" si="13"/>
        <v>0</v>
      </c>
      <c r="D160" s="607">
        <f t="shared" ca="1" si="13"/>
        <v>0</v>
      </c>
      <c r="E160" s="607">
        <f t="shared" ca="1" si="13"/>
        <v>0</v>
      </c>
      <c r="F160" s="607">
        <f t="shared" ca="1" si="13"/>
        <v>0</v>
      </c>
      <c r="G160" s="607">
        <f t="shared" ca="1" si="13"/>
        <v>0</v>
      </c>
      <c r="H160" s="607">
        <f t="shared" ca="1" si="13"/>
        <v>0</v>
      </c>
      <c r="I160" s="607">
        <f t="shared" ca="1" si="13"/>
        <v>0</v>
      </c>
      <c r="J160" s="607">
        <f t="shared" ca="1" si="13"/>
        <v>0</v>
      </c>
      <c r="K160" s="607">
        <f t="shared" ca="1" si="13"/>
        <v>0</v>
      </c>
      <c r="L160" s="607">
        <f t="shared" ca="1" si="13"/>
        <v>0</v>
      </c>
      <c r="M160" s="607">
        <f t="shared" ca="1" si="13"/>
        <v>0</v>
      </c>
      <c r="N160" s="607">
        <f t="shared" ca="1" si="13"/>
        <v>0</v>
      </c>
      <c r="O160" s="607">
        <f t="shared" ca="1" si="13"/>
        <v>0</v>
      </c>
      <c r="P160" s="607">
        <f t="shared" ca="1" si="13"/>
        <v>0</v>
      </c>
      <c r="Q160" s="607">
        <f t="shared" ca="1" si="13"/>
        <v>0</v>
      </c>
      <c r="R160" s="607">
        <f t="shared" ca="1" si="13"/>
        <v>0</v>
      </c>
      <c r="S160" s="607">
        <f t="shared" ca="1" si="13"/>
        <v>0</v>
      </c>
      <c r="T160" s="607">
        <f t="shared" ca="1" si="13"/>
        <v>0</v>
      </c>
      <c r="U160" s="607">
        <f t="shared" ca="1" si="13"/>
        <v>0</v>
      </c>
      <c r="V160" s="607">
        <f t="shared" ca="1" si="13"/>
        <v>0</v>
      </c>
      <c r="W160" s="607">
        <f t="shared" ca="1" si="13"/>
        <v>0</v>
      </c>
      <c r="X160" s="607">
        <f t="shared" ca="1" si="13"/>
        <v>0</v>
      </c>
      <c r="Y160" s="2008">
        <f t="shared" ca="1" si="13"/>
        <v>0</v>
      </c>
    </row>
    <row r="161" spans="1:25" ht="13.5" thickBot="1">
      <c r="A161" s="105" t="str">
        <f>'Dados Básicos'!A28&amp;" sop. CV "&amp;$A$10</f>
        <v xml:space="preserve">IVA sop. CV </v>
      </c>
      <c r="B161" s="607">
        <f t="array" aca="1" ref="B161:Y161" ca="1">$K$145*B160:Y160</f>
        <v>0</v>
      </c>
      <c r="C161" s="607">
        <f ca="1"/>
        <v>0</v>
      </c>
      <c r="D161" s="607">
        <f ca="1"/>
        <v>0</v>
      </c>
      <c r="E161" s="607">
        <f ca="1"/>
        <v>0</v>
      </c>
      <c r="F161" s="607">
        <f ca="1"/>
        <v>0</v>
      </c>
      <c r="G161" s="607">
        <f ca="1"/>
        <v>0</v>
      </c>
      <c r="H161" s="607">
        <f ca="1"/>
        <v>0</v>
      </c>
      <c r="I161" s="607">
        <f ca="1"/>
        <v>0</v>
      </c>
      <c r="J161" s="607">
        <f ca="1"/>
        <v>0</v>
      </c>
      <c r="K161" s="607">
        <f ca="1"/>
        <v>0</v>
      </c>
      <c r="L161" s="607">
        <f ca="1"/>
        <v>0</v>
      </c>
      <c r="M161" s="607">
        <f ca="1"/>
        <v>0</v>
      </c>
      <c r="N161" s="607">
        <f ca="1"/>
        <v>0</v>
      </c>
      <c r="O161" s="607">
        <f ca="1"/>
        <v>0</v>
      </c>
      <c r="P161" s="607">
        <f ca="1"/>
        <v>0</v>
      </c>
      <c r="Q161" s="607">
        <f ca="1"/>
        <v>0</v>
      </c>
      <c r="R161" s="607">
        <f ca="1"/>
        <v>0</v>
      </c>
      <c r="S161" s="607">
        <f ca="1"/>
        <v>0</v>
      </c>
      <c r="T161" s="607">
        <f ca="1"/>
        <v>0</v>
      </c>
      <c r="U161" s="607">
        <f ca="1"/>
        <v>0</v>
      </c>
      <c r="V161" s="607">
        <f ca="1"/>
        <v>0</v>
      </c>
      <c r="W161" s="607">
        <f ca="1"/>
        <v>0</v>
      </c>
      <c r="X161" s="607">
        <f ca="1"/>
        <v>0</v>
      </c>
      <c r="Y161" s="2008">
        <f ca="1"/>
        <v>0</v>
      </c>
    </row>
    <row r="163" spans="1:25" ht="18.75" thickBot="1">
      <c r="A163" s="1993" t="str">
        <f>'Distr CV 0'!A163</f>
        <v xml:space="preserve">Compras / custos de producción por meses de </v>
      </c>
      <c r="I163" s="1993" t="str">
        <f>$I$109</f>
        <v>IVA NÃO incluido</v>
      </c>
      <c r="K163" s="2005">
        <f>Parametros!$F$27</f>
        <v>0.21</v>
      </c>
    </row>
    <row r="164" spans="1:25" ht="30" customHeight="1" thickBot="1">
      <c r="A164" s="457" t="str">
        <f>'Distr CV 0'!A164</f>
        <v>mes de compra / custo</v>
      </c>
      <c r="B164" s="2011" t="str">
        <f t="array" ref="B164:Y164">B$71:Y$71</f>
        <v>janeiro 
2026</v>
      </c>
      <c r="C164" s="2011" t="str">
        <v>fevereiro 
2026</v>
      </c>
      <c r="D164" s="2011" t="str">
        <v>março 
2026</v>
      </c>
      <c r="E164" s="2011" t="str">
        <v>abril 
2026</v>
      </c>
      <c r="F164" s="2011" t="str">
        <v>maio 
2026</v>
      </c>
      <c r="G164" s="2011" t="str">
        <v>junho 
2026</v>
      </c>
      <c r="H164" s="2011" t="str">
        <v>julho 
2026</v>
      </c>
      <c r="I164" s="2011" t="str">
        <v>agosto 
2026</v>
      </c>
      <c r="J164" s="2011" t="str">
        <v>setembro 
2026</v>
      </c>
      <c r="K164" s="2011" t="str">
        <v>outubro 
2026</v>
      </c>
      <c r="L164" s="2011" t="str">
        <v>novembro 
2026</v>
      </c>
      <c r="M164" s="2011" t="str">
        <v>dezembro 
2026</v>
      </c>
      <c r="N164" s="2737" t="str">
        <v>janeiro 
2027</v>
      </c>
      <c r="O164" s="2738" t="str">
        <v>fevereiro 
2027</v>
      </c>
      <c r="P164" s="2738" t="str">
        <v>março 
2027</v>
      </c>
      <c r="Q164" s="2738" t="str">
        <v>abril 
2027</v>
      </c>
      <c r="R164" s="2738" t="str">
        <v>maio 
2027</v>
      </c>
      <c r="S164" s="2738" t="str">
        <v>junho 
2027</v>
      </c>
      <c r="T164" s="2738" t="str">
        <v>julho 
2027</v>
      </c>
      <c r="U164" s="2738" t="str">
        <v>agosto 
2027</v>
      </c>
      <c r="V164" s="2738" t="str">
        <v>setembro 
2027</v>
      </c>
      <c r="W164" s="2738" t="str">
        <v>outubro 
2027</v>
      </c>
      <c r="X164" s="2738" t="str">
        <v>novembro 
2027</v>
      </c>
      <c r="Y164" s="2739" t="str">
        <v>dezembro 
2027</v>
      </c>
    </row>
    <row r="165" spans="1:25">
      <c r="A165" s="1994" t="str">
        <f>A$72</f>
        <v>mismo mes</v>
      </c>
      <c r="B165" s="1991"/>
      <c r="C165" s="1991"/>
      <c r="D165" s="1991"/>
      <c r="E165" s="1991"/>
      <c r="F165" s="1991"/>
      <c r="G165" s="1991"/>
      <c r="H165" s="1991"/>
      <c r="I165" s="1991"/>
      <c r="J165" s="1991"/>
      <c r="K165" s="1991"/>
      <c r="L165" s="1991"/>
      <c r="M165" s="1991"/>
      <c r="N165" s="603">
        <f t="array" aca="1" ref="N165:Y165" ca="1">B23:M23*Produção!$N$11</f>
        <v>0</v>
      </c>
      <c r="O165" s="603">
        <f ca="1"/>
        <v>0</v>
      </c>
      <c r="P165" s="603">
        <f ca="1"/>
        <v>0</v>
      </c>
      <c r="Q165" s="603">
        <f ca="1"/>
        <v>0</v>
      </c>
      <c r="R165" s="603">
        <f ca="1"/>
        <v>0</v>
      </c>
      <c r="S165" s="603">
        <f ca="1"/>
        <v>0</v>
      </c>
      <c r="T165" s="603">
        <f ca="1"/>
        <v>0</v>
      </c>
      <c r="U165" s="603">
        <f ca="1"/>
        <v>0</v>
      </c>
      <c r="V165" s="603">
        <f ca="1"/>
        <v>0</v>
      </c>
      <c r="W165" s="603">
        <f ca="1"/>
        <v>0</v>
      </c>
      <c r="X165" s="603">
        <f ca="1"/>
        <v>0</v>
      </c>
      <c r="Y165" s="2006">
        <f ca="1"/>
        <v>0</v>
      </c>
    </row>
    <row r="166" spans="1:25">
      <c r="A166" s="1995" t="str">
        <f>A$73</f>
        <v>1 mes antes</v>
      </c>
      <c r="B166" s="1991"/>
      <c r="C166" s="1991"/>
      <c r="D166" s="1991"/>
      <c r="E166" s="1991"/>
      <c r="F166" s="1991"/>
      <c r="G166" s="1991"/>
      <c r="H166" s="1991"/>
      <c r="I166" s="1991"/>
      <c r="J166" s="1991"/>
      <c r="K166" s="1991"/>
      <c r="L166" s="1991"/>
      <c r="M166" s="603">
        <f t="array" aca="1" ref="M166:X166" ca="1">B23:M23*Produção!$M$11</f>
        <v>0</v>
      </c>
      <c r="N166" s="603">
        <f ca="1"/>
        <v>0</v>
      </c>
      <c r="O166" s="603">
        <f ca="1"/>
        <v>0</v>
      </c>
      <c r="P166" s="603">
        <f ca="1"/>
        <v>0</v>
      </c>
      <c r="Q166" s="603">
        <f ca="1"/>
        <v>0</v>
      </c>
      <c r="R166" s="603">
        <f ca="1"/>
        <v>0</v>
      </c>
      <c r="S166" s="603">
        <f ca="1"/>
        <v>0</v>
      </c>
      <c r="T166" s="603">
        <f ca="1"/>
        <v>0</v>
      </c>
      <c r="U166" s="603">
        <f ca="1"/>
        <v>0</v>
      </c>
      <c r="V166" s="603">
        <f ca="1"/>
        <v>0</v>
      </c>
      <c r="W166" s="603">
        <f ca="1"/>
        <v>0</v>
      </c>
      <c r="X166" s="603">
        <f ca="1"/>
        <v>0</v>
      </c>
      <c r="Y166" s="2007">
        <f t="array" aca="1" ref="Y166:Y177" ca="1">'Distr CV 2'!M166:M177</f>
        <v>0</v>
      </c>
    </row>
    <row r="167" spans="1:25">
      <c r="A167" s="1995" t="str">
        <f>A$74</f>
        <v>2 meses antes</v>
      </c>
      <c r="B167" s="1991"/>
      <c r="C167" s="1991"/>
      <c r="D167" s="1991"/>
      <c r="E167" s="1991"/>
      <c r="F167" s="1991"/>
      <c r="G167" s="1991"/>
      <c r="H167" s="1991"/>
      <c r="I167" s="1991"/>
      <c r="J167" s="1991"/>
      <c r="K167" s="1991"/>
      <c r="L167" s="603">
        <f t="array" aca="1" ref="L167:W167" ca="1">B23:M23*Produção!$L$11</f>
        <v>0</v>
      </c>
      <c r="M167" s="603">
        <f ca="1"/>
        <v>0</v>
      </c>
      <c r="N167" s="603">
        <f ca="1"/>
        <v>0</v>
      </c>
      <c r="O167" s="603">
        <f ca="1"/>
        <v>0</v>
      </c>
      <c r="P167" s="603">
        <f ca="1"/>
        <v>0</v>
      </c>
      <c r="Q167" s="603">
        <f ca="1"/>
        <v>0</v>
      </c>
      <c r="R167" s="603">
        <f ca="1"/>
        <v>0</v>
      </c>
      <c r="S167" s="603">
        <f ca="1"/>
        <v>0</v>
      </c>
      <c r="T167" s="603">
        <f ca="1"/>
        <v>0</v>
      </c>
      <c r="U167" s="603">
        <f ca="1"/>
        <v>0</v>
      </c>
      <c r="V167" s="603">
        <f ca="1"/>
        <v>0</v>
      </c>
      <c r="W167" s="603">
        <f ca="1"/>
        <v>0</v>
      </c>
      <c r="X167" s="1988">
        <f t="array" aca="1" ref="X167:X177" ca="1">'Distr CV 2'!L167:L177</f>
        <v>0</v>
      </c>
      <c r="Y167" s="2007">
        <f ca="1"/>
        <v>0</v>
      </c>
    </row>
    <row r="168" spans="1:25">
      <c r="A168" s="1995" t="str">
        <f>A$75</f>
        <v>3 meses antes</v>
      </c>
      <c r="B168" s="1991"/>
      <c r="C168" s="1991"/>
      <c r="D168" s="1991"/>
      <c r="E168" s="1991"/>
      <c r="F168" s="1991"/>
      <c r="G168" s="1991"/>
      <c r="H168" s="1991"/>
      <c r="I168" s="1991"/>
      <c r="J168" s="1991"/>
      <c r="K168" s="603">
        <f t="array" aca="1" ref="K168:V168" ca="1">B23:M23*Produção!$K$11</f>
        <v>0</v>
      </c>
      <c r="L168" s="603">
        <f ca="1"/>
        <v>0</v>
      </c>
      <c r="M168" s="603">
        <f ca="1"/>
        <v>0</v>
      </c>
      <c r="N168" s="603">
        <f ca="1"/>
        <v>0</v>
      </c>
      <c r="O168" s="603">
        <f ca="1"/>
        <v>0</v>
      </c>
      <c r="P168" s="603">
        <f ca="1"/>
        <v>0</v>
      </c>
      <c r="Q168" s="603">
        <f ca="1"/>
        <v>0</v>
      </c>
      <c r="R168" s="603">
        <f ca="1"/>
        <v>0</v>
      </c>
      <c r="S168" s="603">
        <f ca="1"/>
        <v>0</v>
      </c>
      <c r="T168" s="603">
        <f ca="1"/>
        <v>0</v>
      </c>
      <c r="U168" s="603">
        <f ca="1"/>
        <v>0</v>
      </c>
      <c r="V168" s="603">
        <f ca="1"/>
        <v>0</v>
      </c>
      <c r="W168" s="1988">
        <f t="array" aca="1" ref="W168:W177" ca="1">'Distr CV 2'!K168:K177</f>
        <v>0</v>
      </c>
      <c r="X168" s="1988">
        <f ca="1"/>
        <v>0</v>
      </c>
      <c r="Y168" s="2007">
        <f ca="1"/>
        <v>0</v>
      </c>
    </row>
    <row r="169" spans="1:25">
      <c r="A169" s="1995" t="str">
        <f>A$76</f>
        <v>4 meses antes</v>
      </c>
      <c r="B169" s="1991"/>
      <c r="C169" s="1991"/>
      <c r="D169" s="1991"/>
      <c r="E169" s="1991"/>
      <c r="F169" s="1991"/>
      <c r="G169" s="1991"/>
      <c r="H169" s="1991"/>
      <c r="I169" s="1991"/>
      <c r="J169" s="603">
        <f t="array" aca="1" ref="J169:U169" ca="1">B23:M23*Produção!$J$11</f>
        <v>0</v>
      </c>
      <c r="K169" s="603">
        <f ca="1"/>
        <v>0</v>
      </c>
      <c r="L169" s="603">
        <f ca="1"/>
        <v>0</v>
      </c>
      <c r="M169" s="603">
        <f ca="1"/>
        <v>0</v>
      </c>
      <c r="N169" s="603">
        <f ca="1"/>
        <v>0</v>
      </c>
      <c r="O169" s="603">
        <f ca="1"/>
        <v>0</v>
      </c>
      <c r="P169" s="603">
        <f ca="1"/>
        <v>0</v>
      </c>
      <c r="Q169" s="603">
        <f ca="1"/>
        <v>0</v>
      </c>
      <c r="R169" s="603">
        <f ca="1"/>
        <v>0</v>
      </c>
      <c r="S169" s="603">
        <f ca="1"/>
        <v>0</v>
      </c>
      <c r="T169" s="603">
        <f ca="1"/>
        <v>0</v>
      </c>
      <c r="U169" s="603">
        <f ca="1"/>
        <v>0</v>
      </c>
      <c r="V169" s="1988">
        <f t="array" aca="1" ref="V169:V177" ca="1">'Distr CV 2'!J169:J177</f>
        <v>0</v>
      </c>
      <c r="W169" s="1988">
        <f ca="1"/>
        <v>0</v>
      </c>
      <c r="X169" s="1988">
        <f ca="1"/>
        <v>0</v>
      </c>
      <c r="Y169" s="2007">
        <f ca="1"/>
        <v>0</v>
      </c>
    </row>
    <row r="170" spans="1:25">
      <c r="A170" s="1995" t="str">
        <f>A$77</f>
        <v>5 meses antes</v>
      </c>
      <c r="B170" s="1991"/>
      <c r="C170" s="1991"/>
      <c r="D170" s="1991"/>
      <c r="E170" s="1991"/>
      <c r="F170" s="1991"/>
      <c r="G170" s="1991"/>
      <c r="H170" s="1991"/>
      <c r="I170" s="603">
        <f t="array" aca="1" ref="I170:T170" ca="1">B23:M23*Produção!$I$11</f>
        <v>0</v>
      </c>
      <c r="J170" s="603">
        <f ca="1"/>
        <v>0</v>
      </c>
      <c r="K170" s="603">
        <f ca="1"/>
        <v>0</v>
      </c>
      <c r="L170" s="603">
        <f ca="1"/>
        <v>0</v>
      </c>
      <c r="M170" s="603">
        <f ca="1"/>
        <v>0</v>
      </c>
      <c r="N170" s="603">
        <f ca="1"/>
        <v>0</v>
      </c>
      <c r="O170" s="603">
        <f ca="1"/>
        <v>0</v>
      </c>
      <c r="P170" s="603">
        <f ca="1"/>
        <v>0</v>
      </c>
      <c r="Q170" s="603">
        <f ca="1"/>
        <v>0</v>
      </c>
      <c r="R170" s="603">
        <f ca="1"/>
        <v>0</v>
      </c>
      <c r="S170" s="603">
        <f ca="1"/>
        <v>0</v>
      </c>
      <c r="T170" s="603">
        <f ca="1"/>
        <v>0</v>
      </c>
      <c r="U170" s="1988">
        <f t="array" aca="1" ref="U170:U177" ca="1">'Distr CV 2'!I170:I177</f>
        <v>0</v>
      </c>
      <c r="V170" s="1988">
        <f ca="1"/>
        <v>0</v>
      </c>
      <c r="W170" s="1988">
        <f ca="1"/>
        <v>0</v>
      </c>
      <c r="X170" s="1988">
        <f ca="1"/>
        <v>0</v>
      </c>
      <c r="Y170" s="2007">
        <f ca="1"/>
        <v>0</v>
      </c>
    </row>
    <row r="171" spans="1:25">
      <c r="A171" s="1995" t="str">
        <f>A$78</f>
        <v>6 meses antes</v>
      </c>
      <c r="B171" s="1991"/>
      <c r="C171" s="1991"/>
      <c r="D171" s="1991"/>
      <c r="E171" s="1991"/>
      <c r="F171" s="1991"/>
      <c r="G171" s="1991"/>
      <c r="H171" s="603">
        <f t="array" aca="1" ref="H171:S171" ca="1">B23:M23*Produção!$H$11</f>
        <v>0</v>
      </c>
      <c r="I171" s="603">
        <f ca="1"/>
        <v>0</v>
      </c>
      <c r="J171" s="603">
        <f ca="1"/>
        <v>0</v>
      </c>
      <c r="K171" s="603">
        <f ca="1"/>
        <v>0</v>
      </c>
      <c r="L171" s="603">
        <f ca="1"/>
        <v>0</v>
      </c>
      <c r="M171" s="603">
        <f ca="1"/>
        <v>0</v>
      </c>
      <c r="N171" s="603">
        <f ca="1"/>
        <v>0</v>
      </c>
      <c r="O171" s="603">
        <f ca="1"/>
        <v>0</v>
      </c>
      <c r="P171" s="603">
        <f ca="1"/>
        <v>0</v>
      </c>
      <c r="Q171" s="603">
        <f ca="1"/>
        <v>0</v>
      </c>
      <c r="R171" s="603">
        <f ca="1"/>
        <v>0</v>
      </c>
      <c r="S171" s="603">
        <f ca="1"/>
        <v>0</v>
      </c>
      <c r="T171" s="1988">
        <f t="array" aca="1" ref="T171:T177" ca="1">'Distr CV 2'!H171:H177</f>
        <v>0</v>
      </c>
      <c r="U171" s="1988">
        <f ca="1"/>
        <v>0</v>
      </c>
      <c r="V171" s="1988">
        <f ca="1"/>
        <v>0</v>
      </c>
      <c r="W171" s="1988">
        <f ca="1"/>
        <v>0</v>
      </c>
      <c r="X171" s="1988">
        <f ca="1"/>
        <v>0</v>
      </c>
      <c r="Y171" s="2007">
        <f ca="1"/>
        <v>0</v>
      </c>
    </row>
    <row r="172" spans="1:25">
      <c r="A172" s="1995" t="str">
        <f>A$79</f>
        <v>7 meses antes</v>
      </c>
      <c r="B172" s="1991"/>
      <c r="C172" s="1991"/>
      <c r="D172" s="1991"/>
      <c r="E172" s="1991"/>
      <c r="F172" s="1991"/>
      <c r="G172" s="603">
        <f t="array" aca="1" ref="G172:R172" ca="1">B23:M23*Produção!$G$11</f>
        <v>0</v>
      </c>
      <c r="H172" s="603">
        <f ca="1"/>
        <v>0</v>
      </c>
      <c r="I172" s="603">
        <f ca="1"/>
        <v>0</v>
      </c>
      <c r="J172" s="603">
        <f ca="1"/>
        <v>0</v>
      </c>
      <c r="K172" s="603">
        <f ca="1"/>
        <v>0</v>
      </c>
      <c r="L172" s="603">
        <f ca="1"/>
        <v>0</v>
      </c>
      <c r="M172" s="603">
        <f ca="1"/>
        <v>0</v>
      </c>
      <c r="N172" s="603">
        <f ca="1"/>
        <v>0</v>
      </c>
      <c r="O172" s="603">
        <f ca="1"/>
        <v>0</v>
      </c>
      <c r="P172" s="603">
        <f ca="1"/>
        <v>0</v>
      </c>
      <c r="Q172" s="603">
        <f ca="1"/>
        <v>0</v>
      </c>
      <c r="R172" s="603">
        <f ca="1"/>
        <v>0</v>
      </c>
      <c r="S172" s="1992">
        <f t="array" aca="1" ref="S172:S177" ca="1">'Distr CV 2'!G172:G177</f>
        <v>0</v>
      </c>
      <c r="T172" s="1992">
        <f ca="1"/>
        <v>0</v>
      </c>
      <c r="U172" s="1992">
        <f ca="1"/>
        <v>0</v>
      </c>
      <c r="V172" s="1992">
        <f ca="1"/>
        <v>0</v>
      </c>
      <c r="W172" s="1992">
        <f ca="1"/>
        <v>0</v>
      </c>
      <c r="X172" s="1992">
        <f ca="1"/>
        <v>0</v>
      </c>
      <c r="Y172" s="2010">
        <f ca="1"/>
        <v>0</v>
      </c>
    </row>
    <row r="173" spans="1:25">
      <c r="A173" s="1995" t="str">
        <f>A$80</f>
        <v>8 meses antes</v>
      </c>
      <c r="B173" s="1991"/>
      <c r="C173" s="1991"/>
      <c r="D173" s="1991"/>
      <c r="E173" s="1991"/>
      <c r="F173" s="603">
        <f t="array" aca="1" ref="F173:Q173" ca="1">B23:M23*Produção!$F$11</f>
        <v>0</v>
      </c>
      <c r="G173" s="603">
        <f ca="1"/>
        <v>0</v>
      </c>
      <c r="H173" s="603">
        <f ca="1"/>
        <v>0</v>
      </c>
      <c r="I173" s="603">
        <f ca="1"/>
        <v>0</v>
      </c>
      <c r="J173" s="603">
        <f ca="1"/>
        <v>0</v>
      </c>
      <c r="K173" s="603">
        <f ca="1"/>
        <v>0</v>
      </c>
      <c r="L173" s="603">
        <f ca="1"/>
        <v>0</v>
      </c>
      <c r="M173" s="603">
        <f ca="1"/>
        <v>0</v>
      </c>
      <c r="N173" s="603">
        <f ca="1"/>
        <v>0</v>
      </c>
      <c r="O173" s="603">
        <f ca="1"/>
        <v>0</v>
      </c>
      <c r="P173" s="603">
        <f ca="1"/>
        <v>0</v>
      </c>
      <c r="Q173" s="603">
        <f ca="1"/>
        <v>0</v>
      </c>
      <c r="R173" s="1992">
        <f t="array" aca="1" ref="R173:R177" ca="1">'Distr CV 2'!F173:F177</f>
        <v>0</v>
      </c>
      <c r="S173" s="1992">
        <f ca="1"/>
        <v>0</v>
      </c>
      <c r="T173" s="1992">
        <f ca="1"/>
        <v>0</v>
      </c>
      <c r="U173" s="1992">
        <f ca="1"/>
        <v>0</v>
      </c>
      <c r="V173" s="1992">
        <f ca="1"/>
        <v>0</v>
      </c>
      <c r="W173" s="1992">
        <f ca="1"/>
        <v>0</v>
      </c>
      <c r="X173" s="1992">
        <f ca="1"/>
        <v>0</v>
      </c>
      <c r="Y173" s="2010">
        <f ca="1"/>
        <v>0</v>
      </c>
    </row>
    <row r="174" spans="1:25">
      <c r="A174" s="1995" t="str">
        <f>A$81</f>
        <v>9 meses antes</v>
      </c>
      <c r="B174" s="1991"/>
      <c r="C174" s="1991"/>
      <c r="D174" s="1991"/>
      <c r="E174" s="603">
        <f t="array" aca="1" ref="E174:P174" ca="1">B23:M23*Produção!$E$11</f>
        <v>0</v>
      </c>
      <c r="F174" s="603">
        <f ca="1"/>
        <v>0</v>
      </c>
      <c r="G174" s="603">
        <f ca="1"/>
        <v>0</v>
      </c>
      <c r="H174" s="603">
        <f ca="1"/>
        <v>0</v>
      </c>
      <c r="I174" s="603">
        <f ca="1"/>
        <v>0</v>
      </c>
      <c r="J174" s="603">
        <f ca="1"/>
        <v>0</v>
      </c>
      <c r="K174" s="603">
        <f ca="1"/>
        <v>0</v>
      </c>
      <c r="L174" s="603">
        <f ca="1"/>
        <v>0</v>
      </c>
      <c r="M174" s="603">
        <f ca="1"/>
        <v>0</v>
      </c>
      <c r="N174" s="603">
        <f ca="1"/>
        <v>0</v>
      </c>
      <c r="O174" s="603">
        <f ca="1"/>
        <v>0</v>
      </c>
      <c r="P174" s="603">
        <f ca="1"/>
        <v>0</v>
      </c>
      <c r="Q174" s="1992">
        <f t="array" aca="1" ref="Q174:Q177" ca="1">'Distr CV 2'!E174:E177</f>
        <v>0</v>
      </c>
      <c r="R174" s="1992">
        <f ca="1"/>
        <v>0</v>
      </c>
      <c r="S174" s="1992">
        <f ca="1"/>
        <v>0</v>
      </c>
      <c r="T174" s="1992">
        <f ca="1"/>
        <v>0</v>
      </c>
      <c r="U174" s="1992">
        <f ca="1"/>
        <v>0</v>
      </c>
      <c r="V174" s="1992">
        <f ca="1"/>
        <v>0</v>
      </c>
      <c r="W174" s="1992">
        <f ca="1"/>
        <v>0</v>
      </c>
      <c r="X174" s="1992">
        <f ca="1"/>
        <v>0</v>
      </c>
      <c r="Y174" s="2010">
        <f ca="1"/>
        <v>0</v>
      </c>
    </row>
    <row r="175" spans="1:25">
      <c r="A175" s="1995" t="str">
        <f>A$82</f>
        <v>10 meses antes</v>
      </c>
      <c r="B175" s="1991"/>
      <c r="C175" s="1991"/>
      <c r="D175" s="603">
        <f t="array" aca="1" ref="D175:O175" ca="1">B23:M23*Produção!$D$11</f>
        <v>0</v>
      </c>
      <c r="E175" s="603">
        <f ca="1"/>
        <v>0</v>
      </c>
      <c r="F175" s="603">
        <f ca="1"/>
        <v>0</v>
      </c>
      <c r="G175" s="603">
        <f ca="1"/>
        <v>0</v>
      </c>
      <c r="H175" s="603">
        <f ca="1"/>
        <v>0</v>
      </c>
      <c r="I175" s="603">
        <f ca="1"/>
        <v>0</v>
      </c>
      <c r="J175" s="603">
        <f ca="1"/>
        <v>0</v>
      </c>
      <c r="K175" s="603">
        <f ca="1"/>
        <v>0</v>
      </c>
      <c r="L175" s="603">
        <f ca="1"/>
        <v>0</v>
      </c>
      <c r="M175" s="603">
        <f ca="1"/>
        <v>0</v>
      </c>
      <c r="N175" s="603">
        <f ca="1"/>
        <v>0</v>
      </c>
      <c r="O175" s="603">
        <f ca="1"/>
        <v>0</v>
      </c>
      <c r="P175" s="1992">
        <f t="array" aca="1" ref="P175:P177" ca="1">'Distr CV 2'!D175:D177</f>
        <v>0</v>
      </c>
      <c r="Q175" s="1992">
        <f ca="1"/>
        <v>0</v>
      </c>
      <c r="R175" s="1992">
        <f ca="1"/>
        <v>0</v>
      </c>
      <c r="S175" s="1992">
        <f ca="1"/>
        <v>0</v>
      </c>
      <c r="T175" s="1992">
        <f ca="1"/>
        <v>0</v>
      </c>
      <c r="U175" s="1992">
        <f ca="1"/>
        <v>0</v>
      </c>
      <c r="V175" s="1992">
        <f ca="1"/>
        <v>0</v>
      </c>
      <c r="W175" s="1992">
        <f ca="1"/>
        <v>0</v>
      </c>
      <c r="X175" s="1992">
        <f ca="1"/>
        <v>0</v>
      </c>
      <c r="Y175" s="2010">
        <f ca="1"/>
        <v>0</v>
      </c>
    </row>
    <row r="176" spans="1:25">
      <c r="A176" s="1995" t="str">
        <f>A$83</f>
        <v>11 meses antes</v>
      </c>
      <c r="B176" s="1991"/>
      <c r="C176" s="603">
        <f t="array" aca="1" ref="C176:N176" ca="1">B23:M23*Produção!$C$11</f>
        <v>0</v>
      </c>
      <c r="D176" s="603">
        <f ca="1"/>
        <v>0</v>
      </c>
      <c r="E176" s="603">
        <f ca="1"/>
        <v>0</v>
      </c>
      <c r="F176" s="603">
        <f ca="1"/>
        <v>0</v>
      </c>
      <c r="G176" s="603">
        <f ca="1"/>
        <v>0</v>
      </c>
      <c r="H176" s="603">
        <f ca="1"/>
        <v>0</v>
      </c>
      <c r="I176" s="603">
        <f ca="1"/>
        <v>0</v>
      </c>
      <c r="J176" s="603">
        <f ca="1"/>
        <v>0</v>
      </c>
      <c r="K176" s="603">
        <f ca="1"/>
        <v>0</v>
      </c>
      <c r="L176" s="603">
        <f ca="1"/>
        <v>0</v>
      </c>
      <c r="M176" s="603">
        <f ca="1"/>
        <v>0</v>
      </c>
      <c r="N176" s="603">
        <f ca="1"/>
        <v>0</v>
      </c>
      <c r="O176" s="1992">
        <f ca="1">'Distr CV 2'!C176</f>
        <v>0</v>
      </c>
      <c r="P176" s="1992">
        <f ca="1"/>
        <v>0</v>
      </c>
      <c r="Q176" s="1992">
        <f ca="1"/>
        <v>0</v>
      </c>
      <c r="R176" s="1992">
        <f ca="1"/>
        <v>0</v>
      </c>
      <c r="S176" s="1992">
        <f ca="1"/>
        <v>0</v>
      </c>
      <c r="T176" s="1992">
        <f ca="1"/>
        <v>0</v>
      </c>
      <c r="U176" s="1992">
        <f ca="1"/>
        <v>0</v>
      </c>
      <c r="V176" s="1992">
        <f ca="1"/>
        <v>0</v>
      </c>
      <c r="W176" s="1992">
        <f ca="1"/>
        <v>0</v>
      </c>
      <c r="X176" s="1992">
        <f ca="1"/>
        <v>0</v>
      </c>
      <c r="Y176" s="2010">
        <f ca="1"/>
        <v>0</v>
      </c>
    </row>
    <row r="177" spans="1:25" ht="13.5" thickBot="1">
      <c r="A177" s="1995" t="str">
        <f>A$84</f>
        <v>12 meses antes</v>
      </c>
      <c r="B177" s="603">
        <f t="array" aca="1" ref="B177:M177" ca="1">B23:M23*Produção!$B$11</f>
        <v>0</v>
      </c>
      <c r="C177" s="603">
        <f ca="1"/>
        <v>0</v>
      </c>
      <c r="D177" s="603">
        <f ca="1"/>
        <v>0</v>
      </c>
      <c r="E177" s="603">
        <f ca="1"/>
        <v>0</v>
      </c>
      <c r="F177" s="603">
        <f ca="1"/>
        <v>0</v>
      </c>
      <c r="G177" s="603">
        <f ca="1"/>
        <v>0</v>
      </c>
      <c r="H177" s="603">
        <f ca="1"/>
        <v>0</v>
      </c>
      <c r="I177" s="603">
        <f ca="1"/>
        <v>0</v>
      </c>
      <c r="J177" s="603">
        <f ca="1"/>
        <v>0</v>
      </c>
      <c r="K177" s="603">
        <f ca="1"/>
        <v>0</v>
      </c>
      <c r="L177" s="603">
        <f ca="1"/>
        <v>0</v>
      </c>
      <c r="M177" s="603">
        <f ca="1"/>
        <v>0</v>
      </c>
      <c r="N177" s="1991">
        <f ca="1">'Distr CV 2'!B177</f>
        <v>0</v>
      </c>
      <c r="O177" s="1992">
        <f ca="1">'Distr CV 2'!C177</f>
        <v>0</v>
      </c>
      <c r="P177" s="1992">
        <f ca="1"/>
        <v>0</v>
      </c>
      <c r="Q177" s="1992">
        <f ca="1"/>
        <v>0</v>
      </c>
      <c r="R177" s="1992">
        <f ca="1"/>
        <v>0</v>
      </c>
      <c r="S177" s="1992">
        <f ca="1"/>
        <v>0</v>
      </c>
      <c r="T177" s="1992">
        <f ca="1"/>
        <v>0</v>
      </c>
      <c r="U177" s="1992">
        <f ca="1"/>
        <v>0</v>
      </c>
      <c r="V177" s="1992">
        <f ca="1"/>
        <v>0</v>
      </c>
      <c r="W177" s="1992">
        <f ca="1"/>
        <v>0</v>
      </c>
      <c r="X177" s="1992">
        <f ca="1"/>
        <v>0</v>
      </c>
      <c r="Y177" s="2010">
        <f ca="1"/>
        <v>0</v>
      </c>
    </row>
    <row r="178" spans="1:25" ht="13.5" thickBot="1">
      <c r="A178" s="105" t="str">
        <f>"Totales CV "&amp;A$11</f>
        <v xml:space="preserve">Totales CV </v>
      </c>
      <c r="B178" s="607">
        <f t="shared" ref="B178:Y178" ca="1" si="14">SUM(B165:B177)</f>
        <v>0</v>
      </c>
      <c r="C178" s="607">
        <f t="shared" ca="1" si="14"/>
        <v>0</v>
      </c>
      <c r="D178" s="607">
        <f t="shared" ca="1" si="14"/>
        <v>0</v>
      </c>
      <c r="E178" s="607">
        <f t="shared" ca="1" si="14"/>
        <v>0</v>
      </c>
      <c r="F178" s="607">
        <f t="shared" ca="1" si="14"/>
        <v>0</v>
      </c>
      <c r="G178" s="607">
        <f t="shared" ca="1" si="14"/>
        <v>0</v>
      </c>
      <c r="H178" s="607">
        <f t="shared" ca="1" si="14"/>
        <v>0</v>
      </c>
      <c r="I178" s="607">
        <f t="shared" ca="1" si="14"/>
        <v>0</v>
      </c>
      <c r="J178" s="607">
        <f t="shared" ca="1" si="14"/>
        <v>0</v>
      </c>
      <c r="K178" s="607">
        <f t="shared" ca="1" si="14"/>
        <v>0</v>
      </c>
      <c r="L178" s="607">
        <f t="shared" ca="1" si="14"/>
        <v>0</v>
      </c>
      <c r="M178" s="607">
        <f t="shared" ca="1" si="14"/>
        <v>0</v>
      </c>
      <c r="N178" s="607">
        <f t="shared" ca="1" si="14"/>
        <v>0</v>
      </c>
      <c r="O178" s="607">
        <f t="shared" ca="1" si="14"/>
        <v>0</v>
      </c>
      <c r="P178" s="607">
        <f t="shared" ca="1" si="14"/>
        <v>0</v>
      </c>
      <c r="Q178" s="607">
        <f t="shared" ca="1" si="14"/>
        <v>0</v>
      </c>
      <c r="R178" s="607">
        <f t="shared" ca="1" si="14"/>
        <v>0</v>
      </c>
      <c r="S178" s="607">
        <f t="shared" ca="1" si="14"/>
        <v>0</v>
      </c>
      <c r="T178" s="607">
        <f t="shared" ca="1" si="14"/>
        <v>0</v>
      </c>
      <c r="U178" s="607">
        <f t="shared" ca="1" si="14"/>
        <v>0</v>
      </c>
      <c r="V178" s="607">
        <f t="shared" ca="1" si="14"/>
        <v>0</v>
      </c>
      <c r="W178" s="607">
        <f t="shared" ca="1" si="14"/>
        <v>0</v>
      </c>
      <c r="X178" s="607">
        <f t="shared" ca="1" si="14"/>
        <v>0</v>
      </c>
      <c r="Y178" s="2008">
        <f t="shared" ca="1" si="14"/>
        <v>0</v>
      </c>
    </row>
    <row r="179" spans="1:25" ht="13.5" thickBot="1">
      <c r="A179" s="105" t="str">
        <f>'Dados Básicos'!A28&amp;" sop. CV "&amp;$A$11</f>
        <v xml:space="preserve">IVA sop. CV </v>
      </c>
      <c r="B179" s="607">
        <f t="array" aca="1" ref="B179:Y179" ca="1">$K$163*B178:Y178</f>
        <v>0</v>
      </c>
      <c r="C179" s="607">
        <f ca="1"/>
        <v>0</v>
      </c>
      <c r="D179" s="607">
        <f ca="1"/>
        <v>0</v>
      </c>
      <c r="E179" s="607">
        <f ca="1"/>
        <v>0</v>
      </c>
      <c r="F179" s="607">
        <f ca="1"/>
        <v>0</v>
      </c>
      <c r="G179" s="607">
        <f ca="1"/>
        <v>0</v>
      </c>
      <c r="H179" s="607">
        <f ca="1"/>
        <v>0</v>
      </c>
      <c r="I179" s="607">
        <f ca="1"/>
        <v>0</v>
      </c>
      <c r="J179" s="607">
        <f ca="1"/>
        <v>0</v>
      </c>
      <c r="K179" s="607">
        <f ca="1"/>
        <v>0</v>
      </c>
      <c r="L179" s="607">
        <f ca="1"/>
        <v>0</v>
      </c>
      <c r="M179" s="607">
        <f ca="1"/>
        <v>0</v>
      </c>
      <c r="N179" s="607">
        <f ca="1"/>
        <v>0</v>
      </c>
      <c r="O179" s="607">
        <f ca="1"/>
        <v>0</v>
      </c>
      <c r="P179" s="607">
        <f ca="1"/>
        <v>0</v>
      </c>
      <c r="Q179" s="607">
        <f ca="1"/>
        <v>0</v>
      </c>
      <c r="R179" s="607">
        <f ca="1"/>
        <v>0</v>
      </c>
      <c r="S179" s="607">
        <f ca="1"/>
        <v>0</v>
      </c>
      <c r="T179" s="607">
        <f ca="1"/>
        <v>0</v>
      </c>
      <c r="U179" s="607">
        <f ca="1"/>
        <v>0</v>
      </c>
      <c r="V179" s="607">
        <f ca="1"/>
        <v>0</v>
      </c>
      <c r="W179" s="607">
        <f ca="1"/>
        <v>0</v>
      </c>
      <c r="X179" s="607">
        <f ca="1"/>
        <v>0</v>
      </c>
      <c r="Y179" s="2008">
        <f ca="1"/>
        <v>0</v>
      </c>
    </row>
    <row r="181" spans="1:25" ht="18.75" thickBot="1">
      <c r="A181" s="1993" t="str">
        <f>'Distr CV 0'!A181</f>
        <v xml:space="preserve">Compras / custos de producción por meses de </v>
      </c>
      <c r="I181" s="1993" t="str">
        <f>$I$109</f>
        <v>IVA NÃO incluido</v>
      </c>
      <c r="K181" s="2005">
        <f>Parametros!$F$28</f>
        <v>0.21</v>
      </c>
    </row>
    <row r="182" spans="1:25" ht="31.5" customHeight="1" thickBot="1">
      <c r="A182" s="457" t="str">
        <f>'Distr CV 0'!A182</f>
        <v>mes de compra / custo</v>
      </c>
      <c r="B182" s="2011" t="str">
        <f t="array" ref="B182:Y182">B$71:Y$71</f>
        <v>janeiro 
2026</v>
      </c>
      <c r="C182" s="2011" t="str">
        <v>fevereiro 
2026</v>
      </c>
      <c r="D182" s="2011" t="str">
        <v>março 
2026</v>
      </c>
      <c r="E182" s="2011" t="str">
        <v>abril 
2026</v>
      </c>
      <c r="F182" s="2011" t="str">
        <v>maio 
2026</v>
      </c>
      <c r="G182" s="2011" t="str">
        <v>junho 
2026</v>
      </c>
      <c r="H182" s="2011" t="str">
        <v>julho 
2026</v>
      </c>
      <c r="I182" s="2011" t="str">
        <v>agosto 
2026</v>
      </c>
      <c r="J182" s="2011" t="str">
        <v>setembro 
2026</v>
      </c>
      <c r="K182" s="2011" t="str">
        <v>outubro 
2026</v>
      </c>
      <c r="L182" s="2011" t="str">
        <v>novembro 
2026</v>
      </c>
      <c r="M182" s="2011" t="str">
        <v>dezembro 
2026</v>
      </c>
      <c r="N182" s="2737" t="str">
        <v>janeiro 
2027</v>
      </c>
      <c r="O182" s="2738" t="str">
        <v>fevereiro 
2027</v>
      </c>
      <c r="P182" s="2738" t="str">
        <v>março 
2027</v>
      </c>
      <c r="Q182" s="2738" t="str">
        <v>abril 
2027</v>
      </c>
      <c r="R182" s="2738" t="str">
        <v>maio 
2027</v>
      </c>
      <c r="S182" s="2738" t="str">
        <v>junho 
2027</v>
      </c>
      <c r="T182" s="2738" t="str">
        <v>julho 
2027</v>
      </c>
      <c r="U182" s="2738" t="str">
        <v>agosto 
2027</v>
      </c>
      <c r="V182" s="2738" t="str">
        <v>setembro 
2027</v>
      </c>
      <c r="W182" s="2738" t="str">
        <v>outubro 
2027</v>
      </c>
      <c r="X182" s="2738" t="str">
        <v>novembro 
2027</v>
      </c>
      <c r="Y182" s="2739" t="str">
        <v>dezembro 
2027</v>
      </c>
    </row>
    <row r="183" spans="1:25">
      <c r="A183" s="1994" t="str">
        <f>A$72</f>
        <v>mismo mes</v>
      </c>
      <c r="B183" s="1991"/>
      <c r="C183" s="1991"/>
      <c r="D183" s="1991"/>
      <c r="E183" s="1991"/>
      <c r="F183" s="1991"/>
      <c r="G183" s="1991"/>
      <c r="H183" s="1991"/>
      <c r="I183" s="1991"/>
      <c r="J183" s="1991"/>
      <c r="K183" s="1991"/>
      <c r="L183" s="1991"/>
      <c r="M183" s="1991"/>
      <c r="N183" s="603">
        <f t="array" aca="1" ref="N183:Y183" ca="1">B24:M24*Produção!$N$12</f>
        <v>0</v>
      </c>
      <c r="O183" s="603">
        <f ca="1"/>
        <v>0</v>
      </c>
      <c r="P183" s="603">
        <f ca="1"/>
        <v>0</v>
      </c>
      <c r="Q183" s="603">
        <f ca="1"/>
        <v>0</v>
      </c>
      <c r="R183" s="603">
        <f ca="1"/>
        <v>0</v>
      </c>
      <c r="S183" s="603">
        <f ca="1"/>
        <v>0</v>
      </c>
      <c r="T183" s="603">
        <f ca="1"/>
        <v>0</v>
      </c>
      <c r="U183" s="603">
        <f ca="1"/>
        <v>0</v>
      </c>
      <c r="V183" s="603">
        <f ca="1"/>
        <v>0</v>
      </c>
      <c r="W183" s="603">
        <f ca="1"/>
        <v>0</v>
      </c>
      <c r="X183" s="603">
        <f ca="1"/>
        <v>0</v>
      </c>
      <c r="Y183" s="2006">
        <f ca="1"/>
        <v>0</v>
      </c>
    </row>
    <row r="184" spans="1:25">
      <c r="A184" s="1995" t="str">
        <f>A$73</f>
        <v>1 mes antes</v>
      </c>
      <c r="B184" s="1991"/>
      <c r="C184" s="1991"/>
      <c r="D184" s="1991"/>
      <c r="E184" s="1991"/>
      <c r="F184" s="1991"/>
      <c r="G184" s="1991"/>
      <c r="H184" s="1991"/>
      <c r="I184" s="1991"/>
      <c r="J184" s="1991"/>
      <c r="K184" s="1991"/>
      <c r="L184" s="1991"/>
      <c r="M184" s="603">
        <f t="array" aca="1" ref="M184:X184" ca="1">B24:M24*Produção!$M$12</f>
        <v>0</v>
      </c>
      <c r="N184" s="603">
        <f ca="1"/>
        <v>0</v>
      </c>
      <c r="O184" s="603">
        <f ca="1"/>
        <v>0</v>
      </c>
      <c r="P184" s="603">
        <f ca="1"/>
        <v>0</v>
      </c>
      <c r="Q184" s="603">
        <f ca="1"/>
        <v>0</v>
      </c>
      <c r="R184" s="603">
        <f ca="1"/>
        <v>0</v>
      </c>
      <c r="S184" s="603">
        <f ca="1"/>
        <v>0</v>
      </c>
      <c r="T184" s="603">
        <f ca="1"/>
        <v>0</v>
      </c>
      <c r="U184" s="603">
        <f ca="1"/>
        <v>0</v>
      </c>
      <c r="V184" s="603">
        <f ca="1"/>
        <v>0</v>
      </c>
      <c r="W184" s="603">
        <f ca="1"/>
        <v>0</v>
      </c>
      <c r="X184" s="603">
        <f ca="1"/>
        <v>0</v>
      </c>
      <c r="Y184" s="2007">
        <f t="array" aca="1" ref="Y184:Y195" ca="1">'Distr CV 2'!M184:M195</f>
        <v>0</v>
      </c>
    </row>
    <row r="185" spans="1:25">
      <c r="A185" s="1995" t="str">
        <f>A$74</f>
        <v>2 meses antes</v>
      </c>
      <c r="B185" s="1991"/>
      <c r="C185" s="1991"/>
      <c r="D185" s="1991"/>
      <c r="E185" s="1991"/>
      <c r="F185" s="1991"/>
      <c r="G185" s="1991"/>
      <c r="H185" s="1991"/>
      <c r="I185" s="1991"/>
      <c r="J185" s="1991"/>
      <c r="K185" s="1991"/>
      <c r="L185" s="603">
        <f t="array" aca="1" ref="L185:W185" ca="1">B24:M24*Produção!$L$12</f>
        <v>0</v>
      </c>
      <c r="M185" s="603">
        <f ca="1"/>
        <v>0</v>
      </c>
      <c r="N185" s="603">
        <f ca="1"/>
        <v>0</v>
      </c>
      <c r="O185" s="603">
        <f ca="1"/>
        <v>0</v>
      </c>
      <c r="P185" s="603">
        <f ca="1"/>
        <v>0</v>
      </c>
      <c r="Q185" s="603">
        <f ca="1"/>
        <v>0</v>
      </c>
      <c r="R185" s="603">
        <f ca="1"/>
        <v>0</v>
      </c>
      <c r="S185" s="603">
        <f ca="1"/>
        <v>0</v>
      </c>
      <c r="T185" s="603">
        <f ca="1"/>
        <v>0</v>
      </c>
      <c r="U185" s="603">
        <f ca="1"/>
        <v>0</v>
      </c>
      <c r="V185" s="603">
        <f ca="1"/>
        <v>0</v>
      </c>
      <c r="W185" s="603">
        <f ca="1"/>
        <v>0</v>
      </c>
      <c r="X185" s="1988">
        <f t="array" aca="1" ref="X185:X195" ca="1">'Distr CV 2'!L185:L195</f>
        <v>0</v>
      </c>
      <c r="Y185" s="2007">
        <f ca="1"/>
        <v>0</v>
      </c>
    </row>
    <row r="186" spans="1:25">
      <c r="A186" s="1995" t="str">
        <f>A$75</f>
        <v>3 meses antes</v>
      </c>
      <c r="B186" s="1991"/>
      <c r="C186" s="1991"/>
      <c r="D186" s="1991"/>
      <c r="E186" s="1991"/>
      <c r="F186" s="1991"/>
      <c r="G186" s="1991"/>
      <c r="H186" s="1991"/>
      <c r="I186" s="1991"/>
      <c r="J186" s="1991"/>
      <c r="K186" s="603">
        <f t="array" aca="1" ref="K186:V186" ca="1">B24:M24*Produção!$K$12</f>
        <v>0</v>
      </c>
      <c r="L186" s="603">
        <f ca="1"/>
        <v>0</v>
      </c>
      <c r="M186" s="603">
        <f ca="1"/>
        <v>0</v>
      </c>
      <c r="N186" s="603">
        <f ca="1"/>
        <v>0</v>
      </c>
      <c r="O186" s="603">
        <f ca="1"/>
        <v>0</v>
      </c>
      <c r="P186" s="603">
        <f ca="1"/>
        <v>0</v>
      </c>
      <c r="Q186" s="603">
        <f ca="1"/>
        <v>0</v>
      </c>
      <c r="R186" s="603">
        <f ca="1"/>
        <v>0</v>
      </c>
      <c r="S186" s="603">
        <f ca="1"/>
        <v>0</v>
      </c>
      <c r="T186" s="603">
        <f ca="1"/>
        <v>0</v>
      </c>
      <c r="U186" s="603">
        <f ca="1"/>
        <v>0</v>
      </c>
      <c r="V186" s="603">
        <f ca="1"/>
        <v>0</v>
      </c>
      <c r="W186" s="1988">
        <f t="array" aca="1" ref="W186:W195" ca="1">'Distr CV 2'!K186:K195</f>
        <v>0</v>
      </c>
      <c r="X186" s="1988">
        <f ca="1"/>
        <v>0</v>
      </c>
      <c r="Y186" s="2007">
        <f ca="1"/>
        <v>0</v>
      </c>
    </row>
    <row r="187" spans="1:25">
      <c r="A187" s="1995" t="str">
        <f>A$76</f>
        <v>4 meses antes</v>
      </c>
      <c r="B187" s="1991"/>
      <c r="C187" s="1991"/>
      <c r="D187" s="1991"/>
      <c r="E187" s="1991"/>
      <c r="F187" s="1991"/>
      <c r="G187" s="1991"/>
      <c r="H187" s="1991"/>
      <c r="I187" s="1991"/>
      <c r="J187" s="603">
        <f t="array" aca="1" ref="J187:U187" ca="1">B24:M24*Produção!$J$12</f>
        <v>0</v>
      </c>
      <c r="K187" s="603">
        <f ca="1"/>
        <v>0</v>
      </c>
      <c r="L187" s="603">
        <f ca="1"/>
        <v>0</v>
      </c>
      <c r="M187" s="603">
        <f ca="1"/>
        <v>0</v>
      </c>
      <c r="N187" s="603">
        <f ca="1"/>
        <v>0</v>
      </c>
      <c r="O187" s="603">
        <f ca="1"/>
        <v>0</v>
      </c>
      <c r="P187" s="603">
        <f ca="1"/>
        <v>0</v>
      </c>
      <c r="Q187" s="603">
        <f ca="1"/>
        <v>0</v>
      </c>
      <c r="R187" s="603">
        <f ca="1"/>
        <v>0</v>
      </c>
      <c r="S187" s="603">
        <f ca="1"/>
        <v>0</v>
      </c>
      <c r="T187" s="603">
        <f ca="1"/>
        <v>0</v>
      </c>
      <c r="U187" s="603">
        <f ca="1"/>
        <v>0</v>
      </c>
      <c r="V187" s="1988">
        <f t="array" aca="1" ref="V187:V195" ca="1">'Distr CV 2'!J187:J195</f>
        <v>0</v>
      </c>
      <c r="W187" s="1988">
        <f ca="1"/>
        <v>0</v>
      </c>
      <c r="X187" s="1988">
        <f ca="1"/>
        <v>0</v>
      </c>
      <c r="Y187" s="2007">
        <f ca="1"/>
        <v>0</v>
      </c>
    </row>
    <row r="188" spans="1:25">
      <c r="A188" s="1995" t="str">
        <f>A$77</f>
        <v>5 meses antes</v>
      </c>
      <c r="B188" s="1991"/>
      <c r="C188" s="1991"/>
      <c r="D188" s="1991"/>
      <c r="E188" s="1991"/>
      <c r="F188" s="1991"/>
      <c r="G188" s="1991"/>
      <c r="H188" s="1991"/>
      <c r="I188" s="603">
        <f t="array" aca="1" ref="I188:T188" ca="1">B24:M24*Produção!$I$12</f>
        <v>0</v>
      </c>
      <c r="J188" s="603">
        <f ca="1"/>
        <v>0</v>
      </c>
      <c r="K188" s="603">
        <f ca="1"/>
        <v>0</v>
      </c>
      <c r="L188" s="603">
        <f ca="1"/>
        <v>0</v>
      </c>
      <c r="M188" s="603">
        <f ca="1"/>
        <v>0</v>
      </c>
      <c r="N188" s="603">
        <f ca="1"/>
        <v>0</v>
      </c>
      <c r="O188" s="603">
        <f ca="1"/>
        <v>0</v>
      </c>
      <c r="P188" s="603">
        <f ca="1"/>
        <v>0</v>
      </c>
      <c r="Q188" s="603">
        <f ca="1"/>
        <v>0</v>
      </c>
      <c r="R188" s="603">
        <f ca="1"/>
        <v>0</v>
      </c>
      <c r="S188" s="603">
        <f ca="1"/>
        <v>0</v>
      </c>
      <c r="T188" s="603">
        <f ca="1"/>
        <v>0</v>
      </c>
      <c r="U188" s="1988">
        <f t="array" aca="1" ref="U188:U195" ca="1">'Distr CV 2'!I188:I195</f>
        <v>0</v>
      </c>
      <c r="V188" s="1988">
        <f ca="1"/>
        <v>0</v>
      </c>
      <c r="W188" s="1988">
        <f ca="1"/>
        <v>0</v>
      </c>
      <c r="X188" s="1988">
        <f ca="1"/>
        <v>0</v>
      </c>
      <c r="Y188" s="2007">
        <f ca="1"/>
        <v>0</v>
      </c>
    </row>
    <row r="189" spans="1:25">
      <c r="A189" s="1995" t="str">
        <f>A$78</f>
        <v>6 meses antes</v>
      </c>
      <c r="B189" s="1991"/>
      <c r="C189" s="1991"/>
      <c r="D189" s="1991"/>
      <c r="E189" s="1991"/>
      <c r="F189" s="1991"/>
      <c r="G189" s="1991"/>
      <c r="H189" s="603">
        <f t="array" aca="1" ref="H189:S189" ca="1">B24:M24*Produção!$H$12</f>
        <v>0</v>
      </c>
      <c r="I189" s="603">
        <f ca="1"/>
        <v>0</v>
      </c>
      <c r="J189" s="603">
        <f ca="1"/>
        <v>0</v>
      </c>
      <c r="K189" s="603">
        <f ca="1"/>
        <v>0</v>
      </c>
      <c r="L189" s="603">
        <f ca="1"/>
        <v>0</v>
      </c>
      <c r="M189" s="603">
        <f ca="1"/>
        <v>0</v>
      </c>
      <c r="N189" s="603">
        <f ca="1"/>
        <v>0</v>
      </c>
      <c r="O189" s="603">
        <f ca="1"/>
        <v>0</v>
      </c>
      <c r="P189" s="603">
        <f ca="1"/>
        <v>0</v>
      </c>
      <c r="Q189" s="603">
        <f ca="1"/>
        <v>0</v>
      </c>
      <c r="R189" s="603">
        <f ca="1"/>
        <v>0</v>
      </c>
      <c r="S189" s="603">
        <f ca="1"/>
        <v>0</v>
      </c>
      <c r="T189" s="1988">
        <f t="array" aca="1" ref="T189:T195" ca="1">'Distr CV 2'!H189:H195</f>
        <v>0</v>
      </c>
      <c r="U189" s="1988">
        <f ca="1"/>
        <v>0</v>
      </c>
      <c r="V189" s="1988">
        <f ca="1"/>
        <v>0</v>
      </c>
      <c r="W189" s="1988">
        <f ca="1"/>
        <v>0</v>
      </c>
      <c r="X189" s="1988">
        <f ca="1"/>
        <v>0</v>
      </c>
      <c r="Y189" s="2007">
        <f ca="1"/>
        <v>0</v>
      </c>
    </row>
    <row r="190" spans="1:25">
      <c r="A190" s="1995" t="str">
        <f>A$79</f>
        <v>7 meses antes</v>
      </c>
      <c r="B190" s="1991"/>
      <c r="C190" s="1991"/>
      <c r="D190" s="1991"/>
      <c r="E190" s="1991"/>
      <c r="F190" s="1991"/>
      <c r="G190" s="603">
        <f t="array" aca="1" ref="G190:R190" ca="1">B24:M24*Produção!$G$12</f>
        <v>0</v>
      </c>
      <c r="H190" s="603">
        <f ca="1"/>
        <v>0</v>
      </c>
      <c r="I190" s="603">
        <f ca="1"/>
        <v>0</v>
      </c>
      <c r="J190" s="603">
        <f ca="1"/>
        <v>0</v>
      </c>
      <c r="K190" s="603">
        <f ca="1"/>
        <v>0</v>
      </c>
      <c r="L190" s="603">
        <f ca="1"/>
        <v>0</v>
      </c>
      <c r="M190" s="603">
        <f ca="1"/>
        <v>0</v>
      </c>
      <c r="N190" s="603">
        <f ca="1"/>
        <v>0</v>
      </c>
      <c r="O190" s="603">
        <f ca="1"/>
        <v>0</v>
      </c>
      <c r="P190" s="603">
        <f ca="1"/>
        <v>0</v>
      </c>
      <c r="Q190" s="603">
        <f ca="1"/>
        <v>0</v>
      </c>
      <c r="R190" s="603">
        <f ca="1"/>
        <v>0</v>
      </c>
      <c r="S190" s="1992">
        <f t="array" aca="1" ref="S190:S195" ca="1">'Distr CV 2'!G190:G195</f>
        <v>0</v>
      </c>
      <c r="T190" s="1992">
        <f ca="1"/>
        <v>0</v>
      </c>
      <c r="U190" s="1992">
        <f ca="1"/>
        <v>0</v>
      </c>
      <c r="V190" s="1992">
        <f ca="1"/>
        <v>0</v>
      </c>
      <c r="W190" s="1992">
        <f ca="1"/>
        <v>0</v>
      </c>
      <c r="X190" s="1992">
        <f ca="1"/>
        <v>0</v>
      </c>
      <c r="Y190" s="2010">
        <f ca="1"/>
        <v>0</v>
      </c>
    </row>
    <row r="191" spans="1:25">
      <c r="A191" s="1995" t="str">
        <f>A$80</f>
        <v>8 meses antes</v>
      </c>
      <c r="B191" s="1991"/>
      <c r="C191" s="1991"/>
      <c r="D191" s="1991"/>
      <c r="E191" s="1991"/>
      <c r="F191" s="603">
        <f t="array" aca="1" ref="F191:Q191" ca="1">B24:M24*Produção!$F$12</f>
        <v>0</v>
      </c>
      <c r="G191" s="603">
        <f ca="1"/>
        <v>0</v>
      </c>
      <c r="H191" s="603">
        <f ca="1"/>
        <v>0</v>
      </c>
      <c r="I191" s="603">
        <f ca="1"/>
        <v>0</v>
      </c>
      <c r="J191" s="603">
        <f ca="1"/>
        <v>0</v>
      </c>
      <c r="K191" s="603">
        <f ca="1"/>
        <v>0</v>
      </c>
      <c r="L191" s="603">
        <f ca="1"/>
        <v>0</v>
      </c>
      <c r="M191" s="603">
        <f ca="1"/>
        <v>0</v>
      </c>
      <c r="N191" s="603">
        <f ca="1"/>
        <v>0</v>
      </c>
      <c r="O191" s="603">
        <f ca="1"/>
        <v>0</v>
      </c>
      <c r="P191" s="603">
        <f ca="1"/>
        <v>0</v>
      </c>
      <c r="Q191" s="603">
        <f ca="1"/>
        <v>0</v>
      </c>
      <c r="R191" s="1992">
        <f t="array" aca="1" ref="R191:R195" ca="1">'Distr CV 2'!F191:F195</f>
        <v>0</v>
      </c>
      <c r="S191" s="1992">
        <f ca="1"/>
        <v>0</v>
      </c>
      <c r="T191" s="1992">
        <f ca="1"/>
        <v>0</v>
      </c>
      <c r="U191" s="1992">
        <f ca="1"/>
        <v>0</v>
      </c>
      <c r="V191" s="1992">
        <f ca="1"/>
        <v>0</v>
      </c>
      <c r="W191" s="1992">
        <f ca="1"/>
        <v>0</v>
      </c>
      <c r="X191" s="1992">
        <f ca="1"/>
        <v>0</v>
      </c>
      <c r="Y191" s="2010">
        <f ca="1"/>
        <v>0</v>
      </c>
    </row>
    <row r="192" spans="1:25">
      <c r="A192" s="1995" t="str">
        <f>A$81</f>
        <v>9 meses antes</v>
      </c>
      <c r="B192" s="1991"/>
      <c r="C192" s="1991"/>
      <c r="D192" s="1991"/>
      <c r="E192" s="603">
        <f t="array" aca="1" ref="E192:P192" ca="1">B24:M24*Produção!$E$12</f>
        <v>0</v>
      </c>
      <c r="F192" s="603">
        <f ca="1"/>
        <v>0</v>
      </c>
      <c r="G192" s="603">
        <f ca="1"/>
        <v>0</v>
      </c>
      <c r="H192" s="603">
        <f ca="1"/>
        <v>0</v>
      </c>
      <c r="I192" s="603">
        <f ca="1"/>
        <v>0</v>
      </c>
      <c r="J192" s="603">
        <f ca="1"/>
        <v>0</v>
      </c>
      <c r="K192" s="603">
        <f ca="1"/>
        <v>0</v>
      </c>
      <c r="L192" s="603">
        <f ca="1"/>
        <v>0</v>
      </c>
      <c r="M192" s="603">
        <f ca="1"/>
        <v>0</v>
      </c>
      <c r="N192" s="603">
        <f ca="1"/>
        <v>0</v>
      </c>
      <c r="O192" s="603">
        <f ca="1"/>
        <v>0</v>
      </c>
      <c r="P192" s="603">
        <f ca="1"/>
        <v>0</v>
      </c>
      <c r="Q192" s="1992">
        <f t="array" aca="1" ref="Q192:Q195" ca="1">'Distr CV 2'!E192:E195</f>
        <v>0</v>
      </c>
      <c r="R192" s="1992">
        <f ca="1"/>
        <v>0</v>
      </c>
      <c r="S192" s="1992">
        <f ca="1"/>
        <v>0</v>
      </c>
      <c r="T192" s="1992">
        <f ca="1"/>
        <v>0</v>
      </c>
      <c r="U192" s="1992">
        <f ca="1"/>
        <v>0</v>
      </c>
      <c r="V192" s="1992">
        <f ca="1"/>
        <v>0</v>
      </c>
      <c r="W192" s="1992">
        <f ca="1"/>
        <v>0</v>
      </c>
      <c r="X192" s="1992">
        <f ca="1"/>
        <v>0</v>
      </c>
      <c r="Y192" s="2010">
        <f ca="1"/>
        <v>0</v>
      </c>
    </row>
    <row r="193" spans="1:25">
      <c r="A193" s="1995" t="str">
        <f>A$82</f>
        <v>10 meses antes</v>
      </c>
      <c r="B193" s="1991"/>
      <c r="C193" s="1991"/>
      <c r="D193" s="603">
        <f t="array" aca="1" ref="D193:O193" ca="1">B24:M24*Produção!$D$12</f>
        <v>0</v>
      </c>
      <c r="E193" s="603">
        <f ca="1"/>
        <v>0</v>
      </c>
      <c r="F193" s="603">
        <f ca="1"/>
        <v>0</v>
      </c>
      <c r="G193" s="603">
        <f ca="1"/>
        <v>0</v>
      </c>
      <c r="H193" s="603">
        <f ca="1"/>
        <v>0</v>
      </c>
      <c r="I193" s="603">
        <f ca="1"/>
        <v>0</v>
      </c>
      <c r="J193" s="603">
        <f ca="1"/>
        <v>0</v>
      </c>
      <c r="K193" s="603">
        <f ca="1"/>
        <v>0</v>
      </c>
      <c r="L193" s="603">
        <f ca="1"/>
        <v>0</v>
      </c>
      <c r="M193" s="603">
        <f ca="1"/>
        <v>0</v>
      </c>
      <c r="N193" s="603">
        <f ca="1"/>
        <v>0</v>
      </c>
      <c r="O193" s="603">
        <f ca="1"/>
        <v>0</v>
      </c>
      <c r="P193" s="1992">
        <f t="array" aca="1" ref="P193:P195" ca="1">'Distr CV 2'!D193:D195</f>
        <v>0</v>
      </c>
      <c r="Q193" s="1992">
        <f ca="1"/>
        <v>0</v>
      </c>
      <c r="R193" s="1992">
        <f ca="1"/>
        <v>0</v>
      </c>
      <c r="S193" s="1992">
        <f ca="1"/>
        <v>0</v>
      </c>
      <c r="T193" s="1992">
        <f ca="1"/>
        <v>0</v>
      </c>
      <c r="U193" s="1992">
        <f ca="1"/>
        <v>0</v>
      </c>
      <c r="V193" s="1992">
        <f ca="1"/>
        <v>0</v>
      </c>
      <c r="W193" s="1992">
        <f ca="1"/>
        <v>0</v>
      </c>
      <c r="X193" s="1992">
        <f ca="1"/>
        <v>0</v>
      </c>
      <c r="Y193" s="2010">
        <f ca="1"/>
        <v>0</v>
      </c>
    </row>
    <row r="194" spans="1:25">
      <c r="A194" s="1995" t="str">
        <f>A$83</f>
        <v>11 meses antes</v>
      </c>
      <c r="B194" s="1991"/>
      <c r="C194" s="603">
        <f t="array" aca="1" ref="C194:N194" ca="1">B24:M24*Produção!$C$12</f>
        <v>0</v>
      </c>
      <c r="D194" s="603">
        <f ca="1"/>
        <v>0</v>
      </c>
      <c r="E194" s="603">
        <f ca="1"/>
        <v>0</v>
      </c>
      <c r="F194" s="603">
        <f ca="1"/>
        <v>0</v>
      </c>
      <c r="G194" s="603">
        <f ca="1"/>
        <v>0</v>
      </c>
      <c r="H194" s="603">
        <f ca="1"/>
        <v>0</v>
      </c>
      <c r="I194" s="603">
        <f ca="1"/>
        <v>0</v>
      </c>
      <c r="J194" s="603">
        <f ca="1"/>
        <v>0</v>
      </c>
      <c r="K194" s="603">
        <f ca="1"/>
        <v>0</v>
      </c>
      <c r="L194" s="603">
        <f ca="1"/>
        <v>0</v>
      </c>
      <c r="M194" s="603">
        <f ca="1"/>
        <v>0</v>
      </c>
      <c r="N194" s="603">
        <f ca="1"/>
        <v>0</v>
      </c>
      <c r="O194" s="1992">
        <f ca="1">'Distr CV 2'!C194</f>
        <v>0</v>
      </c>
      <c r="P194" s="1992">
        <f ca="1"/>
        <v>0</v>
      </c>
      <c r="Q194" s="1992">
        <f ca="1"/>
        <v>0</v>
      </c>
      <c r="R194" s="1992">
        <f ca="1"/>
        <v>0</v>
      </c>
      <c r="S194" s="1992">
        <f ca="1"/>
        <v>0</v>
      </c>
      <c r="T194" s="1992">
        <f ca="1"/>
        <v>0</v>
      </c>
      <c r="U194" s="1992">
        <f ca="1"/>
        <v>0</v>
      </c>
      <c r="V194" s="1992">
        <f ca="1"/>
        <v>0</v>
      </c>
      <c r="W194" s="1992">
        <f ca="1"/>
        <v>0</v>
      </c>
      <c r="X194" s="1992">
        <f ca="1"/>
        <v>0</v>
      </c>
      <c r="Y194" s="2010">
        <f ca="1"/>
        <v>0</v>
      </c>
    </row>
    <row r="195" spans="1:25" ht="13.5" thickBot="1">
      <c r="A195" s="1995" t="str">
        <f>A$84</f>
        <v>12 meses antes</v>
      </c>
      <c r="B195" s="603">
        <f t="array" aca="1" ref="B195:M195" ca="1">B24:M24*Produção!$B$12</f>
        <v>0</v>
      </c>
      <c r="C195" s="603">
        <f ca="1"/>
        <v>0</v>
      </c>
      <c r="D195" s="603">
        <f ca="1"/>
        <v>0</v>
      </c>
      <c r="E195" s="603">
        <f ca="1"/>
        <v>0</v>
      </c>
      <c r="F195" s="603">
        <f ca="1"/>
        <v>0</v>
      </c>
      <c r="G195" s="603">
        <f ca="1"/>
        <v>0</v>
      </c>
      <c r="H195" s="603">
        <f ca="1"/>
        <v>0</v>
      </c>
      <c r="I195" s="603">
        <f ca="1"/>
        <v>0</v>
      </c>
      <c r="J195" s="603">
        <f ca="1"/>
        <v>0</v>
      </c>
      <c r="K195" s="603">
        <f ca="1"/>
        <v>0</v>
      </c>
      <c r="L195" s="603">
        <f ca="1"/>
        <v>0</v>
      </c>
      <c r="M195" s="603">
        <f ca="1"/>
        <v>0</v>
      </c>
      <c r="N195" s="1991">
        <f ca="1">'Distr CV 2'!B195</f>
        <v>0</v>
      </c>
      <c r="O195" s="1992">
        <f ca="1">'Distr CV 2'!C195</f>
        <v>0</v>
      </c>
      <c r="P195" s="1992">
        <f ca="1"/>
        <v>0</v>
      </c>
      <c r="Q195" s="1992">
        <f ca="1"/>
        <v>0</v>
      </c>
      <c r="R195" s="1992">
        <f ca="1"/>
        <v>0</v>
      </c>
      <c r="S195" s="1992">
        <f ca="1"/>
        <v>0</v>
      </c>
      <c r="T195" s="1992">
        <f ca="1"/>
        <v>0</v>
      </c>
      <c r="U195" s="1992">
        <f ca="1"/>
        <v>0</v>
      </c>
      <c r="V195" s="1992">
        <f ca="1"/>
        <v>0</v>
      </c>
      <c r="W195" s="1992">
        <f ca="1"/>
        <v>0</v>
      </c>
      <c r="X195" s="1992">
        <f ca="1"/>
        <v>0</v>
      </c>
      <c r="Y195" s="2010">
        <f ca="1"/>
        <v>0</v>
      </c>
    </row>
    <row r="196" spans="1:25" ht="13.5" thickBot="1">
      <c r="A196" s="105" t="str">
        <f>"Totales CV "&amp;A$12</f>
        <v xml:space="preserve">Totales CV </v>
      </c>
      <c r="B196" s="607">
        <f t="shared" ref="B196:Y196" ca="1" si="15">SUM(B183:B195)</f>
        <v>0</v>
      </c>
      <c r="C196" s="607">
        <f t="shared" ca="1" si="15"/>
        <v>0</v>
      </c>
      <c r="D196" s="607">
        <f t="shared" ca="1" si="15"/>
        <v>0</v>
      </c>
      <c r="E196" s="607">
        <f t="shared" ca="1" si="15"/>
        <v>0</v>
      </c>
      <c r="F196" s="607">
        <f t="shared" ca="1" si="15"/>
        <v>0</v>
      </c>
      <c r="G196" s="607">
        <f t="shared" ca="1" si="15"/>
        <v>0</v>
      </c>
      <c r="H196" s="607">
        <f t="shared" ca="1" si="15"/>
        <v>0</v>
      </c>
      <c r="I196" s="607">
        <f t="shared" ca="1" si="15"/>
        <v>0</v>
      </c>
      <c r="J196" s="607">
        <f t="shared" ca="1" si="15"/>
        <v>0</v>
      </c>
      <c r="K196" s="607">
        <f t="shared" ca="1" si="15"/>
        <v>0</v>
      </c>
      <c r="L196" s="607">
        <f t="shared" ca="1" si="15"/>
        <v>0</v>
      </c>
      <c r="M196" s="607">
        <f t="shared" ca="1" si="15"/>
        <v>0</v>
      </c>
      <c r="N196" s="607">
        <f t="shared" ca="1" si="15"/>
        <v>0</v>
      </c>
      <c r="O196" s="607">
        <f t="shared" ca="1" si="15"/>
        <v>0</v>
      </c>
      <c r="P196" s="607">
        <f t="shared" ca="1" si="15"/>
        <v>0</v>
      </c>
      <c r="Q196" s="607">
        <f t="shared" ca="1" si="15"/>
        <v>0</v>
      </c>
      <c r="R196" s="607">
        <f t="shared" ca="1" si="15"/>
        <v>0</v>
      </c>
      <c r="S196" s="607">
        <f t="shared" ca="1" si="15"/>
        <v>0</v>
      </c>
      <c r="T196" s="607">
        <f t="shared" ca="1" si="15"/>
        <v>0</v>
      </c>
      <c r="U196" s="607">
        <f t="shared" ca="1" si="15"/>
        <v>0</v>
      </c>
      <c r="V196" s="607">
        <f t="shared" ca="1" si="15"/>
        <v>0</v>
      </c>
      <c r="W196" s="607">
        <f t="shared" ca="1" si="15"/>
        <v>0</v>
      </c>
      <c r="X196" s="607">
        <f t="shared" ca="1" si="15"/>
        <v>0</v>
      </c>
      <c r="Y196" s="2008">
        <f t="shared" ca="1" si="15"/>
        <v>0</v>
      </c>
    </row>
    <row r="197" spans="1:25" ht="13.5" thickBot="1">
      <c r="A197" s="105" t="str">
        <f>'Dados Básicos'!A28&amp;" sop. CV "&amp;$A$12</f>
        <v xml:space="preserve">IVA sop. CV </v>
      </c>
      <c r="B197" s="607">
        <f t="array" aca="1" ref="B197:Y197" ca="1">$K$181*B196:Y196</f>
        <v>0</v>
      </c>
      <c r="C197" s="607">
        <f ca="1"/>
        <v>0</v>
      </c>
      <c r="D197" s="607">
        <f ca="1"/>
        <v>0</v>
      </c>
      <c r="E197" s="607">
        <f ca="1"/>
        <v>0</v>
      </c>
      <c r="F197" s="607">
        <f ca="1"/>
        <v>0</v>
      </c>
      <c r="G197" s="607">
        <f ca="1"/>
        <v>0</v>
      </c>
      <c r="H197" s="607">
        <f ca="1"/>
        <v>0</v>
      </c>
      <c r="I197" s="607">
        <f ca="1"/>
        <v>0</v>
      </c>
      <c r="J197" s="607">
        <f ca="1"/>
        <v>0</v>
      </c>
      <c r="K197" s="607">
        <f ca="1"/>
        <v>0</v>
      </c>
      <c r="L197" s="607">
        <f ca="1"/>
        <v>0</v>
      </c>
      <c r="M197" s="607">
        <f ca="1"/>
        <v>0</v>
      </c>
      <c r="N197" s="607">
        <f ca="1"/>
        <v>0</v>
      </c>
      <c r="O197" s="607">
        <f ca="1"/>
        <v>0</v>
      </c>
      <c r="P197" s="607">
        <f ca="1"/>
        <v>0</v>
      </c>
      <c r="Q197" s="607">
        <f ca="1"/>
        <v>0</v>
      </c>
      <c r="R197" s="607">
        <f ca="1"/>
        <v>0</v>
      </c>
      <c r="S197" s="607">
        <f ca="1"/>
        <v>0</v>
      </c>
      <c r="T197" s="607">
        <f ca="1"/>
        <v>0</v>
      </c>
      <c r="U197" s="607">
        <f ca="1"/>
        <v>0</v>
      </c>
      <c r="V197" s="607">
        <f ca="1"/>
        <v>0</v>
      </c>
      <c r="W197" s="607">
        <f ca="1"/>
        <v>0</v>
      </c>
      <c r="X197" s="607">
        <f ca="1"/>
        <v>0</v>
      </c>
      <c r="Y197" s="2008">
        <f ca="1"/>
        <v>0</v>
      </c>
    </row>
    <row r="199" spans="1:25" ht="18.75" thickBot="1">
      <c r="A199" s="1993" t="str">
        <f>'Distr CV 0'!A199</f>
        <v xml:space="preserve">Compras / custos de producción por meses de </v>
      </c>
      <c r="I199" s="1993" t="str">
        <f>$I$109</f>
        <v>IVA NÃO incluido</v>
      </c>
      <c r="K199" s="2005">
        <f>Parametros!$F$29</f>
        <v>0.21</v>
      </c>
    </row>
    <row r="200" spans="1:25" ht="33" customHeight="1" thickBot="1">
      <c r="A200" s="457" t="str">
        <f>'Distr CV 0'!A200</f>
        <v>mes de compra / custo</v>
      </c>
      <c r="B200" s="2011" t="str">
        <f t="array" ref="B200:Y200">B$71:Y$71</f>
        <v>janeiro 
2026</v>
      </c>
      <c r="C200" s="2011" t="str">
        <v>fevereiro 
2026</v>
      </c>
      <c r="D200" s="2011" t="str">
        <v>março 
2026</v>
      </c>
      <c r="E200" s="2011" t="str">
        <v>abril 
2026</v>
      </c>
      <c r="F200" s="2011" t="str">
        <v>maio 
2026</v>
      </c>
      <c r="G200" s="2011" t="str">
        <v>junho 
2026</v>
      </c>
      <c r="H200" s="2011" t="str">
        <v>julho 
2026</v>
      </c>
      <c r="I200" s="2011" t="str">
        <v>agosto 
2026</v>
      </c>
      <c r="J200" s="2011" t="str">
        <v>setembro 
2026</v>
      </c>
      <c r="K200" s="2011" t="str">
        <v>outubro 
2026</v>
      </c>
      <c r="L200" s="2011" t="str">
        <v>novembro 
2026</v>
      </c>
      <c r="M200" s="2011" t="str">
        <v>dezembro 
2026</v>
      </c>
      <c r="N200" s="2737" t="str">
        <v>janeiro 
2027</v>
      </c>
      <c r="O200" s="2738" t="str">
        <v>fevereiro 
2027</v>
      </c>
      <c r="P200" s="2738" t="str">
        <v>março 
2027</v>
      </c>
      <c r="Q200" s="2738" t="str">
        <v>abril 
2027</v>
      </c>
      <c r="R200" s="2738" t="str">
        <v>maio 
2027</v>
      </c>
      <c r="S200" s="2738" t="str">
        <v>junho 
2027</v>
      </c>
      <c r="T200" s="2738" t="str">
        <v>julho 
2027</v>
      </c>
      <c r="U200" s="2738" t="str">
        <v>agosto 
2027</v>
      </c>
      <c r="V200" s="2738" t="str">
        <v>setembro 
2027</v>
      </c>
      <c r="W200" s="2738" t="str">
        <v>outubro 
2027</v>
      </c>
      <c r="X200" s="2738" t="str">
        <v>novembro 
2027</v>
      </c>
      <c r="Y200" s="2739" t="str">
        <v>dezembro 
2027</v>
      </c>
    </row>
    <row r="201" spans="1:25">
      <c r="A201" s="1994" t="str">
        <f>A$72</f>
        <v>mismo mes</v>
      </c>
      <c r="B201" s="1991"/>
      <c r="C201" s="1991"/>
      <c r="D201" s="1991"/>
      <c r="E201" s="1991"/>
      <c r="F201" s="1991"/>
      <c r="G201" s="1991"/>
      <c r="H201" s="1991"/>
      <c r="I201" s="1991"/>
      <c r="J201" s="1991"/>
      <c r="K201" s="1991"/>
      <c r="L201" s="1991"/>
      <c r="M201" s="1991"/>
      <c r="N201" s="603">
        <f t="array" aca="1" ref="N201:Y201" ca="1">B25:M25*Produção!$N$13</f>
        <v>0</v>
      </c>
      <c r="O201" s="603">
        <f ca="1"/>
        <v>0</v>
      </c>
      <c r="P201" s="603">
        <f ca="1"/>
        <v>0</v>
      </c>
      <c r="Q201" s="603">
        <f ca="1"/>
        <v>0</v>
      </c>
      <c r="R201" s="603">
        <f ca="1"/>
        <v>0</v>
      </c>
      <c r="S201" s="603">
        <f ca="1"/>
        <v>0</v>
      </c>
      <c r="T201" s="603">
        <f ca="1"/>
        <v>0</v>
      </c>
      <c r="U201" s="603">
        <f ca="1"/>
        <v>0</v>
      </c>
      <c r="V201" s="603">
        <f ca="1"/>
        <v>0</v>
      </c>
      <c r="W201" s="603">
        <f ca="1"/>
        <v>0</v>
      </c>
      <c r="X201" s="603">
        <f ca="1"/>
        <v>0</v>
      </c>
      <c r="Y201" s="2006">
        <f ca="1"/>
        <v>0</v>
      </c>
    </row>
    <row r="202" spans="1:25">
      <c r="A202" s="1995" t="str">
        <f>A$73</f>
        <v>1 mes antes</v>
      </c>
      <c r="B202" s="1991"/>
      <c r="C202" s="1991"/>
      <c r="D202" s="1991"/>
      <c r="E202" s="1991"/>
      <c r="F202" s="1991"/>
      <c r="G202" s="1991"/>
      <c r="H202" s="1991"/>
      <c r="I202" s="1991"/>
      <c r="J202" s="1991"/>
      <c r="K202" s="1991"/>
      <c r="L202" s="1991"/>
      <c r="M202" s="603">
        <f t="array" aca="1" ref="M202:X202" ca="1">B25:M25*Produção!$M$13</f>
        <v>0</v>
      </c>
      <c r="N202" s="603">
        <f ca="1"/>
        <v>0</v>
      </c>
      <c r="O202" s="603">
        <f ca="1"/>
        <v>0</v>
      </c>
      <c r="P202" s="603">
        <f ca="1"/>
        <v>0</v>
      </c>
      <c r="Q202" s="603">
        <f ca="1"/>
        <v>0</v>
      </c>
      <c r="R202" s="603">
        <f ca="1"/>
        <v>0</v>
      </c>
      <c r="S202" s="603">
        <f ca="1"/>
        <v>0</v>
      </c>
      <c r="T202" s="603">
        <f ca="1"/>
        <v>0</v>
      </c>
      <c r="U202" s="603">
        <f ca="1"/>
        <v>0</v>
      </c>
      <c r="V202" s="603">
        <f ca="1"/>
        <v>0</v>
      </c>
      <c r="W202" s="603">
        <f ca="1"/>
        <v>0</v>
      </c>
      <c r="X202" s="603">
        <f ca="1"/>
        <v>0</v>
      </c>
      <c r="Y202" s="2007">
        <f t="array" aca="1" ref="Y202:Y213" ca="1">'Distr CV 2'!M202:M213</f>
        <v>0</v>
      </c>
    </row>
    <row r="203" spans="1:25">
      <c r="A203" s="1995" t="str">
        <f>A$74</f>
        <v>2 meses antes</v>
      </c>
      <c r="B203" s="1991"/>
      <c r="C203" s="1991"/>
      <c r="D203" s="1991"/>
      <c r="E203" s="1991"/>
      <c r="F203" s="1991"/>
      <c r="G203" s="1991"/>
      <c r="H203" s="1991"/>
      <c r="I203" s="1991"/>
      <c r="J203" s="1991"/>
      <c r="K203" s="1991"/>
      <c r="L203" s="603">
        <f t="array" aca="1" ref="L203:W203" ca="1">B25:M25*Produção!$L$13</f>
        <v>0</v>
      </c>
      <c r="M203" s="603">
        <f ca="1"/>
        <v>0</v>
      </c>
      <c r="N203" s="603">
        <f ca="1"/>
        <v>0</v>
      </c>
      <c r="O203" s="603">
        <f ca="1"/>
        <v>0</v>
      </c>
      <c r="P203" s="603">
        <f ca="1"/>
        <v>0</v>
      </c>
      <c r="Q203" s="603">
        <f ca="1"/>
        <v>0</v>
      </c>
      <c r="R203" s="603">
        <f ca="1"/>
        <v>0</v>
      </c>
      <c r="S203" s="603">
        <f ca="1"/>
        <v>0</v>
      </c>
      <c r="T203" s="603">
        <f ca="1"/>
        <v>0</v>
      </c>
      <c r="U203" s="603">
        <f ca="1"/>
        <v>0</v>
      </c>
      <c r="V203" s="603">
        <f ca="1"/>
        <v>0</v>
      </c>
      <c r="W203" s="603">
        <f ca="1"/>
        <v>0</v>
      </c>
      <c r="X203" s="1988">
        <f t="array" aca="1" ref="X203:X213" ca="1">'Distr CV 2'!L203:L213</f>
        <v>0</v>
      </c>
      <c r="Y203" s="2007">
        <f ca="1"/>
        <v>0</v>
      </c>
    </row>
    <row r="204" spans="1:25">
      <c r="A204" s="1995" t="str">
        <f>A$75</f>
        <v>3 meses antes</v>
      </c>
      <c r="B204" s="1991"/>
      <c r="C204" s="1991"/>
      <c r="D204" s="1991"/>
      <c r="E204" s="1991"/>
      <c r="F204" s="1991"/>
      <c r="G204" s="1991"/>
      <c r="H204" s="1991"/>
      <c r="I204" s="1991"/>
      <c r="J204" s="1991"/>
      <c r="K204" s="603">
        <f t="array" aca="1" ref="K204:V204" ca="1">B25:M25*Produção!$K$13</f>
        <v>0</v>
      </c>
      <c r="L204" s="603">
        <f ca="1"/>
        <v>0</v>
      </c>
      <c r="M204" s="603">
        <f ca="1"/>
        <v>0</v>
      </c>
      <c r="N204" s="603">
        <f ca="1"/>
        <v>0</v>
      </c>
      <c r="O204" s="603">
        <f ca="1"/>
        <v>0</v>
      </c>
      <c r="P204" s="603">
        <f ca="1"/>
        <v>0</v>
      </c>
      <c r="Q204" s="603">
        <f ca="1"/>
        <v>0</v>
      </c>
      <c r="R204" s="603">
        <f ca="1"/>
        <v>0</v>
      </c>
      <c r="S204" s="603">
        <f ca="1"/>
        <v>0</v>
      </c>
      <c r="T204" s="603">
        <f ca="1"/>
        <v>0</v>
      </c>
      <c r="U204" s="603">
        <f ca="1"/>
        <v>0</v>
      </c>
      <c r="V204" s="603">
        <f ca="1"/>
        <v>0</v>
      </c>
      <c r="W204" s="1988">
        <f t="array" aca="1" ref="W204:W213" ca="1">'Distr CV 2'!K204:K213</f>
        <v>0</v>
      </c>
      <c r="X204" s="1988">
        <f ca="1"/>
        <v>0</v>
      </c>
      <c r="Y204" s="2007">
        <f ca="1"/>
        <v>0</v>
      </c>
    </row>
    <row r="205" spans="1:25">
      <c r="A205" s="1995" t="str">
        <f>A$76</f>
        <v>4 meses antes</v>
      </c>
      <c r="B205" s="1991"/>
      <c r="C205" s="1991"/>
      <c r="D205" s="1991"/>
      <c r="E205" s="1991"/>
      <c r="F205" s="1991"/>
      <c r="G205" s="1991"/>
      <c r="H205" s="1991"/>
      <c r="I205" s="1991"/>
      <c r="J205" s="603">
        <f t="array" aca="1" ref="J205:U205" ca="1">B25:M25*Produção!$J$13</f>
        <v>0</v>
      </c>
      <c r="K205" s="603">
        <f ca="1"/>
        <v>0</v>
      </c>
      <c r="L205" s="603">
        <f ca="1"/>
        <v>0</v>
      </c>
      <c r="M205" s="603">
        <f ca="1"/>
        <v>0</v>
      </c>
      <c r="N205" s="603">
        <f ca="1"/>
        <v>0</v>
      </c>
      <c r="O205" s="603">
        <f ca="1"/>
        <v>0</v>
      </c>
      <c r="P205" s="603">
        <f ca="1"/>
        <v>0</v>
      </c>
      <c r="Q205" s="603">
        <f ca="1"/>
        <v>0</v>
      </c>
      <c r="R205" s="603">
        <f ca="1"/>
        <v>0</v>
      </c>
      <c r="S205" s="603">
        <f ca="1"/>
        <v>0</v>
      </c>
      <c r="T205" s="603">
        <f ca="1"/>
        <v>0</v>
      </c>
      <c r="U205" s="603">
        <f ca="1"/>
        <v>0</v>
      </c>
      <c r="V205" s="1988">
        <f t="array" aca="1" ref="V205:V213" ca="1">'Distr CV 2'!J205:J213</f>
        <v>0</v>
      </c>
      <c r="W205" s="1988">
        <f ca="1"/>
        <v>0</v>
      </c>
      <c r="X205" s="1988">
        <f ca="1"/>
        <v>0</v>
      </c>
      <c r="Y205" s="2007">
        <f ca="1"/>
        <v>0</v>
      </c>
    </row>
    <row r="206" spans="1:25">
      <c r="A206" s="1995" t="str">
        <f>A$77</f>
        <v>5 meses antes</v>
      </c>
      <c r="B206" s="1991"/>
      <c r="C206" s="1991"/>
      <c r="D206" s="1991"/>
      <c r="E206" s="1991"/>
      <c r="F206" s="1991"/>
      <c r="G206" s="1991"/>
      <c r="H206" s="1991"/>
      <c r="I206" s="603">
        <f t="array" aca="1" ref="I206:T206" ca="1">B25:M25*Produção!$I$13</f>
        <v>0</v>
      </c>
      <c r="J206" s="603">
        <f ca="1"/>
        <v>0</v>
      </c>
      <c r="K206" s="603">
        <f ca="1"/>
        <v>0</v>
      </c>
      <c r="L206" s="603">
        <f ca="1"/>
        <v>0</v>
      </c>
      <c r="M206" s="603">
        <f ca="1"/>
        <v>0</v>
      </c>
      <c r="N206" s="603">
        <f ca="1"/>
        <v>0</v>
      </c>
      <c r="O206" s="603">
        <f ca="1"/>
        <v>0</v>
      </c>
      <c r="P206" s="603">
        <f ca="1"/>
        <v>0</v>
      </c>
      <c r="Q206" s="603">
        <f ca="1"/>
        <v>0</v>
      </c>
      <c r="R206" s="603">
        <f ca="1"/>
        <v>0</v>
      </c>
      <c r="S206" s="603">
        <f ca="1"/>
        <v>0</v>
      </c>
      <c r="T206" s="603">
        <f ca="1"/>
        <v>0</v>
      </c>
      <c r="U206" s="1988">
        <f t="array" aca="1" ref="U206:U213" ca="1">'Distr CV 2'!I206:I213</f>
        <v>0</v>
      </c>
      <c r="V206" s="1988">
        <f ca="1"/>
        <v>0</v>
      </c>
      <c r="W206" s="1988">
        <f ca="1"/>
        <v>0</v>
      </c>
      <c r="X206" s="1988">
        <f ca="1"/>
        <v>0</v>
      </c>
      <c r="Y206" s="2007">
        <f ca="1"/>
        <v>0</v>
      </c>
    </row>
    <row r="207" spans="1:25">
      <c r="A207" s="1995" t="str">
        <f>A$78</f>
        <v>6 meses antes</v>
      </c>
      <c r="B207" s="1991"/>
      <c r="C207" s="1991"/>
      <c r="D207" s="1991"/>
      <c r="E207" s="1991"/>
      <c r="F207" s="1991"/>
      <c r="G207" s="1991"/>
      <c r="H207" s="603">
        <f t="array" aca="1" ref="H207:S207" ca="1">B25:M25*Produção!$H$13</f>
        <v>0</v>
      </c>
      <c r="I207" s="603">
        <f ca="1"/>
        <v>0</v>
      </c>
      <c r="J207" s="603">
        <f ca="1"/>
        <v>0</v>
      </c>
      <c r="K207" s="603">
        <f ca="1"/>
        <v>0</v>
      </c>
      <c r="L207" s="603">
        <f ca="1"/>
        <v>0</v>
      </c>
      <c r="M207" s="603">
        <f ca="1"/>
        <v>0</v>
      </c>
      <c r="N207" s="603">
        <f ca="1"/>
        <v>0</v>
      </c>
      <c r="O207" s="603">
        <f ca="1"/>
        <v>0</v>
      </c>
      <c r="P207" s="603">
        <f ca="1"/>
        <v>0</v>
      </c>
      <c r="Q207" s="603">
        <f ca="1"/>
        <v>0</v>
      </c>
      <c r="R207" s="603">
        <f ca="1"/>
        <v>0</v>
      </c>
      <c r="S207" s="603">
        <f ca="1"/>
        <v>0</v>
      </c>
      <c r="T207" s="1988">
        <f t="array" aca="1" ref="T207:T213" ca="1">'Distr CV 2'!H207:H213</f>
        <v>0</v>
      </c>
      <c r="U207" s="1988">
        <f ca="1"/>
        <v>0</v>
      </c>
      <c r="V207" s="1988">
        <f ca="1"/>
        <v>0</v>
      </c>
      <c r="W207" s="1988">
        <f ca="1"/>
        <v>0</v>
      </c>
      <c r="X207" s="1988">
        <f ca="1"/>
        <v>0</v>
      </c>
      <c r="Y207" s="2007">
        <f ca="1"/>
        <v>0</v>
      </c>
    </row>
    <row r="208" spans="1:25">
      <c r="A208" s="1995" t="str">
        <f>A$79</f>
        <v>7 meses antes</v>
      </c>
      <c r="B208" s="1991"/>
      <c r="C208" s="1991"/>
      <c r="D208" s="1991"/>
      <c r="E208" s="1991"/>
      <c r="F208" s="1991"/>
      <c r="G208" s="603">
        <f t="array" aca="1" ref="G208:R208" ca="1">B25:M25*Produção!$G$13</f>
        <v>0</v>
      </c>
      <c r="H208" s="603">
        <f ca="1"/>
        <v>0</v>
      </c>
      <c r="I208" s="603">
        <f ca="1"/>
        <v>0</v>
      </c>
      <c r="J208" s="603">
        <f ca="1"/>
        <v>0</v>
      </c>
      <c r="K208" s="603">
        <f ca="1"/>
        <v>0</v>
      </c>
      <c r="L208" s="603">
        <f ca="1"/>
        <v>0</v>
      </c>
      <c r="M208" s="603">
        <f ca="1"/>
        <v>0</v>
      </c>
      <c r="N208" s="603">
        <f ca="1"/>
        <v>0</v>
      </c>
      <c r="O208" s="603">
        <f ca="1"/>
        <v>0</v>
      </c>
      <c r="P208" s="603">
        <f ca="1"/>
        <v>0</v>
      </c>
      <c r="Q208" s="603">
        <f ca="1"/>
        <v>0</v>
      </c>
      <c r="R208" s="603">
        <f ca="1"/>
        <v>0</v>
      </c>
      <c r="S208" s="1992">
        <f t="array" aca="1" ref="S208:S213" ca="1">'Distr CV 2'!G208:G213</f>
        <v>0</v>
      </c>
      <c r="T208" s="1992">
        <f ca="1"/>
        <v>0</v>
      </c>
      <c r="U208" s="1992">
        <f ca="1"/>
        <v>0</v>
      </c>
      <c r="V208" s="1992">
        <f ca="1"/>
        <v>0</v>
      </c>
      <c r="W208" s="1992">
        <f ca="1"/>
        <v>0</v>
      </c>
      <c r="X208" s="1992">
        <f ca="1"/>
        <v>0</v>
      </c>
      <c r="Y208" s="2010">
        <f ca="1"/>
        <v>0</v>
      </c>
    </row>
    <row r="209" spans="1:25">
      <c r="A209" s="1995" t="str">
        <f>A$80</f>
        <v>8 meses antes</v>
      </c>
      <c r="B209" s="1991"/>
      <c r="C209" s="1991"/>
      <c r="D209" s="1991"/>
      <c r="E209" s="1991"/>
      <c r="F209" s="603">
        <f t="array" aca="1" ref="F209:Q209" ca="1">B25:M25*Produção!$F$13</f>
        <v>0</v>
      </c>
      <c r="G209" s="603">
        <f ca="1"/>
        <v>0</v>
      </c>
      <c r="H209" s="603">
        <f ca="1"/>
        <v>0</v>
      </c>
      <c r="I209" s="603">
        <f ca="1"/>
        <v>0</v>
      </c>
      <c r="J209" s="603">
        <f ca="1"/>
        <v>0</v>
      </c>
      <c r="K209" s="603">
        <f ca="1"/>
        <v>0</v>
      </c>
      <c r="L209" s="603">
        <f ca="1"/>
        <v>0</v>
      </c>
      <c r="M209" s="603">
        <f ca="1"/>
        <v>0</v>
      </c>
      <c r="N209" s="603">
        <f ca="1"/>
        <v>0</v>
      </c>
      <c r="O209" s="603">
        <f ca="1"/>
        <v>0</v>
      </c>
      <c r="P209" s="603">
        <f ca="1"/>
        <v>0</v>
      </c>
      <c r="Q209" s="603">
        <f ca="1"/>
        <v>0</v>
      </c>
      <c r="R209" s="1992">
        <f t="array" aca="1" ref="R209:R213" ca="1">'Distr CV 2'!F209:F213</f>
        <v>0</v>
      </c>
      <c r="S209" s="1992">
        <f ca="1"/>
        <v>0</v>
      </c>
      <c r="T209" s="1992">
        <f ca="1"/>
        <v>0</v>
      </c>
      <c r="U209" s="1992">
        <f ca="1"/>
        <v>0</v>
      </c>
      <c r="V209" s="1992">
        <f ca="1"/>
        <v>0</v>
      </c>
      <c r="W209" s="1992">
        <f ca="1"/>
        <v>0</v>
      </c>
      <c r="X209" s="1992">
        <f ca="1"/>
        <v>0</v>
      </c>
      <c r="Y209" s="2010">
        <f ca="1"/>
        <v>0</v>
      </c>
    </row>
    <row r="210" spans="1:25">
      <c r="A210" s="1995" t="str">
        <f>A$81</f>
        <v>9 meses antes</v>
      </c>
      <c r="B210" s="1991"/>
      <c r="C210" s="1991"/>
      <c r="D210" s="1991"/>
      <c r="E210" s="603">
        <f t="array" aca="1" ref="E210:P210" ca="1">B25:M25*Produção!$E$13</f>
        <v>0</v>
      </c>
      <c r="F210" s="603">
        <f ca="1"/>
        <v>0</v>
      </c>
      <c r="G210" s="603">
        <f ca="1"/>
        <v>0</v>
      </c>
      <c r="H210" s="603">
        <f ca="1"/>
        <v>0</v>
      </c>
      <c r="I210" s="603">
        <f ca="1"/>
        <v>0</v>
      </c>
      <c r="J210" s="603">
        <f ca="1"/>
        <v>0</v>
      </c>
      <c r="K210" s="603">
        <f ca="1"/>
        <v>0</v>
      </c>
      <c r="L210" s="603">
        <f ca="1"/>
        <v>0</v>
      </c>
      <c r="M210" s="603">
        <f ca="1"/>
        <v>0</v>
      </c>
      <c r="N210" s="603">
        <f ca="1"/>
        <v>0</v>
      </c>
      <c r="O210" s="603">
        <f ca="1"/>
        <v>0</v>
      </c>
      <c r="P210" s="603">
        <f ca="1"/>
        <v>0</v>
      </c>
      <c r="Q210" s="1992">
        <f t="array" aca="1" ref="Q210:Q213" ca="1">'Distr CV 2'!E210:E213</f>
        <v>0</v>
      </c>
      <c r="R210" s="1992">
        <f ca="1"/>
        <v>0</v>
      </c>
      <c r="S210" s="1992">
        <f ca="1"/>
        <v>0</v>
      </c>
      <c r="T210" s="1992">
        <f ca="1"/>
        <v>0</v>
      </c>
      <c r="U210" s="1992">
        <f ca="1"/>
        <v>0</v>
      </c>
      <c r="V210" s="1992">
        <f ca="1"/>
        <v>0</v>
      </c>
      <c r="W210" s="1992">
        <f ca="1"/>
        <v>0</v>
      </c>
      <c r="X210" s="1992">
        <f ca="1"/>
        <v>0</v>
      </c>
      <c r="Y210" s="2010">
        <f ca="1"/>
        <v>0</v>
      </c>
    </row>
    <row r="211" spans="1:25">
      <c r="A211" s="1995" t="str">
        <f>A$82</f>
        <v>10 meses antes</v>
      </c>
      <c r="B211" s="1991"/>
      <c r="C211" s="1991"/>
      <c r="D211" s="603">
        <f t="array" aca="1" ref="D211:O211" ca="1">B25:M25*Produção!$D$13</f>
        <v>0</v>
      </c>
      <c r="E211" s="603">
        <f ca="1"/>
        <v>0</v>
      </c>
      <c r="F211" s="603">
        <f ca="1"/>
        <v>0</v>
      </c>
      <c r="G211" s="603">
        <f ca="1"/>
        <v>0</v>
      </c>
      <c r="H211" s="603">
        <f ca="1"/>
        <v>0</v>
      </c>
      <c r="I211" s="603">
        <f ca="1"/>
        <v>0</v>
      </c>
      <c r="J211" s="603">
        <f ca="1"/>
        <v>0</v>
      </c>
      <c r="K211" s="603">
        <f ca="1"/>
        <v>0</v>
      </c>
      <c r="L211" s="603">
        <f ca="1"/>
        <v>0</v>
      </c>
      <c r="M211" s="603">
        <f ca="1"/>
        <v>0</v>
      </c>
      <c r="N211" s="603">
        <f ca="1"/>
        <v>0</v>
      </c>
      <c r="O211" s="603">
        <f ca="1"/>
        <v>0</v>
      </c>
      <c r="P211" s="1992">
        <f t="array" aca="1" ref="P211:P213" ca="1">'Distr CV 2'!D211:D213</f>
        <v>0</v>
      </c>
      <c r="Q211" s="1992">
        <f ca="1"/>
        <v>0</v>
      </c>
      <c r="R211" s="1992">
        <f ca="1"/>
        <v>0</v>
      </c>
      <c r="S211" s="1992">
        <f ca="1"/>
        <v>0</v>
      </c>
      <c r="T211" s="1992">
        <f ca="1"/>
        <v>0</v>
      </c>
      <c r="U211" s="1992">
        <f ca="1"/>
        <v>0</v>
      </c>
      <c r="V211" s="1992">
        <f ca="1"/>
        <v>0</v>
      </c>
      <c r="W211" s="1992">
        <f ca="1"/>
        <v>0</v>
      </c>
      <c r="X211" s="1992">
        <f ca="1"/>
        <v>0</v>
      </c>
      <c r="Y211" s="2010">
        <f ca="1"/>
        <v>0</v>
      </c>
    </row>
    <row r="212" spans="1:25">
      <c r="A212" s="1995" t="str">
        <f>A$83</f>
        <v>11 meses antes</v>
      </c>
      <c r="B212" s="1991"/>
      <c r="C212" s="603">
        <f t="array" aca="1" ref="C212:N212" ca="1">B25:M25*Produção!$C$13</f>
        <v>0</v>
      </c>
      <c r="D212" s="603">
        <f ca="1"/>
        <v>0</v>
      </c>
      <c r="E212" s="603">
        <f ca="1"/>
        <v>0</v>
      </c>
      <c r="F212" s="603">
        <f ca="1"/>
        <v>0</v>
      </c>
      <c r="G212" s="603">
        <f ca="1"/>
        <v>0</v>
      </c>
      <c r="H212" s="603">
        <f ca="1"/>
        <v>0</v>
      </c>
      <c r="I212" s="603">
        <f ca="1"/>
        <v>0</v>
      </c>
      <c r="J212" s="603">
        <f ca="1"/>
        <v>0</v>
      </c>
      <c r="K212" s="603">
        <f ca="1"/>
        <v>0</v>
      </c>
      <c r="L212" s="603">
        <f ca="1"/>
        <v>0</v>
      </c>
      <c r="M212" s="603">
        <f ca="1"/>
        <v>0</v>
      </c>
      <c r="N212" s="603">
        <f ca="1"/>
        <v>0</v>
      </c>
      <c r="O212" s="1992">
        <f ca="1">'Distr CV 2'!C212</f>
        <v>0</v>
      </c>
      <c r="P212" s="1992">
        <f ca="1"/>
        <v>0</v>
      </c>
      <c r="Q212" s="1992">
        <f ca="1"/>
        <v>0</v>
      </c>
      <c r="R212" s="1992">
        <f ca="1"/>
        <v>0</v>
      </c>
      <c r="S212" s="1992">
        <f ca="1"/>
        <v>0</v>
      </c>
      <c r="T212" s="1992">
        <f ca="1"/>
        <v>0</v>
      </c>
      <c r="U212" s="1992">
        <f ca="1"/>
        <v>0</v>
      </c>
      <c r="V212" s="1992">
        <f ca="1"/>
        <v>0</v>
      </c>
      <c r="W212" s="1992">
        <f ca="1"/>
        <v>0</v>
      </c>
      <c r="X212" s="1992">
        <f ca="1"/>
        <v>0</v>
      </c>
      <c r="Y212" s="2010">
        <f ca="1"/>
        <v>0</v>
      </c>
    </row>
    <row r="213" spans="1:25" ht="13.5" thickBot="1">
      <c r="A213" s="1995" t="str">
        <f>A$84</f>
        <v>12 meses antes</v>
      </c>
      <c r="B213" s="603">
        <f t="array" aca="1" ref="B213:M213" ca="1">B25:M25*Produção!$B$13</f>
        <v>0</v>
      </c>
      <c r="C213" s="603">
        <f ca="1"/>
        <v>0</v>
      </c>
      <c r="D213" s="603">
        <f ca="1"/>
        <v>0</v>
      </c>
      <c r="E213" s="603">
        <f ca="1"/>
        <v>0</v>
      </c>
      <c r="F213" s="603">
        <f ca="1"/>
        <v>0</v>
      </c>
      <c r="G213" s="603">
        <f ca="1"/>
        <v>0</v>
      </c>
      <c r="H213" s="603">
        <f ca="1"/>
        <v>0</v>
      </c>
      <c r="I213" s="603">
        <f ca="1"/>
        <v>0</v>
      </c>
      <c r="J213" s="603">
        <f ca="1"/>
        <v>0</v>
      </c>
      <c r="K213" s="603">
        <f ca="1"/>
        <v>0</v>
      </c>
      <c r="L213" s="603">
        <f ca="1"/>
        <v>0</v>
      </c>
      <c r="M213" s="603">
        <f ca="1"/>
        <v>0</v>
      </c>
      <c r="N213" s="1991">
        <f ca="1">'Distr CV 2'!B213</f>
        <v>0</v>
      </c>
      <c r="O213" s="1992">
        <f ca="1">'Distr CV 2'!C213</f>
        <v>0</v>
      </c>
      <c r="P213" s="1992">
        <f ca="1"/>
        <v>0</v>
      </c>
      <c r="Q213" s="1992">
        <f ca="1"/>
        <v>0</v>
      </c>
      <c r="R213" s="1992">
        <f ca="1"/>
        <v>0</v>
      </c>
      <c r="S213" s="1992">
        <f ca="1"/>
        <v>0</v>
      </c>
      <c r="T213" s="1992">
        <f ca="1"/>
        <v>0</v>
      </c>
      <c r="U213" s="1992">
        <f ca="1"/>
        <v>0</v>
      </c>
      <c r="V213" s="1992">
        <f ca="1"/>
        <v>0</v>
      </c>
      <c r="W213" s="1992">
        <f ca="1"/>
        <v>0</v>
      </c>
      <c r="X213" s="1992">
        <f ca="1"/>
        <v>0</v>
      </c>
      <c r="Y213" s="2010">
        <f ca="1"/>
        <v>0</v>
      </c>
    </row>
    <row r="214" spans="1:25" ht="13.5" thickBot="1">
      <c r="A214" s="105" t="str">
        <f>"Totales CV "&amp;A$13</f>
        <v xml:space="preserve">Totales CV </v>
      </c>
      <c r="B214" s="607">
        <f t="shared" ref="B214:Y214" ca="1" si="16">SUM(B201:B213)</f>
        <v>0</v>
      </c>
      <c r="C214" s="607">
        <f t="shared" ca="1" si="16"/>
        <v>0</v>
      </c>
      <c r="D214" s="607">
        <f t="shared" ca="1" si="16"/>
        <v>0</v>
      </c>
      <c r="E214" s="607">
        <f t="shared" ca="1" si="16"/>
        <v>0</v>
      </c>
      <c r="F214" s="607">
        <f t="shared" ca="1" si="16"/>
        <v>0</v>
      </c>
      <c r="G214" s="607">
        <f t="shared" ca="1" si="16"/>
        <v>0</v>
      </c>
      <c r="H214" s="607">
        <f t="shared" ca="1" si="16"/>
        <v>0</v>
      </c>
      <c r="I214" s="607">
        <f t="shared" ca="1" si="16"/>
        <v>0</v>
      </c>
      <c r="J214" s="607">
        <f t="shared" ca="1" si="16"/>
        <v>0</v>
      </c>
      <c r="K214" s="607">
        <f t="shared" ca="1" si="16"/>
        <v>0</v>
      </c>
      <c r="L214" s="607">
        <f t="shared" ca="1" si="16"/>
        <v>0</v>
      </c>
      <c r="M214" s="607">
        <f t="shared" ca="1" si="16"/>
        <v>0</v>
      </c>
      <c r="N214" s="607">
        <f t="shared" ca="1" si="16"/>
        <v>0</v>
      </c>
      <c r="O214" s="607">
        <f t="shared" ca="1" si="16"/>
        <v>0</v>
      </c>
      <c r="P214" s="607">
        <f t="shared" ca="1" si="16"/>
        <v>0</v>
      </c>
      <c r="Q214" s="607">
        <f t="shared" ca="1" si="16"/>
        <v>0</v>
      </c>
      <c r="R214" s="607">
        <f t="shared" ca="1" si="16"/>
        <v>0</v>
      </c>
      <c r="S214" s="607">
        <f t="shared" ca="1" si="16"/>
        <v>0</v>
      </c>
      <c r="T214" s="607">
        <f t="shared" ca="1" si="16"/>
        <v>0</v>
      </c>
      <c r="U214" s="607">
        <f t="shared" ca="1" si="16"/>
        <v>0</v>
      </c>
      <c r="V214" s="607">
        <f t="shared" ca="1" si="16"/>
        <v>0</v>
      </c>
      <c r="W214" s="607">
        <f t="shared" ca="1" si="16"/>
        <v>0</v>
      </c>
      <c r="X214" s="607">
        <f t="shared" ca="1" si="16"/>
        <v>0</v>
      </c>
      <c r="Y214" s="2008">
        <f t="shared" ca="1" si="16"/>
        <v>0</v>
      </c>
    </row>
    <row r="215" spans="1:25" ht="13.5" thickBot="1">
      <c r="A215" s="105" t="str">
        <f>'Dados Básicos'!A28&amp;" sop. CV "&amp;$A$13</f>
        <v xml:space="preserve">IVA sop. CV </v>
      </c>
      <c r="B215" s="607">
        <f t="array" aca="1" ref="B215:Y215" ca="1">$K$199*B214:Y214</f>
        <v>0</v>
      </c>
      <c r="C215" s="607">
        <f ca="1"/>
        <v>0</v>
      </c>
      <c r="D215" s="607">
        <f ca="1"/>
        <v>0</v>
      </c>
      <c r="E215" s="607">
        <f ca="1"/>
        <v>0</v>
      </c>
      <c r="F215" s="607">
        <f ca="1"/>
        <v>0</v>
      </c>
      <c r="G215" s="607">
        <f ca="1"/>
        <v>0</v>
      </c>
      <c r="H215" s="607">
        <f ca="1"/>
        <v>0</v>
      </c>
      <c r="I215" s="607">
        <f ca="1"/>
        <v>0</v>
      </c>
      <c r="J215" s="607">
        <f ca="1"/>
        <v>0</v>
      </c>
      <c r="K215" s="607">
        <f ca="1"/>
        <v>0</v>
      </c>
      <c r="L215" s="607">
        <f ca="1"/>
        <v>0</v>
      </c>
      <c r="M215" s="607">
        <f ca="1"/>
        <v>0</v>
      </c>
      <c r="N215" s="607">
        <f ca="1"/>
        <v>0</v>
      </c>
      <c r="O215" s="607">
        <f ca="1"/>
        <v>0</v>
      </c>
      <c r="P215" s="607">
        <f ca="1"/>
        <v>0</v>
      </c>
      <c r="Q215" s="607">
        <f ca="1"/>
        <v>0</v>
      </c>
      <c r="R215" s="607">
        <f ca="1"/>
        <v>0</v>
      </c>
      <c r="S215" s="607">
        <f ca="1"/>
        <v>0</v>
      </c>
      <c r="T215" s="607">
        <f ca="1"/>
        <v>0</v>
      </c>
      <c r="U215" s="607">
        <f ca="1"/>
        <v>0</v>
      </c>
      <c r="V215" s="607">
        <f ca="1"/>
        <v>0</v>
      </c>
      <c r="W215" s="607">
        <f ca="1"/>
        <v>0</v>
      </c>
      <c r="X215" s="607">
        <f ca="1"/>
        <v>0</v>
      </c>
      <c r="Y215" s="2008">
        <f ca="1"/>
        <v>0</v>
      </c>
    </row>
    <row r="217" spans="1:25" ht="18.75" thickBot="1">
      <c r="A217" s="1993" t="str">
        <f>'Distr CV 0'!A217</f>
        <v xml:space="preserve">Compras / custos de producción por meses de </v>
      </c>
      <c r="I217" s="1993" t="str">
        <f>$I$109</f>
        <v>IVA NÃO incluido</v>
      </c>
      <c r="K217" s="2005">
        <f>Parametros!$F$30</f>
        <v>0.21</v>
      </c>
    </row>
    <row r="218" spans="1:25" ht="33" customHeight="1" thickBot="1">
      <c r="A218" s="457" t="str">
        <f>'Distr CV 0'!A218</f>
        <v>mes de compra / custo</v>
      </c>
      <c r="B218" s="2011" t="str">
        <f t="array" ref="B218:Y218">B$71:Y$71</f>
        <v>janeiro 
2026</v>
      </c>
      <c r="C218" s="2011" t="str">
        <v>fevereiro 
2026</v>
      </c>
      <c r="D218" s="2011" t="str">
        <v>março 
2026</v>
      </c>
      <c r="E218" s="2011" t="str">
        <v>abril 
2026</v>
      </c>
      <c r="F218" s="2011" t="str">
        <v>maio 
2026</v>
      </c>
      <c r="G218" s="2011" t="str">
        <v>junho 
2026</v>
      </c>
      <c r="H218" s="2011" t="str">
        <v>julho 
2026</v>
      </c>
      <c r="I218" s="2011" t="str">
        <v>agosto 
2026</v>
      </c>
      <c r="J218" s="2011" t="str">
        <v>setembro 
2026</v>
      </c>
      <c r="K218" s="2011" t="str">
        <v>outubro 
2026</v>
      </c>
      <c r="L218" s="2011" t="str">
        <v>novembro 
2026</v>
      </c>
      <c r="M218" s="2011" t="str">
        <v>dezembro 
2026</v>
      </c>
      <c r="N218" s="2737" t="str">
        <v>janeiro 
2027</v>
      </c>
      <c r="O218" s="2738" t="str">
        <v>fevereiro 
2027</v>
      </c>
      <c r="P218" s="2738" t="str">
        <v>março 
2027</v>
      </c>
      <c r="Q218" s="2738" t="str">
        <v>abril 
2027</v>
      </c>
      <c r="R218" s="2738" t="str">
        <v>maio 
2027</v>
      </c>
      <c r="S218" s="2738" t="str">
        <v>junho 
2027</v>
      </c>
      <c r="T218" s="2738" t="str">
        <v>julho 
2027</v>
      </c>
      <c r="U218" s="2738" t="str">
        <v>agosto 
2027</v>
      </c>
      <c r="V218" s="2738" t="str">
        <v>setembro 
2027</v>
      </c>
      <c r="W218" s="2738" t="str">
        <v>outubro 
2027</v>
      </c>
      <c r="X218" s="2738" t="str">
        <v>novembro 
2027</v>
      </c>
      <c r="Y218" s="2739" t="str">
        <v>dezembro 
2027</v>
      </c>
    </row>
    <row r="219" spans="1:25">
      <c r="A219" s="1994" t="str">
        <f>A$72</f>
        <v>mismo mes</v>
      </c>
      <c r="B219" s="1991"/>
      <c r="C219" s="1991"/>
      <c r="D219" s="1991"/>
      <c r="E219" s="1991"/>
      <c r="F219" s="1991"/>
      <c r="G219" s="1991"/>
      <c r="H219" s="1991"/>
      <c r="I219" s="1991"/>
      <c r="J219" s="1991"/>
      <c r="K219" s="1991"/>
      <c r="L219" s="1991"/>
      <c r="M219" s="1991"/>
      <c r="N219" s="603">
        <f t="array" aca="1" ref="N219:Y219" ca="1">B26:M26*Produção!$N$14</f>
        <v>0</v>
      </c>
      <c r="O219" s="603">
        <f ca="1"/>
        <v>0</v>
      </c>
      <c r="P219" s="603">
        <f ca="1"/>
        <v>0</v>
      </c>
      <c r="Q219" s="603">
        <f ca="1"/>
        <v>0</v>
      </c>
      <c r="R219" s="603">
        <f ca="1"/>
        <v>0</v>
      </c>
      <c r="S219" s="603">
        <f ca="1"/>
        <v>0</v>
      </c>
      <c r="T219" s="603">
        <f ca="1"/>
        <v>0</v>
      </c>
      <c r="U219" s="603">
        <f ca="1"/>
        <v>0</v>
      </c>
      <c r="V219" s="603">
        <f ca="1"/>
        <v>0</v>
      </c>
      <c r="W219" s="603">
        <f ca="1"/>
        <v>0</v>
      </c>
      <c r="X219" s="603">
        <f ca="1"/>
        <v>0</v>
      </c>
      <c r="Y219" s="2006">
        <f ca="1"/>
        <v>0</v>
      </c>
    </row>
    <row r="220" spans="1:25">
      <c r="A220" s="1995" t="str">
        <f>A$73</f>
        <v>1 mes antes</v>
      </c>
      <c r="B220" s="1991"/>
      <c r="C220" s="1991"/>
      <c r="D220" s="1991"/>
      <c r="E220" s="1991"/>
      <c r="F220" s="1991"/>
      <c r="G220" s="1991"/>
      <c r="H220" s="1991"/>
      <c r="I220" s="1991"/>
      <c r="J220" s="1991"/>
      <c r="K220" s="1991"/>
      <c r="L220" s="1991"/>
      <c r="M220" s="603">
        <f t="array" aca="1" ref="M220:X220" ca="1">B26:M26*Produção!$M$14</f>
        <v>0</v>
      </c>
      <c r="N220" s="603">
        <f ca="1"/>
        <v>0</v>
      </c>
      <c r="O220" s="603">
        <f ca="1"/>
        <v>0</v>
      </c>
      <c r="P220" s="603">
        <f ca="1"/>
        <v>0</v>
      </c>
      <c r="Q220" s="603">
        <f ca="1"/>
        <v>0</v>
      </c>
      <c r="R220" s="603">
        <f ca="1"/>
        <v>0</v>
      </c>
      <c r="S220" s="603">
        <f ca="1"/>
        <v>0</v>
      </c>
      <c r="T220" s="603">
        <f ca="1"/>
        <v>0</v>
      </c>
      <c r="U220" s="603">
        <f ca="1"/>
        <v>0</v>
      </c>
      <c r="V220" s="603">
        <f ca="1"/>
        <v>0</v>
      </c>
      <c r="W220" s="603">
        <f ca="1"/>
        <v>0</v>
      </c>
      <c r="X220" s="603">
        <f ca="1"/>
        <v>0</v>
      </c>
      <c r="Y220" s="2007">
        <f t="array" aca="1" ref="Y220:Y231" ca="1">'Distr CV 2'!M220:M231</f>
        <v>0</v>
      </c>
    </row>
    <row r="221" spans="1:25">
      <c r="A221" s="1995" t="str">
        <f>A$74</f>
        <v>2 meses antes</v>
      </c>
      <c r="B221" s="1991"/>
      <c r="C221" s="1991"/>
      <c r="D221" s="1991"/>
      <c r="E221" s="1991"/>
      <c r="F221" s="1991"/>
      <c r="G221" s="1991"/>
      <c r="H221" s="1991"/>
      <c r="I221" s="1991"/>
      <c r="J221" s="1991"/>
      <c r="K221" s="1991"/>
      <c r="L221" s="603">
        <f t="array" aca="1" ref="L221:W221" ca="1">B26:M26*Produção!$L$14</f>
        <v>0</v>
      </c>
      <c r="M221" s="603">
        <f ca="1"/>
        <v>0</v>
      </c>
      <c r="N221" s="603">
        <f ca="1"/>
        <v>0</v>
      </c>
      <c r="O221" s="603">
        <f ca="1"/>
        <v>0</v>
      </c>
      <c r="P221" s="603">
        <f ca="1"/>
        <v>0</v>
      </c>
      <c r="Q221" s="603">
        <f ca="1"/>
        <v>0</v>
      </c>
      <c r="R221" s="603">
        <f ca="1"/>
        <v>0</v>
      </c>
      <c r="S221" s="603">
        <f ca="1"/>
        <v>0</v>
      </c>
      <c r="T221" s="603">
        <f ca="1"/>
        <v>0</v>
      </c>
      <c r="U221" s="603">
        <f ca="1"/>
        <v>0</v>
      </c>
      <c r="V221" s="603">
        <f ca="1"/>
        <v>0</v>
      </c>
      <c r="W221" s="603">
        <f ca="1"/>
        <v>0</v>
      </c>
      <c r="X221" s="1988">
        <f t="array" aca="1" ref="X221:X231" ca="1">'Distr CV 2'!L221:L231</f>
        <v>0</v>
      </c>
      <c r="Y221" s="2007">
        <f ca="1"/>
        <v>0</v>
      </c>
    </row>
    <row r="222" spans="1:25">
      <c r="A222" s="1995" t="str">
        <f>A$75</f>
        <v>3 meses antes</v>
      </c>
      <c r="B222" s="1991"/>
      <c r="C222" s="1991"/>
      <c r="D222" s="1991"/>
      <c r="E222" s="1991"/>
      <c r="F222" s="1991"/>
      <c r="G222" s="1991"/>
      <c r="H222" s="1991"/>
      <c r="I222" s="1991"/>
      <c r="J222" s="1991"/>
      <c r="K222" s="603">
        <f t="array" aca="1" ref="K222:V222" ca="1">B26:M26*Produção!$K$14</f>
        <v>0</v>
      </c>
      <c r="L222" s="603">
        <f ca="1"/>
        <v>0</v>
      </c>
      <c r="M222" s="603">
        <f ca="1"/>
        <v>0</v>
      </c>
      <c r="N222" s="603">
        <f ca="1"/>
        <v>0</v>
      </c>
      <c r="O222" s="603">
        <f ca="1"/>
        <v>0</v>
      </c>
      <c r="P222" s="603">
        <f ca="1"/>
        <v>0</v>
      </c>
      <c r="Q222" s="603">
        <f ca="1"/>
        <v>0</v>
      </c>
      <c r="R222" s="603">
        <f ca="1"/>
        <v>0</v>
      </c>
      <c r="S222" s="603">
        <f ca="1"/>
        <v>0</v>
      </c>
      <c r="T222" s="603">
        <f ca="1"/>
        <v>0</v>
      </c>
      <c r="U222" s="603">
        <f ca="1"/>
        <v>0</v>
      </c>
      <c r="V222" s="603">
        <f ca="1"/>
        <v>0</v>
      </c>
      <c r="W222" s="1988">
        <f t="array" aca="1" ref="W222:W231" ca="1">'Distr CV 2'!K222:K231</f>
        <v>0</v>
      </c>
      <c r="X222" s="1988">
        <f ca="1"/>
        <v>0</v>
      </c>
      <c r="Y222" s="2007">
        <f ca="1"/>
        <v>0</v>
      </c>
    </row>
    <row r="223" spans="1:25">
      <c r="A223" s="1995" t="str">
        <f>A$76</f>
        <v>4 meses antes</v>
      </c>
      <c r="B223" s="1991"/>
      <c r="C223" s="1991"/>
      <c r="D223" s="1991"/>
      <c r="E223" s="1991"/>
      <c r="F223" s="1991"/>
      <c r="G223" s="1991"/>
      <c r="H223" s="1991"/>
      <c r="I223" s="1991"/>
      <c r="J223" s="603">
        <f t="array" aca="1" ref="J223:U223" ca="1">B26:M26*Produção!$J$14</f>
        <v>0</v>
      </c>
      <c r="K223" s="603">
        <f ca="1"/>
        <v>0</v>
      </c>
      <c r="L223" s="603">
        <f ca="1"/>
        <v>0</v>
      </c>
      <c r="M223" s="603">
        <f ca="1"/>
        <v>0</v>
      </c>
      <c r="N223" s="603">
        <f ca="1"/>
        <v>0</v>
      </c>
      <c r="O223" s="603">
        <f ca="1"/>
        <v>0</v>
      </c>
      <c r="P223" s="603">
        <f ca="1"/>
        <v>0</v>
      </c>
      <c r="Q223" s="603">
        <f ca="1"/>
        <v>0</v>
      </c>
      <c r="R223" s="603">
        <f ca="1"/>
        <v>0</v>
      </c>
      <c r="S223" s="603">
        <f ca="1"/>
        <v>0</v>
      </c>
      <c r="T223" s="603">
        <f ca="1"/>
        <v>0</v>
      </c>
      <c r="U223" s="603">
        <f ca="1"/>
        <v>0</v>
      </c>
      <c r="V223" s="1988">
        <f t="array" aca="1" ref="V223:V231" ca="1">'Distr CV 2'!J223:J231</f>
        <v>0</v>
      </c>
      <c r="W223" s="1988">
        <f ca="1"/>
        <v>0</v>
      </c>
      <c r="X223" s="1988">
        <f ca="1"/>
        <v>0</v>
      </c>
      <c r="Y223" s="2007">
        <f ca="1"/>
        <v>0</v>
      </c>
    </row>
    <row r="224" spans="1:25">
      <c r="A224" s="1995" t="str">
        <f>A$77</f>
        <v>5 meses antes</v>
      </c>
      <c r="B224" s="1991"/>
      <c r="C224" s="1991"/>
      <c r="D224" s="1991"/>
      <c r="E224" s="1991"/>
      <c r="F224" s="1991"/>
      <c r="G224" s="1991"/>
      <c r="H224" s="1991"/>
      <c r="I224" s="603">
        <f t="array" aca="1" ref="I224:T224" ca="1">B26:M26*Produção!$I$14</f>
        <v>0</v>
      </c>
      <c r="J224" s="603">
        <f ca="1"/>
        <v>0</v>
      </c>
      <c r="K224" s="603">
        <f ca="1"/>
        <v>0</v>
      </c>
      <c r="L224" s="603">
        <f ca="1"/>
        <v>0</v>
      </c>
      <c r="M224" s="603">
        <f ca="1"/>
        <v>0</v>
      </c>
      <c r="N224" s="603">
        <f ca="1"/>
        <v>0</v>
      </c>
      <c r="O224" s="603">
        <f ca="1"/>
        <v>0</v>
      </c>
      <c r="P224" s="603">
        <f ca="1"/>
        <v>0</v>
      </c>
      <c r="Q224" s="603">
        <f ca="1"/>
        <v>0</v>
      </c>
      <c r="R224" s="603">
        <f ca="1"/>
        <v>0</v>
      </c>
      <c r="S224" s="603">
        <f ca="1"/>
        <v>0</v>
      </c>
      <c r="T224" s="603">
        <f ca="1"/>
        <v>0</v>
      </c>
      <c r="U224" s="1988">
        <f t="array" aca="1" ref="U224:U231" ca="1">'Distr CV 2'!I224:I231</f>
        <v>0</v>
      </c>
      <c r="V224" s="1988">
        <f ca="1"/>
        <v>0</v>
      </c>
      <c r="W224" s="1988">
        <f ca="1"/>
        <v>0</v>
      </c>
      <c r="X224" s="1988">
        <f ca="1"/>
        <v>0</v>
      </c>
      <c r="Y224" s="2007">
        <f ca="1"/>
        <v>0</v>
      </c>
    </row>
    <row r="225" spans="1:25">
      <c r="A225" s="1995" t="str">
        <f>A$78</f>
        <v>6 meses antes</v>
      </c>
      <c r="B225" s="1991"/>
      <c r="C225" s="1991"/>
      <c r="D225" s="1991"/>
      <c r="E225" s="1991"/>
      <c r="F225" s="1991"/>
      <c r="G225" s="1991"/>
      <c r="H225" s="603">
        <f t="array" aca="1" ref="H225:S225" ca="1">B26:M26*Produção!$H$14</f>
        <v>0</v>
      </c>
      <c r="I225" s="603">
        <f ca="1"/>
        <v>0</v>
      </c>
      <c r="J225" s="603">
        <f ca="1"/>
        <v>0</v>
      </c>
      <c r="K225" s="603">
        <f ca="1"/>
        <v>0</v>
      </c>
      <c r="L225" s="603">
        <f ca="1"/>
        <v>0</v>
      </c>
      <c r="M225" s="603">
        <f ca="1"/>
        <v>0</v>
      </c>
      <c r="N225" s="603">
        <f ca="1"/>
        <v>0</v>
      </c>
      <c r="O225" s="603">
        <f ca="1"/>
        <v>0</v>
      </c>
      <c r="P225" s="603">
        <f ca="1"/>
        <v>0</v>
      </c>
      <c r="Q225" s="603">
        <f ca="1"/>
        <v>0</v>
      </c>
      <c r="R225" s="603">
        <f ca="1"/>
        <v>0</v>
      </c>
      <c r="S225" s="603">
        <f ca="1"/>
        <v>0</v>
      </c>
      <c r="T225" s="1988">
        <f t="array" aca="1" ref="T225:T231" ca="1">'Distr CV 2'!H225:H231</f>
        <v>0</v>
      </c>
      <c r="U225" s="1988">
        <f ca="1"/>
        <v>0</v>
      </c>
      <c r="V225" s="1988">
        <f ca="1"/>
        <v>0</v>
      </c>
      <c r="W225" s="1988">
        <f ca="1"/>
        <v>0</v>
      </c>
      <c r="X225" s="1988">
        <f ca="1"/>
        <v>0</v>
      </c>
      <c r="Y225" s="2007">
        <f ca="1"/>
        <v>0</v>
      </c>
    </row>
    <row r="226" spans="1:25">
      <c r="A226" s="1995" t="str">
        <f>A$79</f>
        <v>7 meses antes</v>
      </c>
      <c r="B226" s="1991"/>
      <c r="C226" s="1991"/>
      <c r="D226" s="1991"/>
      <c r="E226" s="1991"/>
      <c r="F226" s="1991"/>
      <c r="G226" s="603">
        <f t="array" aca="1" ref="G226:R226" ca="1">B26:M26*Produção!$G$14</f>
        <v>0</v>
      </c>
      <c r="H226" s="603">
        <f ca="1"/>
        <v>0</v>
      </c>
      <c r="I226" s="603">
        <f ca="1"/>
        <v>0</v>
      </c>
      <c r="J226" s="603">
        <f ca="1"/>
        <v>0</v>
      </c>
      <c r="K226" s="603">
        <f ca="1"/>
        <v>0</v>
      </c>
      <c r="L226" s="603">
        <f ca="1"/>
        <v>0</v>
      </c>
      <c r="M226" s="603">
        <f ca="1"/>
        <v>0</v>
      </c>
      <c r="N226" s="603">
        <f ca="1"/>
        <v>0</v>
      </c>
      <c r="O226" s="603">
        <f ca="1"/>
        <v>0</v>
      </c>
      <c r="P226" s="603">
        <f ca="1"/>
        <v>0</v>
      </c>
      <c r="Q226" s="603">
        <f ca="1"/>
        <v>0</v>
      </c>
      <c r="R226" s="603">
        <f ca="1"/>
        <v>0</v>
      </c>
      <c r="S226" s="1992">
        <f t="array" aca="1" ref="S226:S231" ca="1">'Distr CV 2'!G226:G231</f>
        <v>0</v>
      </c>
      <c r="T226" s="1992">
        <f ca="1"/>
        <v>0</v>
      </c>
      <c r="U226" s="1992">
        <f ca="1"/>
        <v>0</v>
      </c>
      <c r="V226" s="1992">
        <f ca="1"/>
        <v>0</v>
      </c>
      <c r="W226" s="1992">
        <f ca="1"/>
        <v>0</v>
      </c>
      <c r="X226" s="1992">
        <f ca="1"/>
        <v>0</v>
      </c>
      <c r="Y226" s="2010">
        <f ca="1"/>
        <v>0</v>
      </c>
    </row>
    <row r="227" spans="1:25">
      <c r="A227" s="1995" t="str">
        <f>A$80</f>
        <v>8 meses antes</v>
      </c>
      <c r="B227" s="1991"/>
      <c r="C227" s="1991"/>
      <c r="D227" s="1991"/>
      <c r="E227" s="1991"/>
      <c r="F227" s="603">
        <f t="array" aca="1" ref="F227:Q227" ca="1">B26:M26*Produção!$F$14</f>
        <v>0</v>
      </c>
      <c r="G227" s="603">
        <f ca="1"/>
        <v>0</v>
      </c>
      <c r="H227" s="603">
        <f ca="1"/>
        <v>0</v>
      </c>
      <c r="I227" s="603">
        <f ca="1"/>
        <v>0</v>
      </c>
      <c r="J227" s="603">
        <f ca="1"/>
        <v>0</v>
      </c>
      <c r="K227" s="603">
        <f ca="1"/>
        <v>0</v>
      </c>
      <c r="L227" s="603">
        <f ca="1"/>
        <v>0</v>
      </c>
      <c r="M227" s="603">
        <f ca="1"/>
        <v>0</v>
      </c>
      <c r="N227" s="603">
        <f ca="1"/>
        <v>0</v>
      </c>
      <c r="O227" s="603">
        <f ca="1"/>
        <v>0</v>
      </c>
      <c r="P227" s="603">
        <f ca="1"/>
        <v>0</v>
      </c>
      <c r="Q227" s="603">
        <f ca="1"/>
        <v>0</v>
      </c>
      <c r="R227" s="1992">
        <f t="array" aca="1" ref="R227:R231" ca="1">'Distr CV 2'!F227:F231</f>
        <v>0</v>
      </c>
      <c r="S227" s="1992">
        <f ca="1"/>
        <v>0</v>
      </c>
      <c r="T227" s="1992">
        <f ca="1"/>
        <v>0</v>
      </c>
      <c r="U227" s="1992">
        <f ca="1"/>
        <v>0</v>
      </c>
      <c r="V227" s="1992">
        <f ca="1"/>
        <v>0</v>
      </c>
      <c r="W227" s="1992">
        <f ca="1"/>
        <v>0</v>
      </c>
      <c r="X227" s="1992">
        <f ca="1"/>
        <v>0</v>
      </c>
      <c r="Y227" s="2010">
        <f ca="1"/>
        <v>0</v>
      </c>
    </row>
    <row r="228" spans="1:25">
      <c r="A228" s="1995" t="str">
        <f>A$81</f>
        <v>9 meses antes</v>
      </c>
      <c r="B228" s="1991"/>
      <c r="C228" s="1991"/>
      <c r="D228" s="1991"/>
      <c r="E228" s="603">
        <f t="array" aca="1" ref="E228:P228" ca="1">B26:M26*Produção!$E$14</f>
        <v>0</v>
      </c>
      <c r="F228" s="603">
        <f ca="1"/>
        <v>0</v>
      </c>
      <c r="G228" s="603">
        <f ca="1"/>
        <v>0</v>
      </c>
      <c r="H228" s="603">
        <f ca="1"/>
        <v>0</v>
      </c>
      <c r="I228" s="603">
        <f ca="1"/>
        <v>0</v>
      </c>
      <c r="J228" s="603">
        <f ca="1"/>
        <v>0</v>
      </c>
      <c r="K228" s="603">
        <f ca="1"/>
        <v>0</v>
      </c>
      <c r="L228" s="603">
        <f ca="1"/>
        <v>0</v>
      </c>
      <c r="M228" s="603">
        <f ca="1"/>
        <v>0</v>
      </c>
      <c r="N228" s="603">
        <f ca="1"/>
        <v>0</v>
      </c>
      <c r="O228" s="603">
        <f ca="1"/>
        <v>0</v>
      </c>
      <c r="P228" s="603">
        <f ca="1"/>
        <v>0</v>
      </c>
      <c r="Q228" s="1992">
        <f t="array" aca="1" ref="Q228:Q231" ca="1">'Distr CV 2'!E228:E231</f>
        <v>0</v>
      </c>
      <c r="R228" s="1992">
        <f ca="1"/>
        <v>0</v>
      </c>
      <c r="S228" s="1992">
        <f ca="1"/>
        <v>0</v>
      </c>
      <c r="T228" s="1992">
        <f ca="1"/>
        <v>0</v>
      </c>
      <c r="U228" s="1992">
        <f ca="1"/>
        <v>0</v>
      </c>
      <c r="V228" s="1992">
        <f ca="1"/>
        <v>0</v>
      </c>
      <c r="W228" s="1992">
        <f ca="1"/>
        <v>0</v>
      </c>
      <c r="X228" s="1992">
        <f ca="1"/>
        <v>0</v>
      </c>
      <c r="Y228" s="2010">
        <f ca="1"/>
        <v>0</v>
      </c>
    </row>
    <row r="229" spans="1:25">
      <c r="A229" s="1995" t="str">
        <f>A$82</f>
        <v>10 meses antes</v>
      </c>
      <c r="B229" s="1991"/>
      <c r="C229" s="1991"/>
      <c r="D229" s="603">
        <f t="array" aca="1" ref="D229:O229" ca="1">B26:M26*Produção!$D$14</f>
        <v>0</v>
      </c>
      <c r="E229" s="603">
        <f ca="1"/>
        <v>0</v>
      </c>
      <c r="F229" s="603">
        <f ca="1"/>
        <v>0</v>
      </c>
      <c r="G229" s="603">
        <f ca="1"/>
        <v>0</v>
      </c>
      <c r="H229" s="603">
        <f ca="1"/>
        <v>0</v>
      </c>
      <c r="I229" s="603">
        <f ca="1"/>
        <v>0</v>
      </c>
      <c r="J229" s="603">
        <f ca="1"/>
        <v>0</v>
      </c>
      <c r="K229" s="603">
        <f ca="1"/>
        <v>0</v>
      </c>
      <c r="L229" s="603">
        <f ca="1"/>
        <v>0</v>
      </c>
      <c r="M229" s="603">
        <f ca="1"/>
        <v>0</v>
      </c>
      <c r="N229" s="603">
        <f ca="1"/>
        <v>0</v>
      </c>
      <c r="O229" s="603">
        <f ca="1"/>
        <v>0</v>
      </c>
      <c r="P229" s="1992">
        <f t="array" aca="1" ref="P229:P231" ca="1">'Distr CV 2'!D229:D231</f>
        <v>0</v>
      </c>
      <c r="Q229" s="1992">
        <f ca="1"/>
        <v>0</v>
      </c>
      <c r="R229" s="1992">
        <f ca="1"/>
        <v>0</v>
      </c>
      <c r="S229" s="1992">
        <f ca="1"/>
        <v>0</v>
      </c>
      <c r="T229" s="1992">
        <f ca="1"/>
        <v>0</v>
      </c>
      <c r="U229" s="1992">
        <f ca="1"/>
        <v>0</v>
      </c>
      <c r="V229" s="1992">
        <f ca="1"/>
        <v>0</v>
      </c>
      <c r="W229" s="1992">
        <f ca="1"/>
        <v>0</v>
      </c>
      <c r="X229" s="1992">
        <f ca="1"/>
        <v>0</v>
      </c>
      <c r="Y229" s="2010">
        <f ca="1"/>
        <v>0</v>
      </c>
    </row>
    <row r="230" spans="1:25">
      <c r="A230" s="1995" t="str">
        <f>A$83</f>
        <v>11 meses antes</v>
      </c>
      <c r="B230" s="1991"/>
      <c r="C230" s="603">
        <f t="array" aca="1" ref="C230:N230" ca="1">B26:M26*Produção!$C$14</f>
        <v>0</v>
      </c>
      <c r="D230" s="603">
        <f ca="1"/>
        <v>0</v>
      </c>
      <c r="E230" s="603">
        <f ca="1"/>
        <v>0</v>
      </c>
      <c r="F230" s="603">
        <f ca="1"/>
        <v>0</v>
      </c>
      <c r="G230" s="603">
        <f ca="1"/>
        <v>0</v>
      </c>
      <c r="H230" s="603">
        <f ca="1"/>
        <v>0</v>
      </c>
      <c r="I230" s="603">
        <f ca="1"/>
        <v>0</v>
      </c>
      <c r="J230" s="603">
        <f ca="1"/>
        <v>0</v>
      </c>
      <c r="K230" s="603">
        <f ca="1"/>
        <v>0</v>
      </c>
      <c r="L230" s="603">
        <f ca="1"/>
        <v>0</v>
      </c>
      <c r="M230" s="603">
        <f ca="1"/>
        <v>0</v>
      </c>
      <c r="N230" s="603">
        <f ca="1"/>
        <v>0</v>
      </c>
      <c r="O230" s="1992">
        <f ca="1">'Distr CV 2'!C230</f>
        <v>0</v>
      </c>
      <c r="P230" s="1992">
        <f ca="1"/>
        <v>0</v>
      </c>
      <c r="Q230" s="1992">
        <f ca="1"/>
        <v>0</v>
      </c>
      <c r="R230" s="1992">
        <f ca="1"/>
        <v>0</v>
      </c>
      <c r="S230" s="1992">
        <f ca="1"/>
        <v>0</v>
      </c>
      <c r="T230" s="1992">
        <f ca="1"/>
        <v>0</v>
      </c>
      <c r="U230" s="1992">
        <f ca="1"/>
        <v>0</v>
      </c>
      <c r="V230" s="1992">
        <f ca="1"/>
        <v>0</v>
      </c>
      <c r="W230" s="1992">
        <f ca="1"/>
        <v>0</v>
      </c>
      <c r="X230" s="1992">
        <f ca="1"/>
        <v>0</v>
      </c>
      <c r="Y230" s="2010">
        <f ca="1"/>
        <v>0</v>
      </c>
    </row>
    <row r="231" spans="1:25" ht="13.5" thickBot="1">
      <c r="A231" s="1995" t="str">
        <f>A$84</f>
        <v>12 meses antes</v>
      </c>
      <c r="B231" s="603">
        <f t="array" aca="1" ref="B231:M231" ca="1">B26:M26*Produção!$B$14</f>
        <v>0</v>
      </c>
      <c r="C231" s="603">
        <f ca="1"/>
        <v>0</v>
      </c>
      <c r="D231" s="603">
        <f ca="1"/>
        <v>0</v>
      </c>
      <c r="E231" s="603">
        <f ca="1"/>
        <v>0</v>
      </c>
      <c r="F231" s="603">
        <f ca="1"/>
        <v>0</v>
      </c>
      <c r="G231" s="603">
        <f ca="1"/>
        <v>0</v>
      </c>
      <c r="H231" s="603">
        <f ca="1"/>
        <v>0</v>
      </c>
      <c r="I231" s="603">
        <f ca="1"/>
        <v>0</v>
      </c>
      <c r="J231" s="603">
        <f ca="1"/>
        <v>0</v>
      </c>
      <c r="K231" s="603">
        <f ca="1"/>
        <v>0</v>
      </c>
      <c r="L231" s="603">
        <f ca="1"/>
        <v>0</v>
      </c>
      <c r="M231" s="603">
        <f ca="1"/>
        <v>0</v>
      </c>
      <c r="N231" s="1991">
        <f ca="1">'Distr CV 2'!B231</f>
        <v>0</v>
      </c>
      <c r="O231" s="1992">
        <f ca="1">'Distr CV 2'!C231</f>
        <v>0</v>
      </c>
      <c r="P231" s="1992">
        <f ca="1"/>
        <v>0</v>
      </c>
      <c r="Q231" s="1992">
        <f ca="1"/>
        <v>0</v>
      </c>
      <c r="R231" s="1992">
        <f ca="1"/>
        <v>0</v>
      </c>
      <c r="S231" s="1992">
        <f ca="1"/>
        <v>0</v>
      </c>
      <c r="T231" s="1992">
        <f ca="1"/>
        <v>0</v>
      </c>
      <c r="U231" s="1992">
        <f ca="1"/>
        <v>0</v>
      </c>
      <c r="V231" s="1992">
        <f ca="1"/>
        <v>0</v>
      </c>
      <c r="W231" s="1992">
        <f ca="1"/>
        <v>0</v>
      </c>
      <c r="X231" s="1992">
        <f ca="1"/>
        <v>0</v>
      </c>
      <c r="Y231" s="2010">
        <f ca="1"/>
        <v>0</v>
      </c>
    </row>
    <row r="232" spans="1:25" ht="13.5" thickBot="1">
      <c r="A232" s="105" t="str">
        <f>"Totales CV "&amp;A$14</f>
        <v xml:space="preserve">Totales CV </v>
      </c>
      <c r="B232" s="607">
        <f t="shared" ref="B232:Y232" ca="1" si="17">SUM(B219:B231)</f>
        <v>0</v>
      </c>
      <c r="C232" s="607">
        <f t="shared" ca="1" si="17"/>
        <v>0</v>
      </c>
      <c r="D232" s="607">
        <f t="shared" ca="1" si="17"/>
        <v>0</v>
      </c>
      <c r="E232" s="607">
        <f t="shared" ca="1" si="17"/>
        <v>0</v>
      </c>
      <c r="F232" s="607">
        <f t="shared" ca="1" si="17"/>
        <v>0</v>
      </c>
      <c r="G232" s="607">
        <f t="shared" ca="1" si="17"/>
        <v>0</v>
      </c>
      <c r="H232" s="607">
        <f t="shared" ca="1" si="17"/>
        <v>0</v>
      </c>
      <c r="I232" s="607">
        <f t="shared" ca="1" si="17"/>
        <v>0</v>
      </c>
      <c r="J232" s="607">
        <f t="shared" ca="1" si="17"/>
        <v>0</v>
      </c>
      <c r="K232" s="607">
        <f t="shared" ca="1" si="17"/>
        <v>0</v>
      </c>
      <c r="L232" s="607">
        <f t="shared" ca="1" si="17"/>
        <v>0</v>
      </c>
      <c r="M232" s="607">
        <f t="shared" ca="1" si="17"/>
        <v>0</v>
      </c>
      <c r="N232" s="607">
        <f t="shared" ca="1" si="17"/>
        <v>0</v>
      </c>
      <c r="O232" s="607">
        <f t="shared" ca="1" si="17"/>
        <v>0</v>
      </c>
      <c r="P232" s="607">
        <f t="shared" ca="1" si="17"/>
        <v>0</v>
      </c>
      <c r="Q232" s="607">
        <f t="shared" ca="1" si="17"/>
        <v>0</v>
      </c>
      <c r="R232" s="607">
        <f t="shared" ca="1" si="17"/>
        <v>0</v>
      </c>
      <c r="S232" s="607">
        <f t="shared" ca="1" si="17"/>
        <v>0</v>
      </c>
      <c r="T232" s="607">
        <f t="shared" ca="1" si="17"/>
        <v>0</v>
      </c>
      <c r="U232" s="607">
        <f t="shared" ca="1" si="17"/>
        <v>0</v>
      </c>
      <c r="V232" s="607">
        <f t="shared" ca="1" si="17"/>
        <v>0</v>
      </c>
      <c r="W232" s="607">
        <f t="shared" ca="1" si="17"/>
        <v>0</v>
      </c>
      <c r="X232" s="607">
        <f t="shared" ca="1" si="17"/>
        <v>0</v>
      </c>
      <c r="Y232" s="2008">
        <f t="shared" ca="1" si="17"/>
        <v>0</v>
      </c>
    </row>
    <row r="233" spans="1:25" ht="13.5" thickBot="1">
      <c r="A233" s="105" t="str">
        <f>'Dados Básicos'!A28&amp;" sop. CV "&amp;$A$14</f>
        <v xml:space="preserve">IVA sop. CV </v>
      </c>
      <c r="B233" s="607">
        <f t="array" aca="1" ref="B233:Y233" ca="1">$K$217*B232:Y232</f>
        <v>0</v>
      </c>
      <c r="C233" s="607">
        <f ca="1"/>
        <v>0</v>
      </c>
      <c r="D233" s="607">
        <f ca="1"/>
        <v>0</v>
      </c>
      <c r="E233" s="607">
        <f ca="1"/>
        <v>0</v>
      </c>
      <c r="F233" s="607">
        <f ca="1"/>
        <v>0</v>
      </c>
      <c r="G233" s="607">
        <f ca="1"/>
        <v>0</v>
      </c>
      <c r="H233" s="607">
        <f ca="1"/>
        <v>0</v>
      </c>
      <c r="I233" s="607">
        <f ca="1"/>
        <v>0</v>
      </c>
      <c r="J233" s="607">
        <f ca="1"/>
        <v>0</v>
      </c>
      <c r="K233" s="607">
        <f ca="1"/>
        <v>0</v>
      </c>
      <c r="L233" s="607">
        <f ca="1"/>
        <v>0</v>
      </c>
      <c r="M233" s="607">
        <f ca="1"/>
        <v>0</v>
      </c>
      <c r="N233" s="607">
        <f ca="1"/>
        <v>0</v>
      </c>
      <c r="O233" s="607">
        <f ca="1"/>
        <v>0</v>
      </c>
      <c r="P233" s="607">
        <f ca="1"/>
        <v>0</v>
      </c>
      <c r="Q233" s="607">
        <f ca="1"/>
        <v>0</v>
      </c>
      <c r="R233" s="607">
        <f ca="1"/>
        <v>0</v>
      </c>
      <c r="S233" s="607">
        <f ca="1"/>
        <v>0</v>
      </c>
      <c r="T233" s="607">
        <f ca="1"/>
        <v>0</v>
      </c>
      <c r="U233" s="607">
        <f ca="1"/>
        <v>0</v>
      </c>
      <c r="V233" s="607">
        <f ca="1"/>
        <v>0</v>
      </c>
      <c r="W233" s="607">
        <f ca="1"/>
        <v>0</v>
      </c>
      <c r="X233" s="607">
        <f ca="1"/>
        <v>0</v>
      </c>
      <c r="Y233" s="2008">
        <f ca="1"/>
        <v>0</v>
      </c>
    </row>
    <row r="235" spans="1:25" ht="18.75" thickBot="1">
      <c r="A235" s="1993" t="str">
        <f>'Distr CV 0'!A235</f>
        <v xml:space="preserve">Compras / custos de producción por meses de </v>
      </c>
      <c r="I235" s="1993" t="str">
        <f>$I$109</f>
        <v>IVA NÃO incluido</v>
      </c>
      <c r="K235" s="2005">
        <f>Parametros!$F$31</f>
        <v>0.21</v>
      </c>
    </row>
    <row r="236" spans="1:25" ht="30" customHeight="1" thickBot="1">
      <c r="A236" s="457" t="str">
        <f>'Distr CV 0'!A236</f>
        <v>mes de compra / custo</v>
      </c>
      <c r="B236" s="2011" t="str">
        <f t="array" ref="B236:Y236">B$71:Y$71</f>
        <v>janeiro 
2026</v>
      </c>
      <c r="C236" s="2011" t="str">
        <v>fevereiro 
2026</v>
      </c>
      <c r="D236" s="2011" t="str">
        <v>março 
2026</v>
      </c>
      <c r="E236" s="2011" t="str">
        <v>abril 
2026</v>
      </c>
      <c r="F236" s="2011" t="str">
        <v>maio 
2026</v>
      </c>
      <c r="G236" s="2011" t="str">
        <v>junho 
2026</v>
      </c>
      <c r="H236" s="2011" t="str">
        <v>julho 
2026</v>
      </c>
      <c r="I236" s="2011" t="str">
        <v>agosto 
2026</v>
      </c>
      <c r="J236" s="2011" t="str">
        <v>setembro 
2026</v>
      </c>
      <c r="K236" s="2011" t="str">
        <v>outubro 
2026</v>
      </c>
      <c r="L236" s="2011" t="str">
        <v>novembro 
2026</v>
      </c>
      <c r="M236" s="2011" t="str">
        <v>dezembro 
2026</v>
      </c>
      <c r="N236" s="2737" t="str">
        <v>janeiro 
2027</v>
      </c>
      <c r="O236" s="2738" t="str">
        <v>fevereiro 
2027</v>
      </c>
      <c r="P236" s="2738" t="str">
        <v>março 
2027</v>
      </c>
      <c r="Q236" s="2738" t="str">
        <v>abril 
2027</v>
      </c>
      <c r="R236" s="2738" t="str">
        <v>maio 
2027</v>
      </c>
      <c r="S236" s="2738" t="str">
        <v>junho 
2027</v>
      </c>
      <c r="T236" s="2738" t="str">
        <v>julho 
2027</v>
      </c>
      <c r="U236" s="2738" t="str">
        <v>agosto 
2027</v>
      </c>
      <c r="V236" s="2738" t="str">
        <v>setembro 
2027</v>
      </c>
      <c r="W236" s="2738" t="str">
        <v>outubro 
2027</v>
      </c>
      <c r="X236" s="2738" t="str">
        <v>novembro 
2027</v>
      </c>
      <c r="Y236" s="2739" t="str">
        <v>dezembro 
2027</v>
      </c>
    </row>
    <row r="237" spans="1:25">
      <c r="A237" s="1994" t="str">
        <f>A$72</f>
        <v>mismo mes</v>
      </c>
      <c r="B237" s="1991"/>
      <c r="C237" s="1991"/>
      <c r="D237" s="1991"/>
      <c r="E237" s="1991"/>
      <c r="F237" s="1991"/>
      <c r="G237" s="1991"/>
      <c r="H237" s="1991"/>
      <c r="I237" s="1991"/>
      <c r="J237" s="1991"/>
      <c r="K237" s="1991"/>
      <c r="L237" s="1991"/>
      <c r="M237" s="1991"/>
      <c r="N237" s="603">
        <f t="array" aca="1" ref="N237:Y237" ca="1">B27:M27*Produção!$N$15</f>
        <v>0</v>
      </c>
      <c r="O237" s="603">
        <f ca="1"/>
        <v>0</v>
      </c>
      <c r="P237" s="603">
        <f ca="1"/>
        <v>0</v>
      </c>
      <c r="Q237" s="603">
        <f ca="1"/>
        <v>0</v>
      </c>
      <c r="R237" s="603">
        <f ca="1"/>
        <v>0</v>
      </c>
      <c r="S237" s="603">
        <f ca="1"/>
        <v>0</v>
      </c>
      <c r="T237" s="603">
        <f ca="1"/>
        <v>0</v>
      </c>
      <c r="U237" s="603">
        <f ca="1"/>
        <v>0</v>
      </c>
      <c r="V237" s="603">
        <f ca="1"/>
        <v>0</v>
      </c>
      <c r="W237" s="603">
        <f ca="1"/>
        <v>0</v>
      </c>
      <c r="X237" s="603">
        <f ca="1"/>
        <v>0</v>
      </c>
      <c r="Y237" s="2006">
        <f ca="1"/>
        <v>0</v>
      </c>
    </row>
    <row r="238" spans="1:25">
      <c r="A238" s="1995" t="str">
        <f>A$73</f>
        <v>1 mes antes</v>
      </c>
      <c r="B238" s="1991"/>
      <c r="C238" s="1991"/>
      <c r="D238" s="1991"/>
      <c r="E238" s="1991"/>
      <c r="F238" s="1991"/>
      <c r="G238" s="1991"/>
      <c r="H238" s="1991"/>
      <c r="I238" s="1991"/>
      <c r="J238" s="1991"/>
      <c r="K238" s="1991"/>
      <c r="L238" s="1991"/>
      <c r="M238" s="603">
        <f t="array" aca="1" ref="M238:X238" ca="1">B27:M27*Produção!$M$15</f>
        <v>0</v>
      </c>
      <c r="N238" s="603">
        <f ca="1"/>
        <v>0</v>
      </c>
      <c r="O238" s="603">
        <f ca="1"/>
        <v>0</v>
      </c>
      <c r="P238" s="603">
        <f ca="1"/>
        <v>0</v>
      </c>
      <c r="Q238" s="603">
        <f ca="1"/>
        <v>0</v>
      </c>
      <c r="R238" s="603">
        <f ca="1"/>
        <v>0</v>
      </c>
      <c r="S238" s="603">
        <f ca="1"/>
        <v>0</v>
      </c>
      <c r="T238" s="603">
        <f ca="1"/>
        <v>0</v>
      </c>
      <c r="U238" s="603">
        <f ca="1"/>
        <v>0</v>
      </c>
      <c r="V238" s="603">
        <f ca="1"/>
        <v>0</v>
      </c>
      <c r="W238" s="603">
        <f ca="1"/>
        <v>0</v>
      </c>
      <c r="X238" s="603">
        <f ca="1"/>
        <v>0</v>
      </c>
      <c r="Y238" s="2007">
        <f t="array" aca="1" ref="Y238:Y249" ca="1">'Distr CV 2'!M238:M249</f>
        <v>0</v>
      </c>
    </row>
    <row r="239" spans="1:25">
      <c r="A239" s="1995" t="str">
        <f>A$74</f>
        <v>2 meses antes</v>
      </c>
      <c r="B239" s="1991"/>
      <c r="C239" s="1991"/>
      <c r="D239" s="1991"/>
      <c r="E239" s="1991"/>
      <c r="F239" s="1991"/>
      <c r="G239" s="1991"/>
      <c r="H239" s="1991"/>
      <c r="I239" s="1991"/>
      <c r="J239" s="1991"/>
      <c r="K239" s="1991"/>
      <c r="L239" s="603">
        <f t="array" aca="1" ref="L239:W239" ca="1">B27:M27*Produção!$L$15</f>
        <v>0</v>
      </c>
      <c r="M239" s="603">
        <f ca="1"/>
        <v>0</v>
      </c>
      <c r="N239" s="603">
        <f ca="1"/>
        <v>0</v>
      </c>
      <c r="O239" s="603">
        <f ca="1"/>
        <v>0</v>
      </c>
      <c r="P239" s="603">
        <f ca="1"/>
        <v>0</v>
      </c>
      <c r="Q239" s="603">
        <f ca="1"/>
        <v>0</v>
      </c>
      <c r="R239" s="603">
        <f ca="1"/>
        <v>0</v>
      </c>
      <c r="S239" s="603">
        <f ca="1"/>
        <v>0</v>
      </c>
      <c r="T239" s="603">
        <f ca="1"/>
        <v>0</v>
      </c>
      <c r="U239" s="603">
        <f ca="1"/>
        <v>0</v>
      </c>
      <c r="V239" s="603">
        <f ca="1"/>
        <v>0</v>
      </c>
      <c r="W239" s="603">
        <f ca="1"/>
        <v>0</v>
      </c>
      <c r="X239" s="1988">
        <f t="array" aca="1" ref="X239:X249" ca="1">'Distr CV 2'!L239:L249</f>
        <v>0</v>
      </c>
      <c r="Y239" s="2007">
        <f ca="1"/>
        <v>0</v>
      </c>
    </row>
    <row r="240" spans="1:25">
      <c r="A240" s="1995" t="str">
        <f>A$75</f>
        <v>3 meses antes</v>
      </c>
      <c r="B240" s="1991"/>
      <c r="C240" s="1991"/>
      <c r="D240" s="1991"/>
      <c r="E240" s="1991"/>
      <c r="F240" s="1991"/>
      <c r="G240" s="1991"/>
      <c r="H240" s="1991"/>
      <c r="I240" s="1991"/>
      <c r="J240" s="1991"/>
      <c r="K240" s="603">
        <f t="array" aca="1" ref="K240:V240" ca="1">B27:M27*Produção!$K$15</f>
        <v>0</v>
      </c>
      <c r="L240" s="603">
        <f ca="1"/>
        <v>0</v>
      </c>
      <c r="M240" s="603">
        <f ca="1"/>
        <v>0</v>
      </c>
      <c r="N240" s="603">
        <f ca="1"/>
        <v>0</v>
      </c>
      <c r="O240" s="603">
        <f ca="1"/>
        <v>0</v>
      </c>
      <c r="P240" s="603">
        <f ca="1"/>
        <v>0</v>
      </c>
      <c r="Q240" s="603">
        <f ca="1"/>
        <v>0</v>
      </c>
      <c r="R240" s="603">
        <f ca="1"/>
        <v>0</v>
      </c>
      <c r="S240" s="603">
        <f ca="1"/>
        <v>0</v>
      </c>
      <c r="T240" s="603">
        <f ca="1"/>
        <v>0</v>
      </c>
      <c r="U240" s="603">
        <f ca="1"/>
        <v>0</v>
      </c>
      <c r="V240" s="603">
        <f ca="1"/>
        <v>0</v>
      </c>
      <c r="W240" s="1988">
        <f t="array" aca="1" ref="W240:W249" ca="1">'Distr CV 2'!K240:K249</f>
        <v>0</v>
      </c>
      <c r="X240" s="1988">
        <f ca="1"/>
        <v>0</v>
      </c>
      <c r="Y240" s="2007">
        <f ca="1"/>
        <v>0</v>
      </c>
    </row>
    <row r="241" spans="1:25">
      <c r="A241" s="1995" t="str">
        <f>A$76</f>
        <v>4 meses antes</v>
      </c>
      <c r="B241" s="1991"/>
      <c r="C241" s="1991"/>
      <c r="D241" s="1991"/>
      <c r="E241" s="1991"/>
      <c r="F241" s="1991"/>
      <c r="G241" s="1991"/>
      <c r="H241" s="1991"/>
      <c r="I241" s="1991"/>
      <c r="J241" s="603">
        <f t="array" aca="1" ref="J241:U241" ca="1">B27:M27*Produção!$J$15</f>
        <v>0</v>
      </c>
      <c r="K241" s="603">
        <f ca="1"/>
        <v>0</v>
      </c>
      <c r="L241" s="603">
        <f ca="1"/>
        <v>0</v>
      </c>
      <c r="M241" s="603">
        <f ca="1"/>
        <v>0</v>
      </c>
      <c r="N241" s="603">
        <f ca="1"/>
        <v>0</v>
      </c>
      <c r="O241" s="603">
        <f ca="1"/>
        <v>0</v>
      </c>
      <c r="P241" s="603">
        <f ca="1"/>
        <v>0</v>
      </c>
      <c r="Q241" s="603">
        <f ca="1"/>
        <v>0</v>
      </c>
      <c r="R241" s="603">
        <f ca="1"/>
        <v>0</v>
      </c>
      <c r="S241" s="603">
        <f ca="1"/>
        <v>0</v>
      </c>
      <c r="T241" s="603">
        <f ca="1"/>
        <v>0</v>
      </c>
      <c r="U241" s="603">
        <f ca="1"/>
        <v>0</v>
      </c>
      <c r="V241" s="1988">
        <f t="array" aca="1" ref="V241:V249" ca="1">'Distr CV 2'!J241:J249</f>
        <v>0</v>
      </c>
      <c r="W241" s="1988">
        <f ca="1"/>
        <v>0</v>
      </c>
      <c r="X241" s="1988">
        <f ca="1"/>
        <v>0</v>
      </c>
      <c r="Y241" s="2007">
        <f ca="1"/>
        <v>0</v>
      </c>
    </row>
    <row r="242" spans="1:25">
      <c r="A242" s="1995" t="str">
        <f>A$77</f>
        <v>5 meses antes</v>
      </c>
      <c r="B242" s="1991"/>
      <c r="C242" s="1991"/>
      <c r="D242" s="1991"/>
      <c r="E242" s="1991"/>
      <c r="F242" s="1991"/>
      <c r="G242" s="1991"/>
      <c r="H242" s="1991"/>
      <c r="I242" s="603">
        <f t="array" aca="1" ref="I242:T242" ca="1">B27:M27*Produção!$I$15</f>
        <v>0</v>
      </c>
      <c r="J242" s="603">
        <f ca="1"/>
        <v>0</v>
      </c>
      <c r="K242" s="603">
        <f ca="1"/>
        <v>0</v>
      </c>
      <c r="L242" s="603">
        <f ca="1"/>
        <v>0</v>
      </c>
      <c r="M242" s="603">
        <f ca="1"/>
        <v>0</v>
      </c>
      <c r="N242" s="603">
        <f ca="1"/>
        <v>0</v>
      </c>
      <c r="O242" s="603">
        <f ca="1"/>
        <v>0</v>
      </c>
      <c r="P242" s="603">
        <f ca="1"/>
        <v>0</v>
      </c>
      <c r="Q242" s="603">
        <f ca="1"/>
        <v>0</v>
      </c>
      <c r="R242" s="603">
        <f ca="1"/>
        <v>0</v>
      </c>
      <c r="S242" s="603">
        <f ca="1"/>
        <v>0</v>
      </c>
      <c r="T242" s="603">
        <f ca="1"/>
        <v>0</v>
      </c>
      <c r="U242" s="1988">
        <f t="array" aca="1" ref="U242:U249" ca="1">'Distr CV 2'!I242:I249</f>
        <v>0</v>
      </c>
      <c r="V242" s="1988">
        <f ca="1"/>
        <v>0</v>
      </c>
      <c r="W242" s="1988">
        <f ca="1"/>
        <v>0</v>
      </c>
      <c r="X242" s="1988">
        <f ca="1"/>
        <v>0</v>
      </c>
      <c r="Y242" s="2007">
        <f ca="1"/>
        <v>0</v>
      </c>
    </row>
    <row r="243" spans="1:25">
      <c r="A243" s="1995" t="str">
        <f>A$78</f>
        <v>6 meses antes</v>
      </c>
      <c r="B243" s="1991"/>
      <c r="C243" s="1991"/>
      <c r="D243" s="1991"/>
      <c r="E243" s="1991"/>
      <c r="F243" s="1991"/>
      <c r="G243" s="1991"/>
      <c r="H243" s="603">
        <f t="array" aca="1" ref="H243:S243" ca="1">B27:M27*Produção!$H$15</f>
        <v>0</v>
      </c>
      <c r="I243" s="603">
        <f ca="1"/>
        <v>0</v>
      </c>
      <c r="J243" s="603">
        <f ca="1"/>
        <v>0</v>
      </c>
      <c r="K243" s="603">
        <f ca="1"/>
        <v>0</v>
      </c>
      <c r="L243" s="603">
        <f ca="1"/>
        <v>0</v>
      </c>
      <c r="M243" s="603">
        <f ca="1"/>
        <v>0</v>
      </c>
      <c r="N243" s="603">
        <f ca="1"/>
        <v>0</v>
      </c>
      <c r="O243" s="603">
        <f ca="1"/>
        <v>0</v>
      </c>
      <c r="P243" s="603">
        <f ca="1"/>
        <v>0</v>
      </c>
      <c r="Q243" s="603">
        <f ca="1"/>
        <v>0</v>
      </c>
      <c r="R243" s="603">
        <f ca="1"/>
        <v>0</v>
      </c>
      <c r="S243" s="603">
        <f ca="1"/>
        <v>0</v>
      </c>
      <c r="T243" s="1988">
        <f t="array" aca="1" ref="T243:T249" ca="1">'Distr CV 2'!H243:H249</f>
        <v>0</v>
      </c>
      <c r="U243" s="1988">
        <f ca="1"/>
        <v>0</v>
      </c>
      <c r="V243" s="1988">
        <f ca="1"/>
        <v>0</v>
      </c>
      <c r="W243" s="1988">
        <f ca="1"/>
        <v>0</v>
      </c>
      <c r="X243" s="1988">
        <f ca="1"/>
        <v>0</v>
      </c>
      <c r="Y243" s="2007">
        <f ca="1"/>
        <v>0</v>
      </c>
    </row>
    <row r="244" spans="1:25">
      <c r="A244" s="1995" t="str">
        <f>A$79</f>
        <v>7 meses antes</v>
      </c>
      <c r="B244" s="1991"/>
      <c r="C244" s="1991"/>
      <c r="D244" s="1991"/>
      <c r="E244" s="1991"/>
      <c r="F244" s="1991"/>
      <c r="G244" s="603">
        <f t="array" aca="1" ref="G244:R244" ca="1">B27:M27*Produção!$G$15</f>
        <v>0</v>
      </c>
      <c r="H244" s="603">
        <f ca="1"/>
        <v>0</v>
      </c>
      <c r="I244" s="603">
        <f ca="1"/>
        <v>0</v>
      </c>
      <c r="J244" s="603">
        <f ca="1"/>
        <v>0</v>
      </c>
      <c r="K244" s="603">
        <f ca="1"/>
        <v>0</v>
      </c>
      <c r="L244" s="603">
        <f ca="1"/>
        <v>0</v>
      </c>
      <c r="M244" s="603">
        <f ca="1"/>
        <v>0</v>
      </c>
      <c r="N244" s="603">
        <f ca="1"/>
        <v>0</v>
      </c>
      <c r="O244" s="603">
        <f ca="1"/>
        <v>0</v>
      </c>
      <c r="P244" s="603">
        <f ca="1"/>
        <v>0</v>
      </c>
      <c r="Q244" s="603">
        <f ca="1"/>
        <v>0</v>
      </c>
      <c r="R244" s="603">
        <f ca="1"/>
        <v>0</v>
      </c>
      <c r="S244" s="1992">
        <f t="array" aca="1" ref="S244:S249" ca="1">'Distr CV 2'!G244:G249</f>
        <v>0</v>
      </c>
      <c r="T244" s="1992">
        <f ca="1"/>
        <v>0</v>
      </c>
      <c r="U244" s="1992">
        <f ca="1"/>
        <v>0</v>
      </c>
      <c r="V244" s="1992">
        <f ca="1"/>
        <v>0</v>
      </c>
      <c r="W244" s="1992">
        <f ca="1"/>
        <v>0</v>
      </c>
      <c r="X244" s="1992">
        <f ca="1"/>
        <v>0</v>
      </c>
      <c r="Y244" s="2010">
        <f ca="1"/>
        <v>0</v>
      </c>
    </row>
    <row r="245" spans="1:25">
      <c r="A245" s="1995" t="str">
        <f>A$80</f>
        <v>8 meses antes</v>
      </c>
      <c r="B245" s="1991"/>
      <c r="C245" s="1991"/>
      <c r="D245" s="1991"/>
      <c r="E245" s="1991"/>
      <c r="F245" s="603">
        <f t="array" aca="1" ref="F245:Q245" ca="1">B27:M27*Produção!$F$15</f>
        <v>0</v>
      </c>
      <c r="G245" s="603">
        <f ca="1"/>
        <v>0</v>
      </c>
      <c r="H245" s="603">
        <f ca="1"/>
        <v>0</v>
      </c>
      <c r="I245" s="603">
        <f ca="1"/>
        <v>0</v>
      </c>
      <c r="J245" s="603">
        <f ca="1"/>
        <v>0</v>
      </c>
      <c r="K245" s="603">
        <f ca="1"/>
        <v>0</v>
      </c>
      <c r="L245" s="603">
        <f ca="1"/>
        <v>0</v>
      </c>
      <c r="M245" s="603">
        <f ca="1"/>
        <v>0</v>
      </c>
      <c r="N245" s="603">
        <f ca="1"/>
        <v>0</v>
      </c>
      <c r="O245" s="603">
        <f ca="1"/>
        <v>0</v>
      </c>
      <c r="P245" s="603">
        <f ca="1"/>
        <v>0</v>
      </c>
      <c r="Q245" s="603">
        <f ca="1"/>
        <v>0</v>
      </c>
      <c r="R245" s="1992">
        <f t="array" aca="1" ref="R245:R249" ca="1">'Distr CV 2'!F245:F249</f>
        <v>0</v>
      </c>
      <c r="S245" s="1992">
        <f ca="1"/>
        <v>0</v>
      </c>
      <c r="T245" s="1992">
        <f ca="1"/>
        <v>0</v>
      </c>
      <c r="U245" s="1992">
        <f ca="1"/>
        <v>0</v>
      </c>
      <c r="V245" s="1992">
        <f ca="1"/>
        <v>0</v>
      </c>
      <c r="W245" s="1992">
        <f ca="1"/>
        <v>0</v>
      </c>
      <c r="X245" s="1992">
        <f ca="1"/>
        <v>0</v>
      </c>
      <c r="Y245" s="2010">
        <f ca="1"/>
        <v>0</v>
      </c>
    </row>
    <row r="246" spans="1:25">
      <c r="A246" s="1995" t="str">
        <f>A$81</f>
        <v>9 meses antes</v>
      </c>
      <c r="B246" s="1991"/>
      <c r="C246" s="1991"/>
      <c r="D246" s="1991"/>
      <c r="E246" s="603">
        <f t="array" aca="1" ref="E246:P246" ca="1">B27:M27*Produção!$E$15</f>
        <v>0</v>
      </c>
      <c r="F246" s="603">
        <f ca="1"/>
        <v>0</v>
      </c>
      <c r="G246" s="603">
        <f ca="1"/>
        <v>0</v>
      </c>
      <c r="H246" s="603">
        <f ca="1"/>
        <v>0</v>
      </c>
      <c r="I246" s="603">
        <f ca="1"/>
        <v>0</v>
      </c>
      <c r="J246" s="603">
        <f ca="1"/>
        <v>0</v>
      </c>
      <c r="K246" s="603">
        <f ca="1"/>
        <v>0</v>
      </c>
      <c r="L246" s="603">
        <f ca="1"/>
        <v>0</v>
      </c>
      <c r="M246" s="603">
        <f ca="1"/>
        <v>0</v>
      </c>
      <c r="N246" s="603">
        <f ca="1"/>
        <v>0</v>
      </c>
      <c r="O246" s="603">
        <f ca="1"/>
        <v>0</v>
      </c>
      <c r="P246" s="603">
        <f ca="1"/>
        <v>0</v>
      </c>
      <c r="Q246" s="1992">
        <f t="array" aca="1" ref="Q246:Q249" ca="1">'Distr CV 2'!E246:E249</f>
        <v>0</v>
      </c>
      <c r="R246" s="1992">
        <f ca="1"/>
        <v>0</v>
      </c>
      <c r="S246" s="1992">
        <f ca="1"/>
        <v>0</v>
      </c>
      <c r="T246" s="1992">
        <f ca="1"/>
        <v>0</v>
      </c>
      <c r="U246" s="1992">
        <f ca="1"/>
        <v>0</v>
      </c>
      <c r="V246" s="1992">
        <f ca="1"/>
        <v>0</v>
      </c>
      <c r="W246" s="1992">
        <f ca="1"/>
        <v>0</v>
      </c>
      <c r="X246" s="1992">
        <f ca="1"/>
        <v>0</v>
      </c>
      <c r="Y246" s="2010">
        <f ca="1"/>
        <v>0</v>
      </c>
    </row>
    <row r="247" spans="1:25">
      <c r="A247" s="1995" t="str">
        <f>A$82</f>
        <v>10 meses antes</v>
      </c>
      <c r="B247" s="1991"/>
      <c r="C247" s="1991"/>
      <c r="D247" s="603">
        <f t="array" aca="1" ref="D247:O247" ca="1">B27:M27*Produção!$D$15</f>
        <v>0</v>
      </c>
      <c r="E247" s="603">
        <f ca="1"/>
        <v>0</v>
      </c>
      <c r="F247" s="603">
        <f ca="1"/>
        <v>0</v>
      </c>
      <c r="G247" s="603">
        <f ca="1"/>
        <v>0</v>
      </c>
      <c r="H247" s="603">
        <f ca="1"/>
        <v>0</v>
      </c>
      <c r="I247" s="603">
        <f ca="1"/>
        <v>0</v>
      </c>
      <c r="J247" s="603">
        <f ca="1"/>
        <v>0</v>
      </c>
      <c r="K247" s="603">
        <f ca="1"/>
        <v>0</v>
      </c>
      <c r="L247" s="603">
        <f ca="1"/>
        <v>0</v>
      </c>
      <c r="M247" s="603">
        <f ca="1"/>
        <v>0</v>
      </c>
      <c r="N247" s="603">
        <f ca="1"/>
        <v>0</v>
      </c>
      <c r="O247" s="603">
        <f ca="1"/>
        <v>0</v>
      </c>
      <c r="P247" s="1992">
        <f t="array" aca="1" ref="P247:P249" ca="1">'Distr CV 2'!D247:D249</f>
        <v>0</v>
      </c>
      <c r="Q247" s="1992">
        <f ca="1"/>
        <v>0</v>
      </c>
      <c r="R247" s="1992">
        <f ca="1"/>
        <v>0</v>
      </c>
      <c r="S247" s="1992">
        <f ca="1"/>
        <v>0</v>
      </c>
      <c r="T247" s="1992">
        <f ca="1"/>
        <v>0</v>
      </c>
      <c r="U247" s="1992">
        <f ca="1"/>
        <v>0</v>
      </c>
      <c r="V247" s="1992">
        <f ca="1"/>
        <v>0</v>
      </c>
      <c r="W247" s="1992">
        <f ca="1"/>
        <v>0</v>
      </c>
      <c r="X247" s="1992">
        <f ca="1"/>
        <v>0</v>
      </c>
      <c r="Y247" s="2010">
        <f ca="1"/>
        <v>0</v>
      </c>
    </row>
    <row r="248" spans="1:25">
      <c r="A248" s="1995" t="str">
        <f>A$83</f>
        <v>11 meses antes</v>
      </c>
      <c r="B248" s="1991"/>
      <c r="C248" s="603">
        <f t="array" aca="1" ref="C248:N248" ca="1">B27:M27*Produção!$C$15</f>
        <v>0</v>
      </c>
      <c r="D248" s="603">
        <f ca="1"/>
        <v>0</v>
      </c>
      <c r="E248" s="603">
        <f ca="1"/>
        <v>0</v>
      </c>
      <c r="F248" s="603">
        <f ca="1"/>
        <v>0</v>
      </c>
      <c r="G248" s="603">
        <f ca="1"/>
        <v>0</v>
      </c>
      <c r="H248" s="603">
        <f ca="1"/>
        <v>0</v>
      </c>
      <c r="I248" s="603">
        <f ca="1"/>
        <v>0</v>
      </c>
      <c r="J248" s="603">
        <f ca="1"/>
        <v>0</v>
      </c>
      <c r="K248" s="603">
        <f ca="1"/>
        <v>0</v>
      </c>
      <c r="L248" s="603">
        <f ca="1"/>
        <v>0</v>
      </c>
      <c r="M248" s="603">
        <f ca="1"/>
        <v>0</v>
      </c>
      <c r="N248" s="603">
        <f ca="1"/>
        <v>0</v>
      </c>
      <c r="O248" s="1992">
        <f ca="1">'Distr CV 2'!C248</f>
        <v>0</v>
      </c>
      <c r="P248" s="1992">
        <f ca="1"/>
        <v>0</v>
      </c>
      <c r="Q248" s="1992">
        <f ca="1"/>
        <v>0</v>
      </c>
      <c r="R248" s="1992">
        <f ca="1"/>
        <v>0</v>
      </c>
      <c r="S248" s="1992">
        <f ca="1"/>
        <v>0</v>
      </c>
      <c r="T248" s="1992">
        <f ca="1"/>
        <v>0</v>
      </c>
      <c r="U248" s="1992">
        <f ca="1"/>
        <v>0</v>
      </c>
      <c r="V248" s="1992">
        <f ca="1"/>
        <v>0</v>
      </c>
      <c r="W248" s="1992">
        <f ca="1"/>
        <v>0</v>
      </c>
      <c r="X248" s="1992">
        <f ca="1"/>
        <v>0</v>
      </c>
      <c r="Y248" s="2010">
        <f ca="1"/>
        <v>0</v>
      </c>
    </row>
    <row r="249" spans="1:25" ht="13.5" thickBot="1">
      <c r="A249" s="1995" t="str">
        <f>A$84</f>
        <v>12 meses antes</v>
      </c>
      <c r="B249" s="603">
        <f t="array" aca="1" ref="B249:M249" ca="1">B27:M27*Produção!$B$15</f>
        <v>0</v>
      </c>
      <c r="C249" s="603">
        <f ca="1"/>
        <v>0</v>
      </c>
      <c r="D249" s="603">
        <f ca="1"/>
        <v>0</v>
      </c>
      <c r="E249" s="603">
        <f ca="1"/>
        <v>0</v>
      </c>
      <c r="F249" s="603">
        <f ca="1"/>
        <v>0</v>
      </c>
      <c r="G249" s="603">
        <f ca="1"/>
        <v>0</v>
      </c>
      <c r="H249" s="603">
        <f ca="1"/>
        <v>0</v>
      </c>
      <c r="I249" s="603">
        <f ca="1"/>
        <v>0</v>
      </c>
      <c r="J249" s="603">
        <f ca="1"/>
        <v>0</v>
      </c>
      <c r="K249" s="603">
        <f ca="1"/>
        <v>0</v>
      </c>
      <c r="L249" s="603">
        <f ca="1"/>
        <v>0</v>
      </c>
      <c r="M249" s="603">
        <f ca="1"/>
        <v>0</v>
      </c>
      <c r="N249" s="1991">
        <f ca="1">'Distr CV 2'!B249</f>
        <v>0</v>
      </c>
      <c r="O249" s="1992">
        <f ca="1">'Distr CV 2'!C249</f>
        <v>0</v>
      </c>
      <c r="P249" s="1992">
        <f ca="1"/>
        <v>0</v>
      </c>
      <c r="Q249" s="1992">
        <f ca="1"/>
        <v>0</v>
      </c>
      <c r="R249" s="1992">
        <f ca="1"/>
        <v>0</v>
      </c>
      <c r="S249" s="1992">
        <f ca="1"/>
        <v>0</v>
      </c>
      <c r="T249" s="1992">
        <f ca="1"/>
        <v>0</v>
      </c>
      <c r="U249" s="1992">
        <f ca="1"/>
        <v>0</v>
      </c>
      <c r="V249" s="1992">
        <f ca="1"/>
        <v>0</v>
      </c>
      <c r="W249" s="1992">
        <f ca="1"/>
        <v>0</v>
      </c>
      <c r="X249" s="1992">
        <f ca="1"/>
        <v>0</v>
      </c>
      <c r="Y249" s="2010">
        <f ca="1"/>
        <v>0</v>
      </c>
    </row>
    <row r="250" spans="1:25" ht="13.5" thickBot="1">
      <c r="A250" s="105" t="str">
        <f>"Totales CV "&amp;A$15</f>
        <v xml:space="preserve">Totales CV </v>
      </c>
      <c r="B250" s="607">
        <f t="shared" ref="B250:Y250" ca="1" si="18">SUM(B237:B249)</f>
        <v>0</v>
      </c>
      <c r="C250" s="607">
        <f t="shared" ca="1" si="18"/>
        <v>0</v>
      </c>
      <c r="D250" s="607">
        <f t="shared" ca="1" si="18"/>
        <v>0</v>
      </c>
      <c r="E250" s="607">
        <f t="shared" ca="1" si="18"/>
        <v>0</v>
      </c>
      <c r="F250" s="607">
        <f t="shared" ca="1" si="18"/>
        <v>0</v>
      </c>
      <c r="G250" s="607">
        <f t="shared" ca="1" si="18"/>
        <v>0</v>
      </c>
      <c r="H250" s="607">
        <f t="shared" ca="1" si="18"/>
        <v>0</v>
      </c>
      <c r="I250" s="607">
        <f t="shared" ca="1" si="18"/>
        <v>0</v>
      </c>
      <c r="J250" s="607">
        <f t="shared" ca="1" si="18"/>
        <v>0</v>
      </c>
      <c r="K250" s="607">
        <f t="shared" ca="1" si="18"/>
        <v>0</v>
      </c>
      <c r="L250" s="607">
        <f t="shared" ca="1" si="18"/>
        <v>0</v>
      </c>
      <c r="M250" s="607">
        <f t="shared" ca="1" si="18"/>
        <v>0</v>
      </c>
      <c r="N250" s="607">
        <f t="shared" ca="1" si="18"/>
        <v>0</v>
      </c>
      <c r="O250" s="607">
        <f t="shared" ca="1" si="18"/>
        <v>0</v>
      </c>
      <c r="P250" s="607">
        <f t="shared" ca="1" si="18"/>
        <v>0</v>
      </c>
      <c r="Q250" s="607">
        <f t="shared" ca="1" si="18"/>
        <v>0</v>
      </c>
      <c r="R250" s="607">
        <f t="shared" ca="1" si="18"/>
        <v>0</v>
      </c>
      <c r="S250" s="607">
        <f t="shared" ca="1" si="18"/>
        <v>0</v>
      </c>
      <c r="T250" s="607">
        <f t="shared" ca="1" si="18"/>
        <v>0</v>
      </c>
      <c r="U250" s="607">
        <f t="shared" ca="1" si="18"/>
        <v>0</v>
      </c>
      <c r="V250" s="607">
        <f t="shared" ca="1" si="18"/>
        <v>0</v>
      </c>
      <c r="W250" s="607">
        <f t="shared" ca="1" si="18"/>
        <v>0</v>
      </c>
      <c r="X250" s="607">
        <f t="shared" ca="1" si="18"/>
        <v>0</v>
      </c>
      <c r="Y250" s="2008">
        <f t="shared" ca="1" si="18"/>
        <v>0</v>
      </c>
    </row>
    <row r="251" spans="1:25" ht="13.5" thickBot="1">
      <c r="A251" s="105" t="str">
        <f>'Dados Básicos'!A28&amp;" sop. CV "&amp;$A$15</f>
        <v xml:space="preserve">IVA sop. CV </v>
      </c>
      <c r="B251" s="607">
        <f t="array" aca="1" ref="B251:Y251" ca="1">$K$235*B250:Y250</f>
        <v>0</v>
      </c>
      <c r="C251" s="607">
        <f ca="1"/>
        <v>0</v>
      </c>
      <c r="D251" s="607">
        <f ca="1"/>
        <v>0</v>
      </c>
      <c r="E251" s="607">
        <f ca="1"/>
        <v>0</v>
      </c>
      <c r="F251" s="607">
        <f ca="1"/>
        <v>0</v>
      </c>
      <c r="G251" s="607">
        <f ca="1"/>
        <v>0</v>
      </c>
      <c r="H251" s="607">
        <f ca="1"/>
        <v>0</v>
      </c>
      <c r="I251" s="607">
        <f ca="1"/>
        <v>0</v>
      </c>
      <c r="J251" s="607">
        <f ca="1"/>
        <v>0</v>
      </c>
      <c r="K251" s="607">
        <f ca="1"/>
        <v>0</v>
      </c>
      <c r="L251" s="607">
        <f ca="1"/>
        <v>0</v>
      </c>
      <c r="M251" s="607">
        <f ca="1"/>
        <v>0</v>
      </c>
      <c r="N251" s="607">
        <f ca="1"/>
        <v>0</v>
      </c>
      <c r="O251" s="607">
        <f ca="1"/>
        <v>0</v>
      </c>
      <c r="P251" s="607">
        <f ca="1"/>
        <v>0</v>
      </c>
      <c r="Q251" s="607">
        <f ca="1"/>
        <v>0</v>
      </c>
      <c r="R251" s="607">
        <f ca="1"/>
        <v>0</v>
      </c>
      <c r="S251" s="607">
        <f ca="1"/>
        <v>0</v>
      </c>
      <c r="T251" s="607">
        <f ca="1"/>
        <v>0</v>
      </c>
      <c r="U251" s="607">
        <f ca="1"/>
        <v>0</v>
      </c>
      <c r="V251" s="607">
        <f ca="1"/>
        <v>0</v>
      </c>
      <c r="W251" s="607">
        <f ca="1"/>
        <v>0</v>
      </c>
      <c r="X251" s="607">
        <f ca="1"/>
        <v>0</v>
      </c>
      <c r="Y251" s="2008">
        <f ca="1"/>
        <v>0</v>
      </c>
    </row>
  </sheetData>
  <sheetProtection sheet="1" objects="1" scenarios="1"/>
  <phoneticPr fontId="4"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O102"/>
  <sheetViews>
    <sheetView tabSelected="1" workbookViewId="0">
      <selection activeCell="E13" sqref="E13"/>
    </sheetView>
  </sheetViews>
  <sheetFormatPr baseColWidth="10" defaultColWidth="11" defaultRowHeight="18"/>
  <cols>
    <col min="1" max="1" width="26.5" style="646" customWidth="1"/>
    <col min="2" max="2" width="10.75" style="717" customWidth="1"/>
    <col min="3" max="3" width="10" style="717" customWidth="1"/>
    <col min="4" max="5" width="10.125" style="717" customWidth="1"/>
    <col min="6" max="6" width="11" style="717" customWidth="1"/>
    <col min="7" max="7" width="9.625" style="717" customWidth="1"/>
    <col min="8" max="12" width="8.625" style="717" customWidth="1"/>
    <col min="13" max="13" width="10.25" style="717" customWidth="1"/>
    <col min="14" max="14" width="8" style="717" bestFit="1" customWidth="1"/>
    <col min="15" max="16384" width="11" style="694"/>
  </cols>
  <sheetData>
    <row r="1" spans="1:15" ht="22.5">
      <c r="A1" s="3278" t="s">
        <v>416</v>
      </c>
      <c r="B1" s="3278"/>
      <c r="C1" s="3278"/>
      <c r="D1" s="3278"/>
      <c r="E1" s="3278"/>
      <c r="F1" s="3278"/>
      <c r="G1" s="3278"/>
      <c r="H1" s="3278"/>
      <c r="I1" s="3278"/>
    </row>
    <row r="2" spans="1:15" ht="22.5">
      <c r="A2" s="748" t="s">
        <v>1312</v>
      </c>
      <c r="B2" s="746"/>
      <c r="C2" s="747"/>
      <c r="D2" s="747"/>
      <c r="E2" s="747"/>
      <c r="F2" s="747"/>
      <c r="G2" s="747"/>
      <c r="H2" s="747"/>
      <c r="I2" s="747"/>
    </row>
    <row r="3" spans="1:15" ht="30">
      <c r="A3" s="778" t="s">
        <v>423</v>
      </c>
      <c r="B3" s="743"/>
      <c r="C3" s="779"/>
      <c r="D3" s="747"/>
      <c r="E3" s="743"/>
      <c r="F3" s="747"/>
      <c r="G3" s="747"/>
      <c r="H3" s="747"/>
      <c r="I3" s="747"/>
      <c r="K3" s="749"/>
      <c r="L3" s="749"/>
      <c r="M3" s="749"/>
      <c r="N3" s="749"/>
      <c r="O3" s="750"/>
    </row>
    <row r="4" spans="1:15" ht="30">
      <c r="A4" s="778" t="s">
        <v>424</v>
      </c>
      <c r="B4" s="743"/>
      <c r="C4" s="1331"/>
      <c r="D4" s="1332"/>
      <c r="E4" s="743"/>
      <c r="F4" s="1332"/>
      <c r="G4" s="1332"/>
      <c r="H4" s="1332"/>
      <c r="I4" s="1332"/>
      <c r="J4" s="749"/>
      <c r="K4" s="751"/>
      <c r="L4" s="751"/>
      <c r="M4" s="751"/>
      <c r="N4" s="749"/>
      <c r="O4" s="750"/>
    </row>
    <row r="5" spans="1:15" ht="18.75" thickBot="1">
      <c r="B5" s="646"/>
      <c r="C5" s="646"/>
      <c r="D5" s="646"/>
      <c r="E5" s="646"/>
      <c r="F5" s="646"/>
      <c r="G5" s="646"/>
      <c r="H5" s="646"/>
      <c r="I5" s="646"/>
      <c r="K5" s="646"/>
      <c r="L5" s="646"/>
      <c r="M5" s="646"/>
    </row>
    <row r="6" spans="1:15" ht="24.75" customHeight="1">
      <c r="A6" s="766" t="s">
        <v>114</v>
      </c>
      <c r="B6" s="3281" t="s">
        <v>590</v>
      </c>
      <c r="C6" s="3282"/>
      <c r="D6" s="3282"/>
      <c r="E6" s="3282"/>
      <c r="F6" s="3282"/>
      <c r="G6" s="3282"/>
      <c r="H6" s="3282"/>
      <c r="I6" s="3283"/>
      <c r="K6" s="646"/>
      <c r="L6" s="646"/>
      <c r="M6" s="646"/>
    </row>
    <row r="7" spans="1:15" ht="28.5" customHeight="1" thickBot="1">
      <c r="A7" s="261"/>
      <c r="B7" s="3284" t="s">
        <v>1265</v>
      </c>
      <c r="C7" s="3285"/>
      <c r="D7" s="3285"/>
      <c r="E7" s="3285"/>
      <c r="F7" s="3285"/>
      <c r="G7" s="3285"/>
      <c r="H7" s="3285"/>
      <c r="I7" s="3286"/>
      <c r="K7" s="646"/>
      <c r="L7" s="646"/>
      <c r="M7" s="646"/>
    </row>
    <row r="8" spans="1:15" ht="18.75" thickBot="1">
      <c r="A8" s="752"/>
    </row>
    <row r="9" spans="1:15" ht="29.25" customHeight="1" thickBot="1">
      <c r="A9" s="767" t="s">
        <v>383</v>
      </c>
      <c r="B9" s="3287" t="s">
        <v>177</v>
      </c>
      <c r="C9" s="3288"/>
      <c r="D9" s="3288"/>
      <c r="E9" s="3288"/>
      <c r="F9" s="3288"/>
      <c r="G9" s="3288"/>
      <c r="H9" s="3288"/>
      <c r="I9" s="3289"/>
    </row>
    <row r="10" spans="1:15" ht="15.75" thickBot="1">
      <c r="A10" s="753"/>
    </row>
    <row r="11" spans="1:15" ht="24" customHeight="1" thickBot="1">
      <c r="A11" s="768" t="s">
        <v>321</v>
      </c>
      <c r="B11" s="3287" t="s">
        <v>591</v>
      </c>
      <c r="C11" s="3288"/>
      <c r="D11" s="3288"/>
      <c r="E11" s="3288"/>
      <c r="F11" s="3288"/>
      <c r="G11" s="3288"/>
      <c r="H11" s="3288"/>
      <c r="I11" s="3289"/>
    </row>
    <row r="12" spans="1:15" ht="18.75" thickBot="1"/>
    <row r="13" spans="1:15" ht="20.25" customHeight="1" thickBot="1">
      <c r="A13" s="769" t="s">
        <v>384</v>
      </c>
      <c r="B13" s="3279">
        <v>46231</v>
      </c>
      <c r="C13" s="3280"/>
      <c r="E13" s="754"/>
      <c r="F13" s="2301">
        <f>IF(G13="Empresa existente",1,0)</f>
        <v>0</v>
      </c>
      <c r="G13" s="3299" t="s">
        <v>425</v>
      </c>
      <c r="H13" s="3300"/>
      <c r="I13" s="3301"/>
    </row>
    <row r="14" spans="1:15" ht="15.75" thickBot="1">
      <c r="A14" s="755"/>
    </row>
    <row r="15" spans="1:15" ht="24" customHeight="1" thickBot="1">
      <c r="A15" s="2083" t="s">
        <v>385</v>
      </c>
      <c r="B15" s="2765">
        <v>2026</v>
      </c>
      <c r="C15" s="694"/>
      <c r="D15" s="694"/>
      <c r="E15" s="694"/>
      <c r="F15" s="694"/>
      <c r="G15" s="694"/>
      <c r="H15" s="694"/>
      <c r="I15" s="694"/>
    </row>
    <row r="16" spans="1:15" ht="24" customHeight="1" thickBot="1">
      <c r="A16" s="2083" t="s">
        <v>386</v>
      </c>
      <c r="B16" s="2766">
        <v>1</v>
      </c>
      <c r="C16" s="767" t="s">
        <v>1170</v>
      </c>
      <c r="D16" s="1475"/>
      <c r="E16" s="1475"/>
      <c r="F16" s="1475"/>
      <c r="G16" s="1475"/>
      <c r="H16" s="1475"/>
      <c r="I16" s="1476"/>
    </row>
    <row r="17" spans="1:15" ht="18.75" customHeight="1" thickBot="1">
      <c r="D17" s="2"/>
    </row>
    <row r="18" spans="1:15" ht="15">
      <c r="A18" s="770"/>
      <c r="B18" s="771" t="s">
        <v>387</v>
      </c>
      <c r="C18" s="2829">
        <f>IF($B18="Ano 0",1,2)</f>
        <v>1</v>
      </c>
      <c r="D18" s="2830">
        <f>C18+1</f>
        <v>2</v>
      </c>
      <c r="E18" s="2829">
        <f>D18+1</f>
        <v>3</v>
      </c>
      <c r="F18" s="2831">
        <f>E18+1</f>
        <v>4</v>
      </c>
      <c r="G18" s="760"/>
      <c r="H18" s="760"/>
    </row>
    <row r="19" spans="1:15" ht="21.75" customHeight="1" thickBot="1">
      <c r="A19" s="1520" t="s">
        <v>388</v>
      </c>
      <c r="B19" s="2762" t="str">
        <f>Parametros!D65</f>
        <v>2026</v>
      </c>
      <c r="C19" s="2762" t="str">
        <f>Parametros!E65</f>
        <v>2027</v>
      </c>
      <c r="D19" s="2763" t="str">
        <f>Parametros!F65</f>
        <v>2028</v>
      </c>
      <c r="E19" s="2762" t="str">
        <f>Parametros!G65</f>
        <v>2029</v>
      </c>
      <c r="F19" s="2764" t="str">
        <f>Parametros!H65</f>
        <v>2030</v>
      </c>
      <c r="G19" s="760"/>
      <c r="H19" s="239"/>
      <c r="K19" s="761"/>
      <c r="O19" s="3119" t="s">
        <v>1253</v>
      </c>
    </row>
    <row r="20" spans="1:15" ht="18.75" thickBot="1">
      <c r="A20" s="762"/>
      <c r="B20" s="762"/>
      <c r="C20" s="762"/>
      <c r="G20" s="760"/>
      <c r="H20" s="239"/>
    </row>
    <row r="21" spans="1:15" ht="19.5" customHeight="1" thickBot="1">
      <c r="A21" s="1548" t="s">
        <v>389</v>
      </c>
      <c r="B21" s="1549" t="s">
        <v>1171</v>
      </c>
      <c r="C21" s="1517">
        <v>1</v>
      </c>
      <c r="D21" s="1519" t="str">
        <f>"do "&amp;B18</f>
        <v>do Ano 0</v>
      </c>
      <c r="E21" s="1518"/>
      <c r="F21" s="3290" t="str">
        <f>CONCATENATE("= mes de ",TEXT(INDEX(Parametros!A61:A72,mes0,1),"[$-16]mmmm \d\e "&amp;aa&amp;aa))</f>
        <v>= mes de janeiro de 2026</v>
      </c>
      <c r="G21" s="3290"/>
      <c r="H21" s="3290"/>
      <c r="I21" s="3291"/>
    </row>
    <row r="22" spans="1:15">
      <c r="A22" s="1472"/>
      <c r="B22" s="1473"/>
      <c r="C22" s="3175" t="str">
        <f>IF(mes0&gt;=finTemporada,"Não ha meses de atividade no ano 0: revisar mes de início ou os meses da temporada na folha Parámetros",IF(AND(mes0&gt;inicioTemporada,mes0&lt;&gt;1),"Mes de início posterior ao início da temporada: só "&amp;finTemporada-mes0&amp;" meses de atividade no primeiro ano ("&amp;B18&amp;")",""))</f>
        <v/>
      </c>
      <c r="D22" s="874"/>
      <c r="E22" s="1474"/>
      <c r="F22" s="793"/>
      <c r="G22" s="760"/>
      <c r="H22" s="239"/>
    </row>
    <row r="23" spans="1:15" ht="18.75" thickBot="1">
      <c r="A23" s="762"/>
      <c r="B23" s="762"/>
      <c r="C23" s="762"/>
      <c r="G23" s="760"/>
      <c r="H23" s="239"/>
    </row>
    <row r="24" spans="1:15" ht="21" customHeight="1" thickBot="1">
      <c r="A24" s="767" t="s">
        <v>52</v>
      </c>
      <c r="B24" s="3292" t="s">
        <v>405</v>
      </c>
      <c r="C24" s="3293"/>
      <c r="D24" s="3293"/>
      <c r="E24" s="3293"/>
      <c r="F24" s="3294"/>
      <c r="G24" s="760"/>
      <c r="H24" s="239"/>
    </row>
    <row r="25" spans="1:15" ht="15">
      <c r="A25" s="777"/>
      <c r="B25" s="2358">
        <f>VLOOKUP(B24,$A$59:$I$76,9,0)</f>
        <v>3000</v>
      </c>
      <c r="C25" s="777"/>
      <c r="D25" s="777"/>
      <c r="E25" s="777"/>
      <c r="F25" s="777"/>
      <c r="G25" s="760"/>
      <c r="H25" s="239"/>
    </row>
    <row r="26" spans="1:15" ht="18.75" thickBot="1"/>
    <row r="27" spans="1:15" ht="18.75" thickBot="1">
      <c r="A27" s="3302" t="str">
        <f>CONCATENATE("Imposto Indireito: ",A28)</f>
        <v>Imposto Indireito: IVA</v>
      </c>
      <c r="B27" s="3303"/>
      <c r="C27" s="3304"/>
      <c r="E27" s="694"/>
      <c r="F27" s="740" t="str">
        <f>H43&amp;" ( " &amp;I43&amp; " )"</f>
        <v>Imposto Pessoas Singulares ( I.R.S. )</v>
      </c>
      <c r="G27" s="3123"/>
      <c r="H27" s="3123"/>
      <c r="I27" s="3124"/>
    </row>
    <row r="28" spans="1:15" ht="21" customHeight="1" thickBot="1">
      <c r="A28" s="2870" t="s">
        <v>318</v>
      </c>
      <c r="B28" s="1545"/>
      <c r="C28" s="1544">
        <v>0.21</v>
      </c>
      <c r="E28" s="764"/>
      <c r="F28" s="775" t="str">
        <f>"% quota "&amp;'Dados Básicos'!$I$43&amp;" (Rec.-Despesas)"</f>
        <v>% quota I.R.S. (Rec.-Despesas)</v>
      </c>
      <c r="G28" s="776"/>
      <c r="H28" s="776"/>
      <c r="I28" s="772">
        <f>VLOOKUP(B24,$A$59:$G$76,6,0)</f>
        <v>0</v>
      </c>
    </row>
    <row r="29" spans="1:15" ht="19.5" customHeight="1" thickBot="1">
      <c r="A29" s="1546" t="str">
        <f>CONCATENATE("Taxa de ",A28," soportado")</f>
        <v>Taxa de IVA soportado</v>
      </c>
      <c r="B29" s="1547"/>
      <c r="C29" s="1544">
        <v>0.21</v>
      </c>
      <c r="F29" s="1567" t="s">
        <v>1075</v>
      </c>
      <c r="G29" s="1568"/>
      <c r="H29" s="1568"/>
      <c r="I29" s="1569">
        <f>VLOOKUP(B24,$A$59:$G$76,7,0)</f>
        <v>0</v>
      </c>
    </row>
    <row r="30" spans="1:15" ht="23.25" customHeight="1" thickBot="1">
      <c r="A30" s="2523" t="s">
        <v>390</v>
      </c>
      <c r="B30" s="3297" t="s">
        <v>391</v>
      </c>
      <c r="C30" s="3298"/>
      <c r="D30" s="2530">
        <f>IF(B30="Mensuais",1,0)+'IVA 0'!D16*0</f>
        <v>0</v>
      </c>
      <c r="F30" s="1570" t="s">
        <v>1076</v>
      </c>
      <c r="G30" s="1571"/>
      <c r="H30" s="1571"/>
      <c r="I30" s="1572">
        <v>0.75</v>
      </c>
      <c r="J30" s="1594">
        <f>I30*I29</f>
        <v>0</v>
      </c>
    </row>
    <row r="31" spans="1:15" ht="23.25" customHeight="1" thickBot="1">
      <c r="A31" s="2523" t="s">
        <v>331</v>
      </c>
      <c r="B31" s="3297" t="s">
        <v>392</v>
      </c>
      <c r="C31" s="3298"/>
      <c r="D31" s="2543">
        <f>IF(B31="Devolução",1,0)</f>
        <v>1</v>
      </c>
      <c r="F31" s="2522"/>
      <c r="G31" s="1331"/>
      <c r="H31" s="1331"/>
      <c r="I31" s="2564"/>
      <c r="J31" s="1594"/>
    </row>
    <row r="32" spans="1:15" ht="23.25" customHeight="1" thickBot="1">
      <c r="A32" s="2523" t="str">
        <f>"Conta Corr. "&amp;A28</f>
        <v>Conta Corr. IVA</v>
      </c>
      <c r="B32" s="3297" t="s">
        <v>393</v>
      </c>
      <c r="C32" s="3298"/>
      <c r="D32" s="2524">
        <f>IF(B32="Não",0,1)</f>
        <v>0</v>
      </c>
      <c r="F32" s="2522"/>
      <c r="G32" s="1331"/>
      <c r="H32" s="1331"/>
      <c r="I32" s="2564"/>
      <c r="J32" s="1594"/>
    </row>
    <row r="33" spans="1:14" ht="23.25" customHeight="1">
      <c r="F33" s="2522"/>
      <c r="G33" s="1331"/>
      <c r="H33" s="1331"/>
      <c r="I33" s="2564"/>
      <c r="J33" s="1594"/>
    </row>
    <row r="34" spans="1:14" ht="23.25" customHeight="1" thickBot="1">
      <c r="F34" s="2522"/>
      <c r="G34" s="1331"/>
      <c r="H34" s="1331"/>
      <c r="I34" s="2564"/>
      <c r="J34" s="1594"/>
    </row>
    <row r="35" spans="1:14" ht="21" customHeight="1" thickBot="1">
      <c r="A35" s="1361" t="str">
        <f>$J$44&amp;" ( "&amp;$I$44&amp;" )"</f>
        <v>Imposto Rendas Pessoas Coletivas ( I.R.C. )</v>
      </c>
      <c r="B35" s="1361"/>
      <c r="C35" s="726"/>
      <c r="D35" s="36"/>
      <c r="E35" s="694"/>
      <c r="J35" s="694"/>
    </row>
    <row r="36" spans="1:14" ht="24" customHeight="1">
      <c r="A36" s="3222" t="s">
        <v>1093</v>
      </c>
      <c r="B36" s="3223"/>
      <c r="C36" s="3224">
        <f>VLOOKUP(B24,$A$59:$G$76,3,0)</f>
        <v>0.22499999999999998</v>
      </c>
      <c r="D36" s="36"/>
      <c r="G36" s="694"/>
      <c r="H36" s="694"/>
      <c r="I36" s="694"/>
      <c r="J36" s="694"/>
    </row>
    <row r="37" spans="1:14">
      <c r="A37" s="2076" t="s">
        <v>1094</v>
      </c>
      <c r="B37" s="3225"/>
      <c r="C37" s="3226">
        <f>VLOOKUP(B24,$A$59:$G$76,4,0)</f>
        <v>0.26500000000000001</v>
      </c>
      <c r="D37" s="36"/>
      <c r="G37" s="694"/>
      <c r="H37" s="694"/>
      <c r="I37" s="694"/>
      <c r="J37" s="694"/>
    </row>
    <row r="38" spans="1:14" ht="15.75" customHeight="1">
      <c r="A38" s="2076" t="s">
        <v>394</v>
      </c>
      <c r="B38" s="3295" t="s">
        <v>395</v>
      </c>
      <c r="C38" s="3296"/>
      <c r="D38" s="2081">
        <f>IF(B38="Ano anterior",-1,1)</f>
        <v>-1</v>
      </c>
      <c r="G38" s="694"/>
      <c r="H38" s="694"/>
      <c r="I38" s="694"/>
      <c r="J38" s="694"/>
    </row>
    <row r="39" spans="1:14" ht="29.25" thickBot="1">
      <c r="A39" s="3227" t="s">
        <v>1092</v>
      </c>
      <c r="B39" s="3228"/>
      <c r="C39" s="3229">
        <f>VLOOKUP(B24,$A$59:$M$76,IF($B$38="ano corriente",13,5),0)</f>
        <v>0.18</v>
      </c>
      <c r="D39" s="36"/>
      <c r="G39" s="694"/>
      <c r="H39" s="694"/>
      <c r="I39" s="694"/>
      <c r="J39" s="694"/>
    </row>
    <row r="40" spans="1:14">
      <c r="A40" s="3263" t="s">
        <v>1310</v>
      </c>
      <c r="B40" s="2543">
        <f ca="1">YEAR(TODAY())</f>
        <v>2026</v>
      </c>
      <c r="C40" s="2543">
        <f t="shared" ref="C40:F40" ca="1" si="0">B40+1</f>
        <v>2027</v>
      </c>
      <c r="D40" s="2543">
        <f t="shared" ca="1" si="0"/>
        <v>2028</v>
      </c>
      <c r="E40" s="2543">
        <f t="shared" ca="1" si="0"/>
        <v>2029</v>
      </c>
      <c r="F40" s="2543">
        <f t="shared" ca="1" si="0"/>
        <v>2030</v>
      </c>
      <c r="G40" s="3264"/>
      <c r="H40" s="743"/>
      <c r="I40" s="743"/>
      <c r="J40" s="3265"/>
    </row>
    <row r="41" spans="1:14" ht="19.5" customHeight="1">
      <c r="D41" s="36"/>
      <c r="G41" s="3264"/>
      <c r="H41" s="743"/>
      <c r="I41" s="743"/>
      <c r="J41" s="3265"/>
    </row>
    <row r="42" spans="1:14" s="727" customFormat="1">
      <c r="A42" s="2864" t="s">
        <v>396</v>
      </c>
      <c r="B42" s="3266"/>
      <c r="C42" s="789"/>
      <c r="D42" s="789"/>
      <c r="E42" s="789"/>
      <c r="F42" s="789"/>
      <c r="G42" s="789"/>
      <c r="H42" s="789"/>
      <c r="I42" s="789"/>
      <c r="J42" s="789"/>
      <c r="K42" s="789"/>
      <c r="L42" s="789"/>
      <c r="M42" s="789"/>
      <c r="N42" s="789"/>
    </row>
    <row r="43" spans="1:14" s="727" customFormat="1">
      <c r="B43" s="2864" t="s">
        <v>318</v>
      </c>
      <c r="C43" s="789" t="s">
        <v>397</v>
      </c>
      <c r="D43" s="789"/>
      <c r="E43" s="789"/>
      <c r="F43" s="789"/>
      <c r="G43" s="789"/>
      <c r="H43" s="3267" t="s">
        <v>1078</v>
      </c>
      <c r="I43" s="789" t="s">
        <v>1071</v>
      </c>
      <c r="J43" s="789" t="s">
        <v>1072</v>
      </c>
      <c r="K43" s="789"/>
      <c r="L43" s="789"/>
      <c r="M43" s="789"/>
      <c r="N43" s="789"/>
    </row>
    <row r="44" spans="1:14" s="727" customFormat="1">
      <c r="B44" s="2864" t="s">
        <v>82</v>
      </c>
      <c r="C44" s="789" t="s">
        <v>83</v>
      </c>
      <c r="D44" s="789"/>
      <c r="E44" s="789"/>
      <c r="F44" s="789"/>
      <c r="G44" s="789"/>
      <c r="H44" s="3267" t="s">
        <v>1077</v>
      </c>
      <c r="I44" s="789" t="s">
        <v>1074</v>
      </c>
      <c r="J44" s="789" t="s">
        <v>1073</v>
      </c>
      <c r="K44" s="789"/>
      <c r="L44" s="789"/>
      <c r="M44" s="789"/>
      <c r="N44" s="789"/>
    </row>
    <row r="45" spans="1:14" s="727" customFormat="1">
      <c r="B45" s="2864" t="s">
        <v>76</v>
      </c>
      <c r="C45" s="789" t="s">
        <v>84</v>
      </c>
      <c r="D45" s="789"/>
      <c r="E45" s="789"/>
      <c r="F45" s="789"/>
      <c r="G45" s="789"/>
      <c r="H45" s="789"/>
      <c r="I45" s="789"/>
      <c r="J45" s="789"/>
      <c r="K45" s="789"/>
      <c r="L45" s="789"/>
      <c r="M45" s="789"/>
      <c r="N45" s="789"/>
    </row>
    <row r="46" spans="1:14" s="727" customFormat="1">
      <c r="B46" s="2864" t="s">
        <v>398</v>
      </c>
      <c r="C46" s="789" t="s">
        <v>399</v>
      </c>
      <c r="D46" s="789"/>
      <c r="E46" s="789"/>
      <c r="F46" s="789"/>
      <c r="G46" s="789"/>
      <c r="H46" s="789"/>
      <c r="I46" s="789"/>
      <c r="J46" s="789"/>
      <c r="K46" s="789"/>
      <c r="L46" s="789"/>
      <c r="M46" s="789"/>
      <c r="N46" s="789"/>
    </row>
    <row r="47" spans="1:14" s="727" customFormat="1">
      <c r="B47" s="2864" t="s">
        <v>314</v>
      </c>
      <c r="C47" s="789" t="s">
        <v>319</v>
      </c>
      <c r="D47" s="789"/>
      <c r="E47" s="789"/>
      <c r="F47" s="789"/>
      <c r="G47" s="789"/>
      <c r="H47" s="789"/>
      <c r="I47" s="789"/>
      <c r="J47" s="789"/>
      <c r="K47" s="789"/>
      <c r="L47" s="789"/>
      <c r="M47" s="789"/>
      <c r="N47" s="789"/>
    </row>
    <row r="48" spans="1:14" s="727" customFormat="1">
      <c r="A48" s="2864"/>
      <c r="B48" s="789" t="s">
        <v>85</v>
      </c>
      <c r="C48" s="789"/>
      <c r="D48" s="789"/>
      <c r="E48" s="789"/>
      <c r="F48" s="789"/>
      <c r="G48" s="789"/>
      <c r="H48" s="789"/>
      <c r="I48" s="789"/>
      <c r="J48" s="789"/>
      <c r="K48" s="789"/>
      <c r="L48" s="789"/>
      <c r="M48" s="789"/>
      <c r="N48" s="789"/>
    </row>
    <row r="49" spans="1:14" s="727" customFormat="1">
      <c r="A49" s="2864"/>
      <c r="B49" s="789"/>
      <c r="C49" s="789"/>
      <c r="D49" s="789"/>
      <c r="E49" s="789"/>
      <c r="F49" s="789"/>
      <c r="G49" s="789"/>
      <c r="H49" s="3268">
        <f>+B15</f>
        <v>2026</v>
      </c>
      <c r="I49" s="3269">
        <f>H49+1</f>
        <v>2027</v>
      </c>
      <c r="J49" s="3269">
        <f t="shared" ref="J49:L49" si="1">I49+1</f>
        <v>2028</v>
      </c>
      <c r="K49" s="3269">
        <f t="shared" si="1"/>
        <v>2029</v>
      </c>
      <c r="L49" s="3269">
        <f t="shared" si="1"/>
        <v>2030</v>
      </c>
      <c r="M49" s="789"/>
      <c r="N49" s="789"/>
    </row>
    <row r="50" spans="1:14" s="727" customFormat="1">
      <c r="A50" s="2864"/>
      <c r="B50" s="789" t="s">
        <v>86</v>
      </c>
      <c r="C50" s="748" t="s">
        <v>81</v>
      </c>
      <c r="D50" s="789"/>
      <c r="E50" s="789"/>
      <c r="F50" s="789"/>
      <c r="G50" s="3267" t="s">
        <v>332</v>
      </c>
      <c r="H50" s="3230">
        <f>1214.08*30%*0+23.75%</f>
        <v>0.23749999999999999</v>
      </c>
      <c r="I50" s="3230">
        <f t="shared" ref="I50:L50" si="2">H50</f>
        <v>0.23749999999999999</v>
      </c>
      <c r="J50" s="3230">
        <f t="shared" si="2"/>
        <v>0.23749999999999999</v>
      </c>
      <c r="K50" s="3230">
        <f t="shared" si="2"/>
        <v>0.23749999999999999</v>
      </c>
      <c r="L50" s="3230">
        <f t="shared" si="2"/>
        <v>0.23749999999999999</v>
      </c>
      <c r="M50" s="789"/>
      <c r="N50" s="789"/>
    </row>
    <row r="51" spans="1:14">
      <c r="A51" s="3270" t="s">
        <v>79</v>
      </c>
      <c r="B51" s="2869">
        <v>0.23</v>
      </c>
      <c r="C51" s="3231">
        <v>5.1999999999999998E-2</v>
      </c>
      <c r="G51" s="3267" t="s">
        <v>1263</v>
      </c>
      <c r="H51" s="3230">
        <v>0.252</v>
      </c>
      <c r="I51" s="3230">
        <f t="shared" ref="I51:L51" si="3">H51</f>
        <v>0.252</v>
      </c>
      <c r="J51" s="3230">
        <f t="shared" si="3"/>
        <v>0.252</v>
      </c>
      <c r="K51" s="3230">
        <f t="shared" si="3"/>
        <v>0.252</v>
      </c>
      <c r="L51" s="3230">
        <f t="shared" si="3"/>
        <v>0.252</v>
      </c>
    </row>
    <row r="52" spans="1:14">
      <c r="A52" s="3270" t="s">
        <v>78</v>
      </c>
      <c r="B52" s="2869">
        <v>0.13</v>
      </c>
      <c r="C52" s="3231">
        <v>1.4E-2</v>
      </c>
      <c r="G52" s="3267" t="s">
        <v>333</v>
      </c>
      <c r="H52" s="3271">
        <v>20</v>
      </c>
      <c r="I52" s="3271">
        <f>H52</f>
        <v>20</v>
      </c>
      <c r="J52" s="3271">
        <f t="shared" ref="J52:L52" si="4">I52</f>
        <v>20</v>
      </c>
      <c r="K52" s="3271">
        <f t="shared" si="4"/>
        <v>20</v>
      </c>
      <c r="L52" s="3271">
        <f t="shared" si="4"/>
        <v>20</v>
      </c>
    </row>
    <row r="53" spans="1:14">
      <c r="A53" s="3270" t="s">
        <v>77</v>
      </c>
      <c r="B53" s="2869">
        <v>0.06</v>
      </c>
      <c r="C53" s="3231">
        <v>5.0000000000000001E-3</v>
      </c>
      <c r="G53" s="3267" t="s">
        <v>1254</v>
      </c>
      <c r="H53" s="3271">
        <v>60</v>
      </c>
      <c r="I53" s="3271">
        <f>I52*(50%+70%)/2*0+H53</f>
        <v>60</v>
      </c>
      <c r="J53" s="3271">
        <f>J52*(70%)</f>
        <v>14</v>
      </c>
      <c r="K53" s="3271">
        <f>+K52</f>
        <v>20</v>
      </c>
    </row>
    <row r="54" spans="1:14">
      <c r="A54" s="3270" t="s">
        <v>80</v>
      </c>
      <c r="B54" s="2869">
        <v>0</v>
      </c>
      <c r="C54" s="2869"/>
    </row>
    <row r="57" spans="1:14" s="727" customFormat="1">
      <c r="A57" s="2864" t="s">
        <v>400</v>
      </c>
      <c r="B57" s="789"/>
      <c r="C57" s="789"/>
      <c r="D57" s="789"/>
      <c r="E57" s="789"/>
      <c r="F57" s="789"/>
      <c r="G57" s="3272"/>
      <c r="H57" s="789"/>
      <c r="I57" s="789"/>
      <c r="J57" s="789"/>
      <c r="K57" s="789"/>
      <c r="L57" s="789"/>
      <c r="M57" s="789"/>
      <c r="N57" s="789"/>
    </row>
    <row r="58" spans="1:14" s="727" customFormat="1" ht="51">
      <c r="A58" s="2864"/>
      <c r="C58" s="3273" t="s">
        <v>1082</v>
      </c>
      <c r="D58" s="3273" t="s">
        <v>1083</v>
      </c>
      <c r="E58" s="3273" t="s">
        <v>1138</v>
      </c>
      <c r="F58" s="3273" t="s">
        <v>1080</v>
      </c>
      <c r="G58" s="3273" t="s">
        <v>1081</v>
      </c>
      <c r="H58" s="3273" t="s">
        <v>97</v>
      </c>
      <c r="I58" s="789" t="s">
        <v>176</v>
      </c>
      <c r="J58" s="3274" t="s">
        <v>401</v>
      </c>
      <c r="K58" s="3274" t="s">
        <v>178</v>
      </c>
      <c r="L58" s="3273" t="s">
        <v>106</v>
      </c>
      <c r="M58" s="3273" t="s">
        <v>402</v>
      </c>
      <c r="N58" s="789"/>
    </row>
    <row r="59" spans="1:14" s="727" customFormat="1" ht="15">
      <c r="A59" s="3275" t="s">
        <v>403</v>
      </c>
      <c r="C59" s="1594">
        <f>21%+1.5%</f>
        <v>0.22499999999999998</v>
      </c>
      <c r="D59" s="1594">
        <f>25%+1.5%</f>
        <v>0.26500000000000001</v>
      </c>
      <c r="E59" s="1594">
        <v>0.18</v>
      </c>
      <c r="F59" s="1594">
        <v>0</v>
      </c>
      <c r="G59" s="1594">
        <v>0</v>
      </c>
      <c r="H59" s="789" t="s">
        <v>98</v>
      </c>
      <c r="I59" s="3276">
        <v>3000</v>
      </c>
      <c r="J59" s="789">
        <v>350</v>
      </c>
      <c r="K59" s="789">
        <v>250</v>
      </c>
      <c r="L59" s="1594">
        <v>0.01</v>
      </c>
      <c r="M59" s="1594">
        <v>0.21</v>
      </c>
      <c r="N59" s="789"/>
    </row>
    <row r="60" spans="1:14" s="727" customFormat="1" ht="15">
      <c r="A60" s="3275" t="s">
        <v>404</v>
      </c>
      <c r="C60" s="1594">
        <f>21%+1.5%</f>
        <v>0.22499999999999998</v>
      </c>
      <c r="D60" s="1594">
        <f>25%+1.5%</f>
        <v>0.26500000000000001</v>
      </c>
      <c r="E60" s="1594">
        <v>0.18</v>
      </c>
      <c r="F60" s="1594">
        <v>0</v>
      </c>
      <c r="G60" s="1594">
        <v>0</v>
      </c>
      <c r="H60" s="789" t="s">
        <v>315</v>
      </c>
      <c r="I60" s="3276">
        <v>3000</v>
      </c>
      <c r="J60" s="789">
        <v>350</v>
      </c>
      <c r="K60" s="789">
        <v>250</v>
      </c>
      <c r="L60" s="1594">
        <v>0.01</v>
      </c>
      <c r="M60" s="1594">
        <v>0.1</v>
      </c>
      <c r="N60" s="789"/>
    </row>
    <row r="61" spans="1:14" s="727" customFormat="1" ht="15">
      <c r="A61" s="3275" t="s">
        <v>405</v>
      </c>
      <c r="C61" s="1594">
        <f>21%+1.5%</f>
        <v>0.22499999999999998</v>
      </c>
      <c r="D61" s="1594">
        <f>25%+1.5%</f>
        <v>0.26500000000000001</v>
      </c>
      <c r="E61" s="1594">
        <v>0.18</v>
      </c>
      <c r="F61" s="1594">
        <v>0</v>
      </c>
      <c r="G61" s="1594">
        <v>0</v>
      </c>
      <c r="H61" s="789" t="s">
        <v>315</v>
      </c>
      <c r="I61" s="3276">
        <v>3000</v>
      </c>
      <c r="J61" s="789">
        <v>350</v>
      </c>
      <c r="K61" s="789">
        <v>250</v>
      </c>
      <c r="L61" s="1594">
        <v>0.01</v>
      </c>
      <c r="M61" s="1594">
        <v>0.1</v>
      </c>
      <c r="N61" s="789"/>
    </row>
    <row r="62" spans="1:14" s="727" customFormat="1" ht="15">
      <c r="A62" s="3275" t="s">
        <v>406</v>
      </c>
      <c r="B62" s="789"/>
      <c r="C62" s="1594">
        <v>0</v>
      </c>
      <c r="D62" s="1594">
        <v>0</v>
      </c>
      <c r="E62" s="1594">
        <v>0</v>
      </c>
      <c r="F62" s="1594">
        <v>0.2</v>
      </c>
      <c r="G62" s="1594">
        <v>0</v>
      </c>
      <c r="H62" s="789"/>
      <c r="I62" s="3276">
        <v>0</v>
      </c>
      <c r="J62" s="789">
        <v>0</v>
      </c>
      <c r="K62" s="789">
        <v>0</v>
      </c>
      <c r="L62" s="1594">
        <v>0</v>
      </c>
      <c r="M62" s="1594">
        <v>0</v>
      </c>
      <c r="N62" s="789"/>
    </row>
    <row r="63" spans="1:14" s="727" customFormat="1" ht="15">
      <c r="A63" s="3275" t="s">
        <v>183</v>
      </c>
      <c r="B63" s="789"/>
      <c r="C63" s="1594">
        <v>0</v>
      </c>
      <c r="D63" s="1594">
        <v>0</v>
      </c>
      <c r="E63" s="1594">
        <v>0</v>
      </c>
      <c r="F63" s="1594">
        <v>0.2</v>
      </c>
      <c r="G63" s="1594">
        <v>0</v>
      </c>
      <c r="H63" s="789"/>
      <c r="I63" s="3276">
        <v>0</v>
      </c>
      <c r="J63" s="789">
        <v>0</v>
      </c>
      <c r="K63" s="789">
        <v>0</v>
      </c>
      <c r="L63" s="1594">
        <v>0</v>
      </c>
      <c r="M63" s="1594">
        <v>0</v>
      </c>
      <c r="N63" s="789"/>
    </row>
    <row r="64" spans="1:14" s="727" customFormat="1" ht="15">
      <c r="A64" s="3275" t="s">
        <v>407</v>
      </c>
      <c r="B64" s="789"/>
      <c r="C64" s="1594">
        <v>0</v>
      </c>
      <c r="D64" s="1594">
        <v>0</v>
      </c>
      <c r="E64" s="1594">
        <v>0</v>
      </c>
      <c r="F64" s="1594">
        <v>0.2</v>
      </c>
      <c r="G64" s="1594">
        <v>0</v>
      </c>
      <c r="H64" s="789" t="s">
        <v>99</v>
      </c>
      <c r="I64" s="3276">
        <v>0</v>
      </c>
      <c r="J64" s="789">
        <v>0</v>
      </c>
      <c r="K64" s="789">
        <v>0</v>
      </c>
      <c r="L64" s="1594">
        <v>0</v>
      </c>
      <c r="M64" s="1594">
        <v>0</v>
      </c>
      <c r="N64" s="789"/>
    </row>
    <row r="65" spans="1:14" s="727" customFormat="1" ht="15">
      <c r="A65" s="3275" t="s">
        <v>408</v>
      </c>
      <c r="B65" s="789"/>
      <c r="C65" s="1594">
        <v>0</v>
      </c>
      <c r="D65" s="1594">
        <v>0</v>
      </c>
      <c r="E65" s="1594">
        <v>0</v>
      </c>
      <c r="F65" s="1594">
        <v>0.2</v>
      </c>
      <c r="G65" s="1594">
        <v>0.15</v>
      </c>
      <c r="H65" s="789"/>
      <c r="I65" s="3276">
        <v>0</v>
      </c>
      <c r="J65" s="789">
        <v>0</v>
      </c>
      <c r="K65" s="789">
        <v>0</v>
      </c>
      <c r="L65" s="1594">
        <v>0</v>
      </c>
      <c r="M65" s="1594">
        <v>0</v>
      </c>
      <c r="N65" s="789"/>
    </row>
    <row r="66" spans="1:14" s="727" customFormat="1" ht="15">
      <c r="A66" s="3275" t="s">
        <v>409</v>
      </c>
      <c r="B66" s="789"/>
      <c r="C66" s="1594">
        <f>21%+1.5%</f>
        <v>0.22499999999999998</v>
      </c>
      <c r="D66" s="1594">
        <v>0</v>
      </c>
      <c r="E66" s="1594">
        <v>0</v>
      </c>
      <c r="F66" s="1594">
        <v>0</v>
      </c>
      <c r="G66" s="1594">
        <v>0</v>
      </c>
      <c r="H66" s="789" t="s">
        <v>100</v>
      </c>
      <c r="I66" s="3276">
        <v>0</v>
      </c>
      <c r="J66" s="789">
        <v>0</v>
      </c>
      <c r="K66" s="789">
        <v>0</v>
      </c>
      <c r="L66" s="1594">
        <v>0</v>
      </c>
      <c r="M66" s="1594">
        <v>0</v>
      </c>
      <c r="N66" s="789"/>
    </row>
    <row r="67" spans="1:14" s="727" customFormat="1" ht="15">
      <c r="A67" s="3275" t="s">
        <v>410</v>
      </c>
      <c r="B67" s="789"/>
      <c r="C67" s="1594">
        <f>21%+1.5%</f>
        <v>0.22499999999999998</v>
      </c>
      <c r="D67" s="1594">
        <v>0</v>
      </c>
      <c r="E67" s="1594">
        <v>0</v>
      </c>
      <c r="F67" s="1594">
        <v>0</v>
      </c>
      <c r="G67" s="1594">
        <v>0</v>
      </c>
      <c r="H67" s="789" t="s">
        <v>100</v>
      </c>
      <c r="I67" s="3276">
        <v>0</v>
      </c>
      <c r="J67" s="789">
        <v>0</v>
      </c>
      <c r="K67" s="789">
        <v>0</v>
      </c>
      <c r="L67" s="1594">
        <v>0</v>
      </c>
      <c r="M67" s="1594">
        <v>0</v>
      </c>
      <c r="N67" s="789"/>
    </row>
    <row r="68" spans="1:14" s="727" customFormat="1" ht="15">
      <c r="A68" s="3275" t="s">
        <v>411</v>
      </c>
      <c r="B68" s="789"/>
      <c r="C68" s="1594">
        <f>21%+1.5%</f>
        <v>0.22499999999999998</v>
      </c>
      <c r="D68" s="1594">
        <f>25%+1.5%</f>
        <v>0.26500000000000001</v>
      </c>
      <c r="E68" s="1594">
        <v>0.18</v>
      </c>
      <c r="F68" s="1594">
        <v>0</v>
      </c>
      <c r="G68" s="1594">
        <v>0</v>
      </c>
      <c r="H68" s="789" t="s">
        <v>232</v>
      </c>
      <c r="I68" s="3276">
        <v>0</v>
      </c>
      <c r="J68" s="789">
        <v>350</v>
      </c>
      <c r="K68" s="789">
        <v>250</v>
      </c>
      <c r="L68" s="1594">
        <v>0</v>
      </c>
      <c r="M68" s="1594">
        <v>0.21</v>
      </c>
      <c r="N68" s="789"/>
    </row>
    <row r="69" spans="1:14" s="727" customFormat="1" ht="15">
      <c r="A69" s="3275" t="s">
        <v>231</v>
      </c>
      <c r="B69" s="789"/>
      <c r="C69" s="1594">
        <f>21%+1.5%</f>
        <v>0.22499999999999998</v>
      </c>
      <c r="D69" s="1594">
        <f>25%+1.5%</f>
        <v>0.26500000000000001</v>
      </c>
      <c r="E69" s="1594">
        <v>0.18</v>
      </c>
      <c r="F69" s="1594">
        <v>0</v>
      </c>
      <c r="G69" s="1594">
        <v>0</v>
      </c>
      <c r="H69" s="789" t="s">
        <v>101</v>
      </c>
      <c r="I69" s="3276">
        <v>3000</v>
      </c>
      <c r="J69" s="789">
        <v>350</v>
      </c>
      <c r="K69" s="789">
        <v>250</v>
      </c>
      <c r="L69" s="1594">
        <v>0</v>
      </c>
      <c r="M69" s="1594">
        <v>0.21</v>
      </c>
      <c r="N69" s="789"/>
    </row>
    <row r="70" spans="1:14" s="727" customFormat="1" ht="15">
      <c r="A70" s="3275" t="s">
        <v>182</v>
      </c>
      <c r="B70" s="789"/>
      <c r="C70" s="1594">
        <v>0.1</v>
      </c>
      <c r="D70" s="1594">
        <v>0.1</v>
      </c>
      <c r="E70" s="1594">
        <v>0.09</v>
      </c>
      <c r="F70" s="1594">
        <v>0</v>
      </c>
      <c r="G70" s="1594">
        <v>0</v>
      </c>
      <c r="H70" s="789" t="s">
        <v>101</v>
      </c>
      <c r="I70" s="3276">
        <v>0</v>
      </c>
      <c r="J70" s="789">
        <v>0</v>
      </c>
      <c r="K70" s="789">
        <v>0</v>
      </c>
      <c r="L70" s="1594">
        <v>0</v>
      </c>
      <c r="M70" s="1594">
        <v>0.05</v>
      </c>
      <c r="N70" s="789"/>
    </row>
    <row r="71" spans="1:14" s="727" customFormat="1" ht="15">
      <c r="A71" s="3275" t="s">
        <v>184</v>
      </c>
      <c r="B71" s="789"/>
      <c r="C71" s="1594">
        <f>21%+1.5%</f>
        <v>0.22499999999999998</v>
      </c>
      <c r="D71" s="1594">
        <f>25%+1.5%</f>
        <v>0.26500000000000001</v>
      </c>
      <c r="E71" s="1594">
        <v>0.18</v>
      </c>
      <c r="F71" s="1594">
        <v>0</v>
      </c>
      <c r="G71" s="1594">
        <v>0</v>
      </c>
      <c r="H71" s="789" t="s">
        <v>62</v>
      </c>
      <c r="I71" s="3276">
        <v>3000</v>
      </c>
      <c r="J71" s="789">
        <v>300</v>
      </c>
      <c r="K71" s="789">
        <v>250</v>
      </c>
      <c r="L71" s="1594">
        <v>0</v>
      </c>
      <c r="M71" s="1594">
        <v>0.21</v>
      </c>
      <c r="N71" s="789"/>
    </row>
    <row r="72" spans="1:14" s="727" customFormat="1" ht="15">
      <c r="A72" s="3275" t="s">
        <v>185</v>
      </c>
      <c r="B72" s="789"/>
      <c r="C72" s="1594">
        <f>21%+1.5%</f>
        <v>0.22499999999999998</v>
      </c>
      <c r="D72" s="1594">
        <f>25%+1.5%</f>
        <v>0.26500000000000001</v>
      </c>
      <c r="E72" s="1594">
        <v>0.18</v>
      </c>
      <c r="F72" s="1594">
        <v>0</v>
      </c>
      <c r="G72" s="1594">
        <v>0</v>
      </c>
      <c r="H72" s="789" t="s">
        <v>63</v>
      </c>
      <c r="I72" s="3276">
        <v>60000</v>
      </c>
      <c r="J72" s="789">
        <v>600</v>
      </c>
      <c r="K72" s="789">
        <v>500</v>
      </c>
      <c r="L72" s="1594">
        <v>0</v>
      </c>
      <c r="M72" s="1594">
        <v>0.21</v>
      </c>
      <c r="N72" s="789"/>
    </row>
    <row r="73" spans="1:14" s="727" customFormat="1" ht="15">
      <c r="A73" s="3275" t="s">
        <v>186</v>
      </c>
      <c r="B73" s="789"/>
      <c r="C73" s="1594">
        <f>21%+1.5%</f>
        <v>0.22499999999999998</v>
      </c>
      <c r="D73" s="1594">
        <f>25%+1.5%</f>
        <v>0.26500000000000001</v>
      </c>
      <c r="E73" s="1594">
        <v>0.18</v>
      </c>
      <c r="F73" s="1594">
        <v>0</v>
      </c>
      <c r="G73" s="1594">
        <v>0</v>
      </c>
      <c r="H73" s="789" t="s">
        <v>102</v>
      </c>
      <c r="I73" s="3276">
        <v>60000</v>
      </c>
      <c r="J73" s="789">
        <v>600</v>
      </c>
      <c r="K73" s="789">
        <v>500</v>
      </c>
      <c r="L73" s="1594">
        <v>0.01</v>
      </c>
      <c r="M73" s="1594">
        <v>0.21</v>
      </c>
      <c r="N73" s="789"/>
    </row>
    <row r="74" spans="1:14" s="727" customFormat="1" ht="15">
      <c r="A74" s="3275" t="s">
        <v>64</v>
      </c>
      <c r="B74" s="789"/>
      <c r="C74" s="1594">
        <v>0.1</v>
      </c>
      <c r="D74" s="1594">
        <v>0.1</v>
      </c>
      <c r="E74" s="1594">
        <v>0.18</v>
      </c>
      <c r="F74" s="1594">
        <v>0</v>
      </c>
      <c r="G74" s="1594">
        <v>0</v>
      </c>
      <c r="H74" s="789"/>
      <c r="I74" s="3276">
        <v>30000</v>
      </c>
      <c r="J74" s="789">
        <v>600</v>
      </c>
      <c r="K74" s="789">
        <v>300</v>
      </c>
      <c r="L74" s="1594">
        <v>0.01</v>
      </c>
      <c r="M74" s="1594">
        <v>0.21</v>
      </c>
      <c r="N74" s="789"/>
    </row>
    <row r="75" spans="1:14" s="727" customFormat="1" ht="15">
      <c r="A75" s="3275" t="s">
        <v>291</v>
      </c>
      <c r="B75" s="789"/>
      <c r="C75" s="1594">
        <v>0</v>
      </c>
      <c r="D75" s="1594">
        <v>0</v>
      </c>
      <c r="E75" s="1594">
        <v>0</v>
      </c>
      <c r="F75" s="1594">
        <v>0</v>
      </c>
      <c r="G75" s="1594">
        <v>0</v>
      </c>
      <c r="H75" s="789"/>
      <c r="I75" s="3276">
        <v>0</v>
      </c>
      <c r="J75" s="789">
        <v>0</v>
      </c>
      <c r="K75" s="789">
        <v>0</v>
      </c>
      <c r="L75" s="1594">
        <v>0</v>
      </c>
      <c r="M75" s="1594">
        <v>0</v>
      </c>
      <c r="N75" s="789"/>
    </row>
    <row r="76" spans="1:14" s="727" customFormat="1" ht="15">
      <c r="A76" s="3275" t="s">
        <v>65</v>
      </c>
      <c r="B76" s="789"/>
      <c r="C76" s="1594">
        <f>21%+1.5%</f>
        <v>0.22499999999999998</v>
      </c>
      <c r="D76" s="1594">
        <f>25%+1.5%</f>
        <v>0.26500000000000001</v>
      </c>
      <c r="E76" s="1594">
        <v>0.18</v>
      </c>
      <c r="F76" s="1594">
        <v>0</v>
      </c>
      <c r="G76" s="1594">
        <v>0</v>
      </c>
      <c r="H76" s="789" t="s">
        <v>103</v>
      </c>
      <c r="I76" s="3276">
        <v>3000</v>
      </c>
      <c r="J76" s="789">
        <v>0</v>
      </c>
      <c r="K76" s="789">
        <v>0</v>
      </c>
      <c r="L76" s="1594">
        <v>0.01</v>
      </c>
      <c r="M76" s="1594">
        <v>0.21</v>
      </c>
      <c r="N76" s="789"/>
    </row>
    <row r="77" spans="1:14" s="727" customFormat="1" ht="15">
      <c r="B77" s="789"/>
      <c r="C77" s="789"/>
      <c r="D77" s="789"/>
      <c r="E77" s="1594"/>
      <c r="F77" s="1594"/>
      <c r="G77" s="789"/>
      <c r="H77" s="789"/>
      <c r="I77" s="789"/>
      <c r="J77" s="789"/>
      <c r="K77" s="789"/>
      <c r="L77" s="789"/>
      <c r="M77" s="789"/>
      <c r="N77" s="789"/>
    </row>
    <row r="78" spans="1:14" s="727" customFormat="1" ht="15">
      <c r="B78" s="789"/>
      <c r="C78" s="789"/>
      <c r="D78" s="789"/>
      <c r="E78" s="1594"/>
      <c r="F78" s="1594"/>
      <c r="G78" s="789"/>
      <c r="H78" s="789"/>
      <c r="I78" s="789"/>
      <c r="J78" s="789"/>
      <c r="K78" s="789"/>
      <c r="L78" s="789"/>
      <c r="M78" s="789"/>
      <c r="N78" s="789"/>
    </row>
    <row r="79" spans="1:14" s="727" customFormat="1" ht="15">
      <c r="A79" s="727" t="s">
        <v>412</v>
      </c>
      <c r="B79" s="789" t="s">
        <v>413</v>
      </c>
      <c r="C79" s="789">
        <f>VLOOKUP(B24,$A$59:$K$76,10,0)</f>
        <v>350</v>
      </c>
      <c r="D79" s="789"/>
      <c r="E79" s="1594"/>
      <c r="F79" s="1594"/>
      <c r="G79" s="789"/>
      <c r="H79" s="789"/>
      <c r="I79" s="789"/>
      <c r="J79" s="789"/>
      <c r="K79" s="789"/>
      <c r="L79" s="789"/>
      <c r="M79" s="789"/>
      <c r="N79" s="789"/>
    </row>
    <row r="80" spans="1:14" s="727" customFormat="1" ht="15">
      <c r="B80" s="3267" t="s">
        <v>414</v>
      </c>
      <c r="C80" s="789">
        <v>35</v>
      </c>
      <c r="D80" s="789"/>
      <c r="E80" s="1594"/>
      <c r="F80" s="1594"/>
      <c r="G80" s="789"/>
      <c r="H80" s="789"/>
      <c r="I80" s="789"/>
      <c r="J80" s="789"/>
      <c r="K80" s="789"/>
      <c r="L80" s="789"/>
      <c r="M80" s="789"/>
      <c r="N80" s="789"/>
    </row>
    <row r="81" spans="1:14" s="727" customFormat="1" ht="15">
      <c r="B81" s="3267" t="s">
        <v>179</v>
      </c>
      <c r="C81" s="789">
        <f>VLOOKUP(B24,$A$59:$K$76,11,0)</f>
        <v>250</v>
      </c>
      <c r="D81" s="789"/>
      <c r="E81" s="1594"/>
      <c r="F81" s="1594"/>
      <c r="G81" s="789"/>
      <c r="H81" s="789"/>
      <c r="I81" s="789"/>
      <c r="J81" s="789"/>
      <c r="K81" s="789"/>
      <c r="L81" s="789"/>
      <c r="M81" s="789"/>
      <c r="N81" s="789"/>
    </row>
    <row r="82" spans="1:14" s="727" customFormat="1" ht="15">
      <c r="B82" s="3277" t="s">
        <v>415</v>
      </c>
      <c r="C82" s="2865">
        <f>VLOOKUP(B24,$A$59:$L$76,12,0)</f>
        <v>0.01</v>
      </c>
      <c r="D82" s="789"/>
      <c r="E82" s="1594"/>
      <c r="F82" s="1594"/>
      <c r="G82" s="789"/>
      <c r="H82" s="789"/>
      <c r="I82" s="789"/>
      <c r="J82" s="789"/>
      <c r="K82" s="789"/>
      <c r="L82" s="789"/>
      <c r="M82" s="789"/>
      <c r="N82" s="789"/>
    </row>
    <row r="83" spans="1:14" s="727" customFormat="1" ht="15">
      <c r="B83" s="3267"/>
      <c r="C83" s="789"/>
      <c r="D83" s="789"/>
      <c r="E83" s="1594"/>
      <c r="F83" s="1594"/>
      <c r="G83" s="789"/>
      <c r="H83" s="789"/>
      <c r="I83" s="789"/>
      <c r="J83" s="789"/>
      <c r="K83" s="789"/>
      <c r="L83" s="789"/>
      <c r="M83" s="789"/>
      <c r="N83" s="789"/>
    </row>
    <row r="84" spans="1:14" s="727" customFormat="1" ht="15">
      <c r="B84" s="789"/>
      <c r="C84" s="789"/>
      <c r="D84" s="789"/>
      <c r="E84" s="1594"/>
      <c r="F84" s="1594"/>
      <c r="G84" s="789"/>
      <c r="H84" s="789"/>
      <c r="I84" s="789"/>
      <c r="J84" s="789"/>
      <c r="K84" s="789"/>
      <c r="L84" s="789"/>
      <c r="M84" s="789"/>
      <c r="N84" s="789"/>
    </row>
    <row r="85" spans="1:14" s="727" customFormat="1" ht="15">
      <c r="A85" s="727" t="s">
        <v>95</v>
      </c>
      <c r="B85" s="789"/>
      <c r="C85" s="3276">
        <v>120202</v>
      </c>
      <c r="D85" s="789"/>
      <c r="E85" s="789"/>
      <c r="F85" s="789"/>
      <c r="G85" s="789"/>
      <c r="H85" s="789"/>
      <c r="I85" s="789"/>
      <c r="J85" s="789"/>
      <c r="K85" s="789"/>
      <c r="L85" s="789"/>
      <c r="M85" s="789"/>
      <c r="N85" s="789"/>
    </row>
    <row r="86" spans="1:14" s="727" customFormat="1" ht="15">
      <c r="B86" s="789"/>
      <c r="C86" s="789"/>
      <c r="D86" s="789"/>
      <c r="E86" s="789"/>
      <c r="F86" s="789"/>
      <c r="G86" s="789"/>
      <c r="H86" s="789"/>
      <c r="I86" s="789"/>
      <c r="J86" s="789"/>
      <c r="K86" s="789"/>
      <c r="L86" s="789"/>
      <c r="M86" s="789"/>
      <c r="N86" s="789"/>
    </row>
    <row r="90" spans="1:14">
      <c r="A90" s="2864" t="s">
        <v>308</v>
      </c>
    </row>
    <row r="91" spans="1:14">
      <c r="A91" s="2864" t="s">
        <v>416</v>
      </c>
    </row>
    <row r="92" spans="1:14">
      <c r="A92" s="2864" t="s">
        <v>417</v>
      </c>
    </row>
    <row r="93" spans="1:14">
      <c r="A93" s="2864" t="s">
        <v>418</v>
      </c>
    </row>
    <row r="94" spans="1:14">
      <c r="A94" s="2864" t="s">
        <v>1133</v>
      </c>
    </row>
    <row r="95" spans="1:14">
      <c r="A95" s="2864" t="s">
        <v>325</v>
      </c>
    </row>
    <row r="96" spans="1:14">
      <c r="A96" s="2864" t="s">
        <v>419</v>
      </c>
    </row>
    <row r="97" spans="1:1">
      <c r="A97" s="2864" t="s">
        <v>420</v>
      </c>
    </row>
    <row r="98" spans="1:1">
      <c r="A98" s="2864" t="s">
        <v>421</v>
      </c>
    </row>
    <row r="99" spans="1:1">
      <c r="A99" s="2864" t="s">
        <v>322</v>
      </c>
    </row>
    <row r="100" spans="1:1">
      <c r="A100" s="2864" t="s">
        <v>323</v>
      </c>
    </row>
    <row r="101" spans="1:1">
      <c r="A101" s="2864" t="s">
        <v>320</v>
      </c>
    </row>
    <row r="102" spans="1:1">
      <c r="A102" s="2864" t="s">
        <v>422</v>
      </c>
    </row>
  </sheetData>
  <sheetProtection sheet="1" objects="1" scenarios="1"/>
  <dataConsolidate/>
  <mergeCells count="14">
    <mergeCell ref="F21:I21"/>
    <mergeCell ref="B24:F24"/>
    <mergeCell ref="B38:C38"/>
    <mergeCell ref="B30:C30"/>
    <mergeCell ref="G13:I13"/>
    <mergeCell ref="A27:C27"/>
    <mergeCell ref="B31:C31"/>
    <mergeCell ref="B32:C32"/>
    <mergeCell ref="A1:I1"/>
    <mergeCell ref="B13:C13"/>
    <mergeCell ref="B6:I6"/>
    <mergeCell ref="B7:I7"/>
    <mergeCell ref="B9:I9"/>
    <mergeCell ref="B11:I11"/>
  </mergeCells>
  <phoneticPr fontId="4" type="noConversion"/>
  <conditionalFormatting sqref="A35:C39">
    <cfRule type="expression" dxfId="54" priority="2" stopIfTrue="1">
      <formula>$C$36=0</formula>
    </cfRule>
  </conditionalFormatting>
  <conditionalFormatting sqref="F31:H34">
    <cfRule type="expression" dxfId="53" priority="14" stopIfTrue="1">
      <formula>$I$29=0</formula>
    </cfRule>
  </conditionalFormatting>
  <conditionalFormatting sqref="F27:I28">
    <cfRule type="expression" dxfId="52" priority="1" stopIfTrue="1">
      <formula>$I$28=0</formula>
    </cfRule>
  </conditionalFormatting>
  <conditionalFormatting sqref="F29:I30">
    <cfRule type="expression" dxfId="51" priority="6" stopIfTrue="1">
      <formula>$I$29=0</formula>
    </cfRule>
  </conditionalFormatting>
  <conditionalFormatting sqref="G40:J41">
    <cfRule type="expression" dxfId="50" priority="13" stopIfTrue="1">
      <formula>$B$24&lt;&gt;"Soc. Civil de profesionales"</formula>
    </cfRule>
  </conditionalFormatting>
  <dataValidations xWindow="263" yWindow="681" count="21">
    <dataValidation allowBlank="1" showInputMessage="1" showErrorMessage="1" prompt="Mes inicial de actividad._x000a__x000a_¡Debe ser congruente con el mes 0 del Préstamo!" sqref="F21" xr:uid="{00000000-0002-0000-0200-000000000000}"/>
    <dataValidation type="decimal" allowBlank="1" showInputMessage="1" showErrorMessage="1" prompt="Tipo (%) de retenciones a cuenta (entre 0% y 40%) Debe ser el 18% normalmente para la mayoría de los casos." sqref="C39" xr:uid="{00000000-0002-0000-0200-000001000000}">
      <formula1>0</formula1>
      <formula2>0.4</formula2>
    </dataValidation>
    <dataValidation type="decimal" allowBlank="1" showInputMessage="1" showErrorMessage="1" sqref="C36" xr:uid="{00000000-0002-0000-0200-000002000000}">
      <formula1>0</formula1>
      <formula2>0.4</formula2>
    </dataValidation>
    <dataValidation type="list" allowBlank="1" showInputMessage="1" showErrorMessage="1" sqref="B42" xr:uid="{00000000-0002-0000-0200-000003000000}">
      <formula1>"IVA,IGIC,IPSI"</formula1>
    </dataValidation>
    <dataValidation type="list" allowBlank="1" showInputMessage="1" showErrorMessage="1" sqref="B24" xr:uid="{00000000-0002-0000-0200-000004000000}">
      <formula1>$A$59:$A$76</formula1>
    </dataValidation>
    <dataValidation type="list" allowBlank="1" showInputMessage="1" showErrorMessage="1" sqref="C21" xr:uid="{00000000-0002-0000-0200-000005000000}">
      <formula1>"1,2,3,4,5,6,7,8,9,10,11,12"</formula1>
    </dataValidation>
    <dataValidation type="textLength" allowBlank="1" showInputMessage="1" showErrorMessage="1" sqref="B6:B7" xr:uid="{00000000-0002-0000-0200-000006000000}">
      <formula1>0</formula1>
      <formula2>50</formula2>
    </dataValidation>
    <dataValidation type="date" allowBlank="1" showInputMessage="1" showErrorMessage="1" sqref="B13:C13" xr:uid="{00000000-0002-0000-0200-000007000000}">
      <formula1>36161</formula1>
      <formula2>73415</formula2>
    </dataValidation>
    <dataValidation type="list" allowBlank="1" showInputMessage="1" showErrorMessage="1" sqref="A11" xr:uid="{00000000-0002-0000-0200-000008000000}">
      <formula1>"Promotor:,Promotora:,Promotores:,Promotoras:"</formula1>
    </dataValidation>
    <dataValidation type="list" allowBlank="1" showInputMessage="1" showErrorMessage="1" sqref="A1:I1" xr:uid="{00000000-0002-0000-0200-000009000000}">
      <formula1>$A$90:$A$102</formula1>
    </dataValidation>
    <dataValidation type="list" allowBlank="1" showInputMessage="1" showErrorMessage="1" prompt="Normalmente será el 21%, excepto que se esté exento, en recargo de equivalencia o IVA en módulos._x000a_En estos casos se debe incluir el IVA dentro de los precios de coste y de venta como inversión o gasto." sqref="C28:C29" xr:uid="{00000000-0002-0000-0200-00000A000000}">
      <formula1>$B$51:$B$54</formula1>
    </dataValidation>
    <dataValidation type="list" allowBlank="1" showInputMessage="1" showErrorMessage="1" sqref="A28" xr:uid="{00000000-0002-0000-0200-00000B000000}">
      <formula1>$B$43:$B$47</formula1>
    </dataValidation>
    <dataValidation type="list" allowBlank="1" showInputMessage="1" showErrorMessage="1" sqref="B16" xr:uid="{00000000-0002-0000-0200-00000C000000}">
      <formula1>"1,4,7,10"</formula1>
    </dataValidation>
    <dataValidation type="list" allowBlank="1" showInputMessage="1" showErrorMessage="1" sqref="B15" xr:uid="{00000000-0002-0000-0200-00000D000000}">
      <formula1>$B$40:$F$40</formula1>
    </dataValidation>
    <dataValidation type="list" allowBlank="1" showInputMessage="1" showErrorMessage="1" sqref="B18" xr:uid="{00000000-0002-0000-0200-00000E000000}">
      <formula1>"Ano 0,Ano 1"</formula1>
    </dataValidation>
    <dataValidation type="list" allowBlank="1" showInputMessage="1" showErrorMessage="1" sqref="B30:C30" xr:uid="{00000000-0002-0000-0200-00000F000000}">
      <formula1>"Trimestrais,Mensuais"</formula1>
    </dataValidation>
    <dataValidation type="list" allowBlank="1" showInputMessage="1" showErrorMessage="1" sqref="B31:C31" xr:uid="{00000000-0002-0000-0200-000010000000}">
      <formula1>"Devolução,Compensação"</formula1>
    </dataValidation>
    <dataValidation type="list" allowBlank="1" showInputMessage="1" showErrorMessage="1" sqref="B32:C32" xr:uid="{00000000-0002-0000-0200-000011000000}">
      <formula1>"Sim,Não"</formula1>
    </dataValidation>
    <dataValidation type="list" allowBlank="1" showInputMessage="1" showErrorMessage="1" sqref="B38:C38" xr:uid="{00000000-0002-0000-0200-000012000000}">
      <formula1>"Ano anterior,Ano atual"</formula1>
    </dataValidation>
    <dataValidation type="list" allowBlank="1" showInputMessage="1" showErrorMessage="1" sqref="G13:I13" xr:uid="{00000000-0002-0000-0200-000013000000}">
      <formula1>"Empresa existente,Projeto / Nova Empresa"</formula1>
    </dataValidation>
    <dataValidation type="list" allowBlank="1" showInputMessage="1" showErrorMessage="1" sqref="O19" xr:uid="{00000000-0002-0000-0200-000014000000}">
      <formula1>"aa,yy"</formula1>
    </dataValidation>
  </dataValidations>
  <pageMargins left="0.61" right="0.61" top="0.78740157480314965" bottom="0.95" header="0" footer="0.19685039370078741"/>
  <pageSetup paperSize="9" scale="80" orientation="portrait" horizontalDpi="300" verticalDpi="300" r:id="rId1"/>
  <headerFooter alignWithMargins="0">
    <oddFooter>&amp;C&amp;"Tahoma,Normal"&amp;10&amp;A</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64">
    <tabColor indexed="10"/>
    <pageSetUpPr fitToPage="1"/>
  </sheetPr>
  <dimension ref="A1:Z251"/>
  <sheetViews>
    <sheetView workbookViewId="0"/>
  </sheetViews>
  <sheetFormatPr baseColWidth="10" defaultColWidth="11" defaultRowHeight="12.75"/>
  <cols>
    <col min="1" max="1" width="24" style="239" customWidth="1"/>
    <col min="2" max="2" width="11.375" style="61" customWidth="1"/>
    <col min="3" max="4" width="11.375" style="62" customWidth="1"/>
    <col min="5" max="5" width="10.375" style="62" customWidth="1"/>
    <col min="6" max="14" width="11.375" style="62" customWidth="1"/>
    <col min="15" max="15" width="11.5" style="239" customWidth="1"/>
    <col min="16" max="16384" width="11" style="62"/>
  </cols>
  <sheetData>
    <row r="1" spans="1:15" ht="22.5">
      <c r="A1" s="68" t="str">
        <f>'Distr CV 0'!A1</f>
        <v>Previsões de produção: Distribuição dos custos variáveis das unidades vendidas no</v>
      </c>
      <c r="K1" s="2712" t="str">
        <f>Parametros!D$77</f>
        <v>Ano 2:  2028</v>
      </c>
      <c r="L1" s="432"/>
    </row>
    <row r="2" spans="1:15" ht="22.5">
      <c r="A2" s="68" t="str">
        <f>'Dados Básicos'!B9</f>
        <v>WWW, S.L.</v>
      </c>
    </row>
    <row r="3" spans="1:15" ht="14.25" customHeight="1">
      <c r="A3" s="60"/>
    </row>
    <row r="4" spans="1:15" ht="14.25" customHeight="1">
      <c r="A4" s="60"/>
    </row>
    <row r="5" spans="1:15" ht="14.25" customHeight="1">
      <c r="A5" s="60"/>
    </row>
    <row r="6" spans="1:15" ht="24" customHeight="1" thickBot="1">
      <c r="A6" s="433" t="str">
        <f>'Distr CV 0'!A6</f>
        <v>Previsão de unidades vendidas</v>
      </c>
    </row>
    <row r="7" spans="1:15" s="458" customFormat="1" ht="15.75" customHeight="1" thickBot="1">
      <c r="A7" s="457" t="str">
        <f>'Distr CV 0'!A7</f>
        <v>Vendas (Unidades)</v>
      </c>
      <c r="B7" s="455" t="str">
        <f t="array" ref="B7:M7">meses</f>
        <v>janeiro</v>
      </c>
      <c r="C7" s="451" t="str">
        <v>fevereiro</v>
      </c>
      <c r="D7" s="451" t="str">
        <v>março</v>
      </c>
      <c r="E7" s="451" t="str">
        <v>abril</v>
      </c>
      <c r="F7" s="451" t="str">
        <v>maio</v>
      </c>
      <c r="G7" s="451" t="str">
        <v>junho</v>
      </c>
      <c r="H7" s="451" t="str">
        <v>julho</v>
      </c>
      <c r="I7" s="451" t="str">
        <v>agosto</v>
      </c>
      <c r="J7" s="451" t="str">
        <v>setembro</v>
      </c>
      <c r="K7" s="451" t="str">
        <v>outubro</v>
      </c>
      <c r="L7" s="451" t="str">
        <v>novembro</v>
      </c>
      <c r="M7" s="452" t="str">
        <v>dezembro</v>
      </c>
      <c r="N7" s="449" t="str">
        <f>'Distr CV 0'!N7</f>
        <v>Totais</v>
      </c>
    </row>
    <row r="8" spans="1:15" ht="15.75" customHeight="1">
      <c r="A8" s="1996" t="str">
        <f t="array" ref="A8:A15">productos</f>
        <v>produto 1</v>
      </c>
      <c r="B8" s="589">
        <f t="array" aca="1" ref="B8:M15" ca="1">'Prev.Vendas 2'!B5:M12</f>
        <v>1050</v>
      </c>
      <c r="C8" s="590">
        <f ca="1"/>
        <v>1050</v>
      </c>
      <c r="D8" s="590">
        <f ca="1"/>
        <v>1050</v>
      </c>
      <c r="E8" s="590">
        <f ca="1"/>
        <v>1050</v>
      </c>
      <c r="F8" s="590">
        <f ca="1"/>
        <v>1050</v>
      </c>
      <c r="G8" s="590">
        <f ca="1"/>
        <v>1050</v>
      </c>
      <c r="H8" s="590">
        <f ca="1"/>
        <v>1050</v>
      </c>
      <c r="I8" s="590">
        <f ca="1"/>
        <v>1050</v>
      </c>
      <c r="J8" s="590">
        <f ca="1"/>
        <v>1050</v>
      </c>
      <c r="K8" s="590">
        <f ca="1"/>
        <v>1050</v>
      </c>
      <c r="L8" s="590">
        <f ca="1"/>
        <v>1050</v>
      </c>
      <c r="M8" s="612">
        <f ca="1"/>
        <v>1050</v>
      </c>
      <c r="N8" s="591">
        <f t="shared" ref="N8:N15" ca="1" si="0">SUM(B8:M8)</f>
        <v>12600</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c r="A12" s="1997" t="str">
        <v/>
      </c>
      <c r="B12" s="592">
        <f ca="1"/>
        <v>0</v>
      </c>
      <c r="C12" s="593">
        <f ca="1"/>
        <v>0</v>
      </c>
      <c r="D12" s="593">
        <f ca="1"/>
        <v>0</v>
      </c>
      <c r="E12" s="593">
        <f ca="1"/>
        <v>0</v>
      </c>
      <c r="F12" s="593">
        <f ca="1"/>
        <v>0</v>
      </c>
      <c r="G12" s="593">
        <f ca="1"/>
        <v>0</v>
      </c>
      <c r="H12" s="593">
        <f ca="1"/>
        <v>0</v>
      </c>
      <c r="I12" s="593">
        <f ca="1"/>
        <v>0</v>
      </c>
      <c r="J12" s="593">
        <f ca="1"/>
        <v>0</v>
      </c>
      <c r="K12" s="593">
        <f ca="1"/>
        <v>0</v>
      </c>
      <c r="L12" s="593">
        <f ca="1"/>
        <v>0</v>
      </c>
      <c r="M12" s="613">
        <f ca="1"/>
        <v>0</v>
      </c>
      <c r="N12" s="594">
        <f t="shared" ca="1" si="0"/>
        <v>0</v>
      </c>
      <c r="O12" s="62"/>
    </row>
    <row r="13" spans="1:15" ht="15.75" customHeight="1">
      <c r="A13" s="1997" t="str">
        <v/>
      </c>
      <c r="B13" s="592">
        <f ca="1"/>
        <v>0</v>
      </c>
      <c r="C13" s="593">
        <f ca="1"/>
        <v>0</v>
      </c>
      <c r="D13" s="593">
        <f ca="1"/>
        <v>0</v>
      </c>
      <c r="E13" s="593">
        <f ca="1"/>
        <v>0</v>
      </c>
      <c r="F13" s="593">
        <f ca="1"/>
        <v>0</v>
      </c>
      <c r="G13" s="593">
        <f ca="1"/>
        <v>0</v>
      </c>
      <c r="H13" s="593">
        <f ca="1"/>
        <v>0</v>
      </c>
      <c r="I13" s="593">
        <f ca="1"/>
        <v>0</v>
      </c>
      <c r="J13" s="593">
        <f ca="1"/>
        <v>0</v>
      </c>
      <c r="K13" s="593">
        <f ca="1"/>
        <v>0</v>
      </c>
      <c r="L13" s="593">
        <f ca="1"/>
        <v>0</v>
      </c>
      <c r="M13" s="613">
        <f ca="1"/>
        <v>0</v>
      </c>
      <c r="N13" s="594">
        <f t="shared" ca="1" si="0"/>
        <v>0</v>
      </c>
      <c r="O13" s="62"/>
    </row>
    <row r="14" spans="1:15" ht="15.75" customHeight="1">
      <c r="A14" s="1997" t="str">
        <v/>
      </c>
      <c r="B14" s="592">
        <f ca="1"/>
        <v>0</v>
      </c>
      <c r="C14" s="593">
        <f ca="1"/>
        <v>0</v>
      </c>
      <c r="D14" s="593">
        <f ca="1"/>
        <v>0</v>
      </c>
      <c r="E14" s="593">
        <f ca="1"/>
        <v>0</v>
      </c>
      <c r="F14" s="593">
        <f ca="1"/>
        <v>0</v>
      </c>
      <c r="G14" s="593">
        <f ca="1"/>
        <v>0</v>
      </c>
      <c r="H14" s="593">
        <f ca="1"/>
        <v>0</v>
      </c>
      <c r="I14" s="593">
        <f ca="1"/>
        <v>0</v>
      </c>
      <c r="J14" s="593">
        <f ca="1"/>
        <v>0</v>
      </c>
      <c r="K14" s="593">
        <f ca="1"/>
        <v>0</v>
      </c>
      <c r="L14" s="593">
        <f ca="1"/>
        <v>0</v>
      </c>
      <c r="M14" s="613">
        <f ca="1"/>
        <v>0</v>
      </c>
      <c r="N14" s="594">
        <f t="shared" ca="1" si="0"/>
        <v>0</v>
      </c>
      <c r="O14" s="62"/>
    </row>
    <row r="15" spans="1:15" ht="15.75" customHeight="1" thickBot="1">
      <c r="A15" s="1998" t="str">
        <v/>
      </c>
      <c r="B15" s="595">
        <f ca="1"/>
        <v>0</v>
      </c>
      <c r="C15" s="596">
        <f ca="1"/>
        <v>0</v>
      </c>
      <c r="D15" s="596">
        <f ca="1"/>
        <v>0</v>
      </c>
      <c r="E15" s="596">
        <f ca="1"/>
        <v>0</v>
      </c>
      <c r="F15" s="596">
        <f ca="1"/>
        <v>0</v>
      </c>
      <c r="G15" s="596">
        <f ca="1"/>
        <v>0</v>
      </c>
      <c r="H15" s="596">
        <f ca="1"/>
        <v>0</v>
      </c>
      <c r="I15" s="596">
        <f ca="1"/>
        <v>0</v>
      </c>
      <c r="J15" s="596">
        <f ca="1"/>
        <v>0</v>
      </c>
      <c r="K15" s="596">
        <f ca="1"/>
        <v>0</v>
      </c>
      <c r="L15" s="596">
        <f ca="1"/>
        <v>0</v>
      </c>
      <c r="M15" s="614">
        <f ca="1"/>
        <v>0</v>
      </c>
      <c r="N15" s="597">
        <f t="shared" ca="1" si="0"/>
        <v>0</v>
      </c>
      <c r="O15" s="62"/>
    </row>
    <row r="16" spans="1:15" ht="15">
      <c r="A16" s="73"/>
    </row>
    <row r="17" spans="1:15" ht="15">
      <c r="A17" s="220"/>
    </row>
    <row r="18" spans="1:15" ht="18.75" thickBot="1">
      <c r="A18" s="1993" t="str">
        <f>'Distr CV 0'!A18</f>
        <v>Previsão de custos de produção das unidades vendidas</v>
      </c>
      <c r="G18" s="2741" t="str">
        <f>$K$1</f>
        <v>Ano 2:  2028</v>
      </c>
      <c r="I18" s="1993" t="str">
        <f>'Distr CV 0'!I18</f>
        <v>IVA NÃO incluido</v>
      </c>
    </row>
    <row r="19" spans="1:15" s="456" customFormat="1" ht="15.75" customHeight="1" thickBot="1">
      <c r="A19" s="457" t="str">
        <f>'Distr CV 0'!A19</f>
        <v>Custos produção</v>
      </c>
      <c r="B19" s="455" t="str">
        <f t="array" ref="B19:M19">meses</f>
        <v>janeiro</v>
      </c>
      <c r="C19" s="451" t="str">
        <v>fevereiro</v>
      </c>
      <c r="D19" s="451" t="str">
        <v>março</v>
      </c>
      <c r="E19" s="451" t="str">
        <v>abril</v>
      </c>
      <c r="F19" s="451" t="str">
        <v>maio</v>
      </c>
      <c r="G19" s="451" t="str">
        <v>junho</v>
      </c>
      <c r="H19" s="451" t="str">
        <v>julho</v>
      </c>
      <c r="I19" s="451" t="str">
        <v>agosto</v>
      </c>
      <c r="J19" s="451" t="str">
        <v>setembro</v>
      </c>
      <c r="K19" s="451" t="str">
        <v>outubro</v>
      </c>
      <c r="L19" s="451" t="str">
        <v>novembro</v>
      </c>
      <c r="M19" s="452" t="str">
        <v>dezembro</v>
      </c>
      <c r="N19" s="449" t="str">
        <f>N$7</f>
        <v>Totais</v>
      </c>
    </row>
    <row r="20" spans="1:15" ht="15.75" customHeight="1">
      <c r="A20" s="1996" t="str">
        <f t="array" ref="A20:A27">productos</f>
        <v>produto 1</v>
      </c>
      <c r="B20" s="598">
        <f t="array" aca="1" ref="B20:M27" ca="1">B8:M15*'Preços-CV'!$F19:$F26</f>
        <v>155.95230000000001</v>
      </c>
      <c r="C20" s="599">
        <f ca="1"/>
        <v>155.95230000000001</v>
      </c>
      <c r="D20" s="599">
        <f ca="1"/>
        <v>155.95230000000001</v>
      </c>
      <c r="E20" s="599">
        <f ca="1"/>
        <v>155.95230000000001</v>
      </c>
      <c r="F20" s="599">
        <f ca="1"/>
        <v>155.95230000000001</v>
      </c>
      <c r="G20" s="599">
        <f ca="1"/>
        <v>155.95230000000001</v>
      </c>
      <c r="H20" s="599">
        <f ca="1"/>
        <v>155.95230000000001</v>
      </c>
      <c r="I20" s="599">
        <f ca="1"/>
        <v>155.95230000000001</v>
      </c>
      <c r="J20" s="599">
        <f ca="1"/>
        <v>155.95230000000001</v>
      </c>
      <c r="K20" s="599">
        <f ca="1"/>
        <v>155.95230000000001</v>
      </c>
      <c r="L20" s="599">
        <f ca="1"/>
        <v>155.95230000000001</v>
      </c>
      <c r="M20" s="609">
        <f ca="1"/>
        <v>155.95230000000001</v>
      </c>
      <c r="N20" s="591">
        <f t="shared" ref="N20:N39" ca="1" si="1">SUM(B20:M20)</f>
        <v>1871.4275999999998</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c r="A24" s="1997" t="str">
        <v/>
      </c>
      <c r="B24" s="600">
        <f ca="1"/>
        <v>0</v>
      </c>
      <c r="C24" s="601">
        <f ca="1"/>
        <v>0</v>
      </c>
      <c r="D24" s="601">
        <f ca="1"/>
        <v>0</v>
      </c>
      <c r="E24" s="601">
        <f ca="1"/>
        <v>0</v>
      </c>
      <c r="F24" s="601">
        <f ca="1"/>
        <v>0</v>
      </c>
      <c r="G24" s="601">
        <f ca="1"/>
        <v>0</v>
      </c>
      <c r="H24" s="601">
        <f ca="1"/>
        <v>0</v>
      </c>
      <c r="I24" s="601">
        <f ca="1"/>
        <v>0</v>
      </c>
      <c r="J24" s="601">
        <f ca="1"/>
        <v>0</v>
      </c>
      <c r="K24" s="601">
        <f ca="1"/>
        <v>0</v>
      </c>
      <c r="L24" s="601">
        <f ca="1"/>
        <v>0</v>
      </c>
      <c r="M24" s="610">
        <f ca="1"/>
        <v>0</v>
      </c>
      <c r="N24" s="594">
        <f t="shared" ca="1" si="1"/>
        <v>0</v>
      </c>
      <c r="O24" s="62"/>
    </row>
    <row r="25" spans="1:15" ht="15.75" customHeight="1">
      <c r="A25" s="1997" t="str">
        <v/>
      </c>
      <c r="B25" s="600">
        <f ca="1"/>
        <v>0</v>
      </c>
      <c r="C25" s="601">
        <f ca="1"/>
        <v>0</v>
      </c>
      <c r="D25" s="601">
        <f ca="1"/>
        <v>0</v>
      </c>
      <c r="E25" s="601">
        <f ca="1"/>
        <v>0</v>
      </c>
      <c r="F25" s="601">
        <f ca="1"/>
        <v>0</v>
      </c>
      <c r="G25" s="601">
        <f ca="1"/>
        <v>0</v>
      </c>
      <c r="H25" s="601">
        <f ca="1"/>
        <v>0</v>
      </c>
      <c r="I25" s="601">
        <f ca="1"/>
        <v>0</v>
      </c>
      <c r="J25" s="601">
        <f ca="1"/>
        <v>0</v>
      </c>
      <c r="K25" s="601">
        <f ca="1"/>
        <v>0</v>
      </c>
      <c r="L25" s="601">
        <f ca="1"/>
        <v>0</v>
      </c>
      <c r="M25" s="610">
        <f ca="1"/>
        <v>0</v>
      </c>
      <c r="N25" s="594">
        <f t="shared" ca="1" si="1"/>
        <v>0</v>
      </c>
      <c r="O25" s="62"/>
    </row>
    <row r="26" spans="1:15" ht="15.75" customHeight="1">
      <c r="A26" s="1997" t="str">
        <v/>
      </c>
      <c r="B26" s="600">
        <f ca="1"/>
        <v>0</v>
      </c>
      <c r="C26" s="601">
        <f ca="1"/>
        <v>0</v>
      </c>
      <c r="D26" s="601">
        <f ca="1"/>
        <v>0</v>
      </c>
      <c r="E26" s="601">
        <f ca="1"/>
        <v>0</v>
      </c>
      <c r="F26" s="601">
        <f ca="1"/>
        <v>0</v>
      </c>
      <c r="G26" s="601">
        <f ca="1"/>
        <v>0</v>
      </c>
      <c r="H26" s="601">
        <f ca="1"/>
        <v>0</v>
      </c>
      <c r="I26" s="601">
        <f ca="1"/>
        <v>0</v>
      </c>
      <c r="J26" s="601">
        <f ca="1"/>
        <v>0</v>
      </c>
      <c r="K26" s="601">
        <f ca="1"/>
        <v>0</v>
      </c>
      <c r="L26" s="601">
        <f ca="1"/>
        <v>0</v>
      </c>
      <c r="M26" s="610">
        <f ca="1"/>
        <v>0</v>
      </c>
      <c r="N26" s="594">
        <f t="shared" ca="1" si="1"/>
        <v>0</v>
      </c>
      <c r="O26" s="62"/>
    </row>
    <row r="27" spans="1:15" ht="15.75" customHeight="1" thickBot="1">
      <c r="A27" s="1998" t="str">
        <v/>
      </c>
      <c r="B27" s="602">
        <f ca="1"/>
        <v>0</v>
      </c>
      <c r="C27" s="603">
        <f ca="1"/>
        <v>0</v>
      </c>
      <c r="D27" s="603">
        <f ca="1"/>
        <v>0</v>
      </c>
      <c r="E27" s="603">
        <f ca="1"/>
        <v>0</v>
      </c>
      <c r="F27" s="603">
        <f ca="1"/>
        <v>0</v>
      </c>
      <c r="G27" s="603">
        <f ca="1"/>
        <v>0</v>
      </c>
      <c r="H27" s="603">
        <f ca="1"/>
        <v>0</v>
      </c>
      <c r="I27" s="603">
        <f ca="1"/>
        <v>0</v>
      </c>
      <c r="J27" s="603">
        <f ca="1"/>
        <v>0</v>
      </c>
      <c r="K27" s="603">
        <f ca="1"/>
        <v>0</v>
      </c>
      <c r="L27" s="603">
        <f ca="1"/>
        <v>0</v>
      </c>
      <c r="M27" s="611">
        <f ca="1"/>
        <v>0</v>
      </c>
      <c r="N27" s="604">
        <f t="shared" ca="1" si="1"/>
        <v>0</v>
      </c>
      <c r="O27" s="62"/>
    </row>
    <row r="28" spans="1:15" ht="15.75" customHeight="1" thickBot="1">
      <c r="A28" s="105" t="str">
        <f>'Distr CV 0'!A28</f>
        <v>Totais</v>
      </c>
      <c r="B28" s="606">
        <f t="shared" ref="B28:M28" ca="1" si="2">SUM(B20:B27)</f>
        <v>155.95230000000001</v>
      </c>
      <c r="C28" s="607">
        <f t="shared" ca="1" si="2"/>
        <v>155.95230000000001</v>
      </c>
      <c r="D28" s="607">
        <f t="shared" ca="1" si="2"/>
        <v>155.95230000000001</v>
      </c>
      <c r="E28" s="607">
        <f t="shared" ca="1" si="2"/>
        <v>155.95230000000001</v>
      </c>
      <c r="F28" s="607">
        <f t="shared" ca="1" si="2"/>
        <v>155.95230000000001</v>
      </c>
      <c r="G28" s="607">
        <f t="shared" ca="1" si="2"/>
        <v>155.95230000000001</v>
      </c>
      <c r="H28" s="607">
        <f t="shared" ca="1" si="2"/>
        <v>155.95230000000001</v>
      </c>
      <c r="I28" s="607">
        <f t="shared" ca="1" si="2"/>
        <v>155.95230000000001</v>
      </c>
      <c r="J28" s="607">
        <f t="shared" ca="1" si="2"/>
        <v>155.95230000000001</v>
      </c>
      <c r="K28" s="607">
        <f t="shared" ca="1" si="2"/>
        <v>155.95230000000001</v>
      </c>
      <c r="L28" s="607">
        <f t="shared" ca="1" si="2"/>
        <v>155.95230000000001</v>
      </c>
      <c r="M28" s="608">
        <f t="shared" ca="1" si="2"/>
        <v>155.95230000000001</v>
      </c>
      <c r="N28" s="605">
        <f t="shared" ca="1" si="1"/>
        <v>1871.4275999999998</v>
      </c>
      <c r="O28" s="62"/>
    </row>
    <row r="29" spans="1:15" ht="15">
      <c r="A29" s="220"/>
    </row>
    <row r="30" spans="1:15" ht="15.75" thickBot="1">
      <c r="A30" s="220"/>
    </row>
    <row r="31" spans="1:15" ht="19.5" customHeight="1" thickBot="1">
      <c r="A31" s="457" t="str">
        <f>'Distr CV 0'!A31</f>
        <v>IVA sop. Custos produç.</v>
      </c>
      <c r="B31" s="455"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tr">
        <f>N$7</f>
        <v>Totais</v>
      </c>
    </row>
    <row r="32" spans="1:15" ht="15.75" customHeight="1">
      <c r="A32" s="1996" t="str">
        <f t="array" ref="A32:A39">productos</f>
        <v>produto 1</v>
      </c>
      <c r="B32" s="598">
        <f t="array" aca="1" ref="B32:M39" ca="1">B20:M27*Parametros!$F24:$F31</f>
        <v>32.749983</v>
      </c>
      <c r="C32" s="599">
        <f ca="1"/>
        <v>32.749983</v>
      </c>
      <c r="D32" s="599">
        <f ca="1"/>
        <v>32.749983</v>
      </c>
      <c r="E32" s="599">
        <f ca="1"/>
        <v>32.749983</v>
      </c>
      <c r="F32" s="599">
        <f ca="1"/>
        <v>32.749983</v>
      </c>
      <c r="G32" s="599">
        <f ca="1"/>
        <v>32.749983</v>
      </c>
      <c r="H32" s="599">
        <f ca="1"/>
        <v>32.749983</v>
      </c>
      <c r="I32" s="599">
        <f ca="1"/>
        <v>32.749983</v>
      </c>
      <c r="J32" s="599">
        <f ca="1"/>
        <v>32.749983</v>
      </c>
      <c r="K32" s="599">
        <f ca="1"/>
        <v>32.749983</v>
      </c>
      <c r="L32" s="599">
        <f ca="1"/>
        <v>32.749983</v>
      </c>
      <c r="M32" s="609">
        <f ca="1"/>
        <v>32.749983</v>
      </c>
      <c r="N32" s="591">
        <f t="shared" ca="1" si="1"/>
        <v>392.99979599999989</v>
      </c>
      <c r="O32" s="62"/>
    </row>
    <row r="33" spans="1:15" ht="15.75" customHeight="1">
      <c r="A33" s="1997" t="str">
        <v/>
      </c>
      <c r="B33" s="600">
        <f ca="1"/>
        <v>0</v>
      </c>
      <c r="C33" s="601">
        <f ca="1"/>
        <v>0</v>
      </c>
      <c r="D33" s="601">
        <f ca="1"/>
        <v>0</v>
      </c>
      <c r="E33" s="601">
        <f ca="1"/>
        <v>0</v>
      </c>
      <c r="F33" s="601">
        <f ca="1"/>
        <v>0</v>
      </c>
      <c r="G33" s="601">
        <f ca="1"/>
        <v>0</v>
      </c>
      <c r="H33" s="601">
        <f ca="1"/>
        <v>0</v>
      </c>
      <c r="I33" s="601">
        <f ca="1"/>
        <v>0</v>
      </c>
      <c r="J33" s="601">
        <f ca="1"/>
        <v>0</v>
      </c>
      <c r="K33" s="601">
        <f ca="1"/>
        <v>0</v>
      </c>
      <c r="L33" s="601">
        <f ca="1"/>
        <v>0</v>
      </c>
      <c r="M33" s="610">
        <f ca="1"/>
        <v>0</v>
      </c>
      <c r="N33" s="594">
        <f t="shared" ca="1" si="1"/>
        <v>0</v>
      </c>
      <c r="O33" s="62"/>
    </row>
    <row r="34" spans="1:15" ht="15.75" customHeight="1">
      <c r="A34" s="1997" t="str">
        <v/>
      </c>
      <c r="B34" s="600">
        <f ca="1"/>
        <v>0</v>
      </c>
      <c r="C34" s="601">
        <f ca="1"/>
        <v>0</v>
      </c>
      <c r="D34" s="601">
        <f ca="1"/>
        <v>0</v>
      </c>
      <c r="E34" s="601">
        <f ca="1"/>
        <v>0</v>
      </c>
      <c r="F34" s="601">
        <f ca="1"/>
        <v>0</v>
      </c>
      <c r="G34" s="601">
        <f ca="1"/>
        <v>0</v>
      </c>
      <c r="H34" s="601">
        <f ca="1"/>
        <v>0</v>
      </c>
      <c r="I34" s="601">
        <f ca="1"/>
        <v>0</v>
      </c>
      <c r="J34" s="601">
        <f ca="1"/>
        <v>0</v>
      </c>
      <c r="K34" s="601">
        <f ca="1"/>
        <v>0</v>
      </c>
      <c r="L34" s="601">
        <f ca="1"/>
        <v>0</v>
      </c>
      <c r="M34" s="610">
        <f ca="1"/>
        <v>0</v>
      </c>
      <c r="N34" s="594">
        <f t="shared" ca="1" si="1"/>
        <v>0</v>
      </c>
      <c r="O34" s="62"/>
    </row>
    <row r="35" spans="1:15" ht="15.75" customHeight="1">
      <c r="A35" s="1997" t="str">
        <v/>
      </c>
      <c r="B35" s="600">
        <f ca="1"/>
        <v>0</v>
      </c>
      <c r="C35" s="601">
        <f ca="1"/>
        <v>0</v>
      </c>
      <c r="D35" s="601">
        <f ca="1"/>
        <v>0</v>
      </c>
      <c r="E35" s="601">
        <f ca="1"/>
        <v>0</v>
      </c>
      <c r="F35" s="601">
        <f ca="1"/>
        <v>0</v>
      </c>
      <c r="G35" s="601">
        <f ca="1"/>
        <v>0</v>
      </c>
      <c r="H35" s="601">
        <f ca="1"/>
        <v>0</v>
      </c>
      <c r="I35" s="601">
        <f ca="1"/>
        <v>0</v>
      </c>
      <c r="J35" s="601">
        <f ca="1"/>
        <v>0</v>
      </c>
      <c r="K35" s="601">
        <f ca="1"/>
        <v>0</v>
      </c>
      <c r="L35" s="601">
        <f ca="1"/>
        <v>0</v>
      </c>
      <c r="M35" s="610">
        <f ca="1"/>
        <v>0</v>
      </c>
      <c r="N35" s="594">
        <f t="shared" ca="1" si="1"/>
        <v>0</v>
      </c>
      <c r="O35" s="62"/>
    </row>
    <row r="36" spans="1:15" ht="15.75" customHeight="1">
      <c r="A36" s="1997" t="str">
        <v/>
      </c>
      <c r="B36" s="600">
        <f ca="1"/>
        <v>0</v>
      </c>
      <c r="C36" s="601">
        <f ca="1"/>
        <v>0</v>
      </c>
      <c r="D36" s="601">
        <f ca="1"/>
        <v>0</v>
      </c>
      <c r="E36" s="601">
        <f ca="1"/>
        <v>0</v>
      </c>
      <c r="F36" s="601">
        <f ca="1"/>
        <v>0</v>
      </c>
      <c r="G36" s="601">
        <f ca="1"/>
        <v>0</v>
      </c>
      <c r="H36" s="601">
        <f ca="1"/>
        <v>0</v>
      </c>
      <c r="I36" s="601">
        <f ca="1"/>
        <v>0</v>
      </c>
      <c r="J36" s="601">
        <f ca="1"/>
        <v>0</v>
      </c>
      <c r="K36" s="601">
        <f ca="1"/>
        <v>0</v>
      </c>
      <c r="L36" s="601">
        <f ca="1"/>
        <v>0</v>
      </c>
      <c r="M36" s="610">
        <f ca="1"/>
        <v>0</v>
      </c>
      <c r="N36" s="594">
        <f t="shared" ca="1" si="1"/>
        <v>0</v>
      </c>
      <c r="O36" s="62"/>
    </row>
    <row r="37" spans="1:15" ht="15.75" customHeight="1">
      <c r="A37" s="1997" t="str">
        <v/>
      </c>
      <c r="B37" s="600">
        <f ca="1"/>
        <v>0</v>
      </c>
      <c r="C37" s="601">
        <f ca="1"/>
        <v>0</v>
      </c>
      <c r="D37" s="601">
        <f ca="1"/>
        <v>0</v>
      </c>
      <c r="E37" s="601">
        <f ca="1"/>
        <v>0</v>
      </c>
      <c r="F37" s="601">
        <f ca="1"/>
        <v>0</v>
      </c>
      <c r="G37" s="601">
        <f ca="1"/>
        <v>0</v>
      </c>
      <c r="H37" s="601">
        <f ca="1"/>
        <v>0</v>
      </c>
      <c r="I37" s="601">
        <f ca="1"/>
        <v>0</v>
      </c>
      <c r="J37" s="601">
        <f ca="1"/>
        <v>0</v>
      </c>
      <c r="K37" s="601">
        <f ca="1"/>
        <v>0</v>
      </c>
      <c r="L37" s="601">
        <f ca="1"/>
        <v>0</v>
      </c>
      <c r="M37" s="610">
        <f ca="1"/>
        <v>0</v>
      </c>
      <c r="N37" s="594">
        <f t="shared" ca="1" si="1"/>
        <v>0</v>
      </c>
      <c r="O37" s="62"/>
    </row>
    <row r="38" spans="1:15" ht="15.75" customHeight="1">
      <c r="A38" s="1997" t="str">
        <v/>
      </c>
      <c r="B38" s="600">
        <f ca="1"/>
        <v>0</v>
      </c>
      <c r="C38" s="601">
        <f ca="1"/>
        <v>0</v>
      </c>
      <c r="D38" s="601">
        <f ca="1"/>
        <v>0</v>
      </c>
      <c r="E38" s="601">
        <f ca="1"/>
        <v>0</v>
      </c>
      <c r="F38" s="601">
        <f ca="1"/>
        <v>0</v>
      </c>
      <c r="G38" s="601">
        <f ca="1"/>
        <v>0</v>
      </c>
      <c r="H38" s="601">
        <f ca="1"/>
        <v>0</v>
      </c>
      <c r="I38" s="601">
        <f ca="1"/>
        <v>0</v>
      </c>
      <c r="J38" s="601">
        <f ca="1"/>
        <v>0</v>
      </c>
      <c r="K38" s="601">
        <f ca="1"/>
        <v>0</v>
      </c>
      <c r="L38" s="601">
        <f ca="1"/>
        <v>0</v>
      </c>
      <c r="M38" s="610">
        <f ca="1"/>
        <v>0</v>
      </c>
      <c r="N38" s="594">
        <f t="shared" ca="1" si="1"/>
        <v>0</v>
      </c>
      <c r="O38" s="62"/>
    </row>
    <row r="39" spans="1:15" ht="15.75" customHeight="1" thickBot="1">
      <c r="A39" s="1998" t="str">
        <v/>
      </c>
      <c r="B39" s="602">
        <f ca="1"/>
        <v>0</v>
      </c>
      <c r="C39" s="603">
        <f ca="1"/>
        <v>0</v>
      </c>
      <c r="D39" s="603">
        <f ca="1"/>
        <v>0</v>
      </c>
      <c r="E39" s="603">
        <f ca="1"/>
        <v>0</v>
      </c>
      <c r="F39" s="603">
        <f ca="1"/>
        <v>0</v>
      </c>
      <c r="G39" s="603">
        <f ca="1"/>
        <v>0</v>
      </c>
      <c r="H39" s="603">
        <f ca="1"/>
        <v>0</v>
      </c>
      <c r="I39" s="603">
        <f ca="1"/>
        <v>0</v>
      </c>
      <c r="J39" s="603">
        <f ca="1"/>
        <v>0</v>
      </c>
      <c r="K39" s="603">
        <f ca="1"/>
        <v>0</v>
      </c>
      <c r="L39" s="603">
        <f ca="1"/>
        <v>0</v>
      </c>
      <c r="M39" s="611">
        <f ca="1"/>
        <v>0</v>
      </c>
      <c r="N39" s="604">
        <f t="shared" ca="1" si="1"/>
        <v>0</v>
      </c>
      <c r="O39" s="62"/>
    </row>
    <row r="40" spans="1:15" ht="15.75" customHeight="1" thickBot="1">
      <c r="A40" s="105" t="str">
        <f>A$28</f>
        <v>Totais</v>
      </c>
      <c r="B40" s="606">
        <f t="shared" ref="B40:M40" ca="1" si="3">SUM(B32:B39)</f>
        <v>32.749983</v>
      </c>
      <c r="C40" s="607">
        <f t="shared" ca="1" si="3"/>
        <v>32.749983</v>
      </c>
      <c r="D40" s="607">
        <f t="shared" ca="1" si="3"/>
        <v>32.749983</v>
      </c>
      <c r="E40" s="607">
        <f t="shared" ca="1" si="3"/>
        <v>32.749983</v>
      </c>
      <c r="F40" s="607">
        <f t="shared" ca="1" si="3"/>
        <v>32.749983</v>
      </c>
      <c r="G40" s="607">
        <f t="shared" ca="1" si="3"/>
        <v>32.749983</v>
      </c>
      <c r="H40" s="607">
        <f t="shared" ca="1" si="3"/>
        <v>32.749983</v>
      </c>
      <c r="I40" s="607">
        <f t="shared" ca="1" si="3"/>
        <v>32.749983</v>
      </c>
      <c r="J40" s="607">
        <f t="shared" ca="1" si="3"/>
        <v>32.749983</v>
      </c>
      <c r="K40" s="607">
        <f t="shared" ca="1" si="3"/>
        <v>32.749983</v>
      </c>
      <c r="L40" s="607">
        <f t="shared" ca="1" si="3"/>
        <v>32.749983</v>
      </c>
      <c r="M40" s="608">
        <f t="shared" ca="1" si="3"/>
        <v>32.749983</v>
      </c>
      <c r="N40" s="605">
        <f ca="1">SUM(B40:M40)</f>
        <v>392.99979599999989</v>
      </c>
      <c r="O40" s="62"/>
    </row>
    <row r="41" spans="1:15" ht="15">
      <c r="A41" s="220"/>
      <c r="B41" s="62" t="str">
        <f>'Distr CV 0'!B41</f>
        <v>Não faz sentido calcular o IVA dos CV no mes no que fosse imputado (mes de venda) senão no mes no que se produzira a compra</v>
      </c>
    </row>
    <row r="42" spans="1:15" ht="15">
      <c r="A42" s="220"/>
    </row>
    <row r="43" spans="1:15" ht="15">
      <c r="A43" s="220"/>
    </row>
    <row r="44" spans="1:15" ht="18.75" thickBot="1">
      <c r="A44" s="1993" t="str">
        <f>'Distr CV 0'!A44</f>
        <v>Custos de produção no ano</v>
      </c>
      <c r="G44" s="2741" t="str">
        <f>$K$1</f>
        <v>Ano 2:  2028</v>
      </c>
      <c r="I44" s="1993" t="str">
        <f>'Distr CV 0'!I44</f>
        <v>IVA NÃO incluido</v>
      </c>
    </row>
    <row r="45" spans="1:15" s="456" customFormat="1" ht="15.75" customHeight="1" thickBot="1">
      <c r="A45" s="457" t="str">
        <f>'Distr CV 0'!A45</f>
        <v>Custos produção</v>
      </c>
      <c r="B45" s="455" t="str">
        <f t="array" ref="B45:M45">meses</f>
        <v>janeiro</v>
      </c>
      <c r="C45" s="451" t="str">
        <v>fevereiro</v>
      </c>
      <c r="D45" s="451" t="str">
        <v>março</v>
      </c>
      <c r="E45" s="451" t="str">
        <v>abril</v>
      </c>
      <c r="F45" s="451" t="str">
        <v>maio</v>
      </c>
      <c r="G45" s="451" t="str">
        <v>junho</v>
      </c>
      <c r="H45" s="451" t="str">
        <v>julho</v>
      </c>
      <c r="I45" s="451" t="str">
        <v>agosto</v>
      </c>
      <c r="J45" s="451" t="str">
        <v>setembro</v>
      </c>
      <c r="K45" s="451" t="str">
        <v>outubro</v>
      </c>
      <c r="L45" s="451" t="str">
        <v>novembro</v>
      </c>
      <c r="M45" s="452" t="str">
        <v>dezembro</v>
      </c>
      <c r="N45" s="449" t="str">
        <f>N$7</f>
        <v>Totais</v>
      </c>
    </row>
    <row r="46" spans="1:15" ht="15.75" customHeight="1">
      <c r="A46" s="1996" t="str">
        <f t="array" ref="A46:A53">productos</f>
        <v>produto 1</v>
      </c>
      <c r="B46" s="598">
        <f t="array" aca="1" ref="B46:M46" ca="1">N124:Y124</f>
        <v>155.95230000000001</v>
      </c>
      <c r="C46" s="599">
        <f ca="1"/>
        <v>155.95230000000001</v>
      </c>
      <c r="D46" s="599">
        <f ca="1"/>
        <v>155.95230000000001</v>
      </c>
      <c r="E46" s="599">
        <f ca="1"/>
        <v>155.95230000000001</v>
      </c>
      <c r="F46" s="599">
        <f ca="1"/>
        <v>155.95230000000001</v>
      </c>
      <c r="G46" s="599">
        <f ca="1"/>
        <v>155.95230000000001</v>
      </c>
      <c r="H46" s="599">
        <f ca="1"/>
        <v>155.95230000000001</v>
      </c>
      <c r="I46" s="599">
        <f ca="1"/>
        <v>155.95230000000001</v>
      </c>
      <c r="J46" s="599">
        <f ca="1"/>
        <v>155.95230000000001</v>
      </c>
      <c r="K46" s="599">
        <f ca="1"/>
        <v>155.95230000000001</v>
      </c>
      <c r="L46" s="599">
        <f ca="1"/>
        <v>155.95230000000001</v>
      </c>
      <c r="M46" s="609">
        <f ca="1"/>
        <v>155.95230000000001</v>
      </c>
      <c r="N46" s="591">
        <f t="shared" ref="N46:N54" ca="1" si="4">SUM(B46:M46)</f>
        <v>1871.4275999999998</v>
      </c>
      <c r="O46" s="62"/>
    </row>
    <row r="47" spans="1:15" ht="15.75" customHeight="1">
      <c r="A47" s="1997" t="str">
        <v/>
      </c>
      <c r="B47" s="600">
        <f t="array" aca="1" ref="B47:M47" ca="1">N142:Y142</f>
        <v>0</v>
      </c>
      <c r="C47" s="601">
        <f ca="1"/>
        <v>0</v>
      </c>
      <c r="D47" s="601">
        <f ca="1"/>
        <v>0</v>
      </c>
      <c r="E47" s="601">
        <f ca="1"/>
        <v>0</v>
      </c>
      <c r="F47" s="601">
        <f ca="1"/>
        <v>0</v>
      </c>
      <c r="G47" s="601">
        <f ca="1"/>
        <v>0</v>
      </c>
      <c r="H47" s="601">
        <f ca="1"/>
        <v>0</v>
      </c>
      <c r="I47" s="601">
        <f ca="1"/>
        <v>0</v>
      </c>
      <c r="J47" s="601">
        <f ca="1"/>
        <v>0</v>
      </c>
      <c r="K47" s="601">
        <f ca="1"/>
        <v>0</v>
      </c>
      <c r="L47" s="601">
        <f ca="1"/>
        <v>0</v>
      </c>
      <c r="M47" s="610">
        <f ca="1"/>
        <v>0</v>
      </c>
      <c r="N47" s="594">
        <f t="shared" ca="1" si="4"/>
        <v>0</v>
      </c>
      <c r="O47" s="62"/>
    </row>
    <row r="48" spans="1:15" ht="15.75" customHeight="1">
      <c r="A48" s="1997" t="str">
        <v/>
      </c>
      <c r="B48" s="600">
        <f t="array" aca="1" ref="B48:M48" ca="1">N160:Y160</f>
        <v>0</v>
      </c>
      <c r="C48" s="601">
        <f ca="1"/>
        <v>0</v>
      </c>
      <c r="D48" s="601">
        <f ca="1"/>
        <v>0</v>
      </c>
      <c r="E48" s="601">
        <f ca="1"/>
        <v>0</v>
      </c>
      <c r="F48" s="601">
        <f ca="1"/>
        <v>0</v>
      </c>
      <c r="G48" s="601">
        <f ca="1"/>
        <v>0</v>
      </c>
      <c r="H48" s="601">
        <f ca="1"/>
        <v>0</v>
      </c>
      <c r="I48" s="601">
        <f ca="1"/>
        <v>0</v>
      </c>
      <c r="J48" s="601">
        <f ca="1"/>
        <v>0</v>
      </c>
      <c r="K48" s="601">
        <f ca="1"/>
        <v>0</v>
      </c>
      <c r="L48" s="601">
        <f ca="1"/>
        <v>0</v>
      </c>
      <c r="M48" s="610">
        <f ca="1"/>
        <v>0</v>
      </c>
      <c r="N48" s="594">
        <f t="shared" ca="1" si="4"/>
        <v>0</v>
      </c>
      <c r="O48" s="62"/>
    </row>
    <row r="49" spans="1:15" ht="15.75" customHeight="1">
      <c r="A49" s="1997" t="str">
        <v/>
      </c>
      <c r="B49" s="600">
        <f t="array" aca="1" ref="B49:M49" ca="1">N178:Y178</f>
        <v>0</v>
      </c>
      <c r="C49" s="601">
        <f ca="1"/>
        <v>0</v>
      </c>
      <c r="D49" s="601">
        <f ca="1"/>
        <v>0</v>
      </c>
      <c r="E49" s="601">
        <f ca="1"/>
        <v>0</v>
      </c>
      <c r="F49" s="601">
        <f ca="1"/>
        <v>0</v>
      </c>
      <c r="G49" s="601">
        <f ca="1"/>
        <v>0</v>
      </c>
      <c r="H49" s="601">
        <f ca="1"/>
        <v>0</v>
      </c>
      <c r="I49" s="601">
        <f ca="1"/>
        <v>0</v>
      </c>
      <c r="J49" s="601">
        <f ca="1"/>
        <v>0</v>
      </c>
      <c r="K49" s="601">
        <f ca="1"/>
        <v>0</v>
      </c>
      <c r="L49" s="601">
        <f ca="1"/>
        <v>0</v>
      </c>
      <c r="M49" s="610">
        <f ca="1"/>
        <v>0</v>
      </c>
      <c r="N49" s="594">
        <f t="shared" ca="1" si="4"/>
        <v>0</v>
      </c>
      <c r="O49" s="62"/>
    </row>
    <row r="50" spans="1:15" ht="15.75" customHeight="1">
      <c r="A50" s="1997" t="str">
        <v/>
      </c>
      <c r="B50" s="600">
        <f t="array" aca="1" ref="B50:M50" ca="1">N196:Y196</f>
        <v>0</v>
      </c>
      <c r="C50" s="601">
        <f ca="1"/>
        <v>0</v>
      </c>
      <c r="D50" s="601">
        <f ca="1"/>
        <v>0</v>
      </c>
      <c r="E50" s="601">
        <f ca="1"/>
        <v>0</v>
      </c>
      <c r="F50" s="601">
        <f ca="1"/>
        <v>0</v>
      </c>
      <c r="G50" s="601">
        <f ca="1"/>
        <v>0</v>
      </c>
      <c r="H50" s="601">
        <f ca="1"/>
        <v>0</v>
      </c>
      <c r="I50" s="601">
        <f ca="1"/>
        <v>0</v>
      </c>
      <c r="J50" s="601">
        <f ca="1"/>
        <v>0</v>
      </c>
      <c r="K50" s="601">
        <f ca="1"/>
        <v>0</v>
      </c>
      <c r="L50" s="601">
        <f ca="1"/>
        <v>0</v>
      </c>
      <c r="M50" s="610">
        <f ca="1"/>
        <v>0</v>
      </c>
      <c r="N50" s="594">
        <f t="shared" ca="1" si="4"/>
        <v>0</v>
      </c>
      <c r="O50" s="62"/>
    </row>
    <row r="51" spans="1:15" ht="15.75" customHeight="1">
      <c r="A51" s="1997" t="str">
        <v/>
      </c>
      <c r="B51" s="600">
        <f t="array" aca="1" ref="B51:M51" ca="1">N214:Y214</f>
        <v>0</v>
      </c>
      <c r="C51" s="601">
        <f ca="1"/>
        <v>0</v>
      </c>
      <c r="D51" s="601">
        <f ca="1"/>
        <v>0</v>
      </c>
      <c r="E51" s="601">
        <f ca="1"/>
        <v>0</v>
      </c>
      <c r="F51" s="601">
        <f ca="1"/>
        <v>0</v>
      </c>
      <c r="G51" s="601">
        <f ca="1"/>
        <v>0</v>
      </c>
      <c r="H51" s="601">
        <f ca="1"/>
        <v>0</v>
      </c>
      <c r="I51" s="601">
        <f ca="1"/>
        <v>0</v>
      </c>
      <c r="J51" s="601">
        <f ca="1"/>
        <v>0</v>
      </c>
      <c r="K51" s="601">
        <f ca="1"/>
        <v>0</v>
      </c>
      <c r="L51" s="601">
        <f ca="1"/>
        <v>0</v>
      </c>
      <c r="M51" s="610">
        <f ca="1"/>
        <v>0</v>
      </c>
      <c r="N51" s="594">
        <f t="shared" ca="1" si="4"/>
        <v>0</v>
      </c>
      <c r="O51" s="62"/>
    </row>
    <row r="52" spans="1:15" ht="15.75" customHeight="1">
      <c r="A52" s="1997" t="str">
        <v/>
      </c>
      <c r="B52" s="600">
        <f t="array" aca="1" ref="B52:M52" ca="1">N232:Y232</f>
        <v>0</v>
      </c>
      <c r="C52" s="601">
        <f ca="1"/>
        <v>0</v>
      </c>
      <c r="D52" s="601">
        <f ca="1"/>
        <v>0</v>
      </c>
      <c r="E52" s="601">
        <f ca="1"/>
        <v>0</v>
      </c>
      <c r="F52" s="601">
        <f ca="1"/>
        <v>0</v>
      </c>
      <c r="G52" s="601">
        <f ca="1"/>
        <v>0</v>
      </c>
      <c r="H52" s="601">
        <f ca="1"/>
        <v>0</v>
      </c>
      <c r="I52" s="601">
        <f ca="1"/>
        <v>0</v>
      </c>
      <c r="J52" s="601">
        <f ca="1"/>
        <v>0</v>
      </c>
      <c r="K52" s="601">
        <f ca="1"/>
        <v>0</v>
      </c>
      <c r="L52" s="601">
        <f ca="1"/>
        <v>0</v>
      </c>
      <c r="M52" s="610">
        <f ca="1"/>
        <v>0</v>
      </c>
      <c r="N52" s="594">
        <f t="shared" ca="1" si="4"/>
        <v>0</v>
      </c>
      <c r="O52" s="62"/>
    </row>
    <row r="53" spans="1:15" ht="15.75" customHeight="1" thickBot="1">
      <c r="A53" s="1998" t="str">
        <v/>
      </c>
      <c r="B53" s="602">
        <f t="array" aca="1" ref="B53:M53" ca="1">N250:Y250</f>
        <v>0</v>
      </c>
      <c r="C53" s="603">
        <f ca="1"/>
        <v>0</v>
      </c>
      <c r="D53" s="603">
        <f ca="1"/>
        <v>0</v>
      </c>
      <c r="E53" s="603">
        <f ca="1"/>
        <v>0</v>
      </c>
      <c r="F53" s="603">
        <f ca="1"/>
        <v>0</v>
      </c>
      <c r="G53" s="603">
        <f ca="1"/>
        <v>0</v>
      </c>
      <c r="H53" s="603">
        <f ca="1"/>
        <v>0</v>
      </c>
      <c r="I53" s="603">
        <f ca="1"/>
        <v>0</v>
      </c>
      <c r="J53" s="603">
        <f ca="1"/>
        <v>0</v>
      </c>
      <c r="K53" s="603">
        <f ca="1"/>
        <v>0</v>
      </c>
      <c r="L53" s="603">
        <f ca="1"/>
        <v>0</v>
      </c>
      <c r="M53" s="611">
        <f ca="1"/>
        <v>0</v>
      </c>
      <c r="N53" s="604">
        <f t="shared" ca="1" si="4"/>
        <v>0</v>
      </c>
      <c r="O53" s="62"/>
    </row>
    <row r="54" spans="1:15" ht="15.75" customHeight="1" thickBot="1">
      <c r="A54" s="105" t="str">
        <f>A$28</f>
        <v>Totais</v>
      </c>
      <c r="B54" s="606">
        <f t="shared" ref="B54:M54" ca="1" si="5">SUM(B46:B53)</f>
        <v>155.95230000000001</v>
      </c>
      <c r="C54" s="607">
        <f t="shared" ca="1" si="5"/>
        <v>155.95230000000001</v>
      </c>
      <c r="D54" s="607">
        <f t="shared" ca="1" si="5"/>
        <v>155.95230000000001</v>
      </c>
      <c r="E54" s="607">
        <f t="shared" ca="1" si="5"/>
        <v>155.95230000000001</v>
      </c>
      <c r="F54" s="607">
        <f t="shared" ca="1" si="5"/>
        <v>155.95230000000001</v>
      </c>
      <c r="G54" s="607">
        <f t="shared" ca="1" si="5"/>
        <v>155.95230000000001</v>
      </c>
      <c r="H54" s="607">
        <f t="shared" ca="1" si="5"/>
        <v>155.95230000000001</v>
      </c>
      <c r="I54" s="607">
        <f t="shared" ca="1" si="5"/>
        <v>155.95230000000001</v>
      </c>
      <c r="J54" s="607">
        <f t="shared" ca="1" si="5"/>
        <v>155.95230000000001</v>
      </c>
      <c r="K54" s="607">
        <f t="shared" ca="1" si="5"/>
        <v>155.95230000000001</v>
      </c>
      <c r="L54" s="607">
        <f t="shared" ca="1" si="5"/>
        <v>155.95230000000001</v>
      </c>
      <c r="M54" s="608">
        <f t="shared" ca="1" si="5"/>
        <v>155.95230000000001</v>
      </c>
      <c r="N54" s="605">
        <f t="shared" ca="1" si="4"/>
        <v>1871.4275999999998</v>
      </c>
      <c r="O54" s="62"/>
    </row>
    <row r="55" spans="1:15">
      <c r="A55" s="1011" t="str">
        <f>'Distr CV 1'!A55</f>
        <v>Pendente anterior</v>
      </c>
      <c r="B55" s="1011">
        <f ca="1">SUM(B124:M124,B142:M142,B160:M160,B178:M178,B196:M196,B214:M214,B232:M232,B250:M250)</f>
        <v>0</v>
      </c>
    </row>
    <row r="57" spans="1:15" ht="18.75" thickBot="1">
      <c r="A57" s="1993" t="str">
        <f>'Distr CV 0'!A57</f>
        <v>IVA soportado dos custos de produção no ano</v>
      </c>
      <c r="G57" s="2741" t="str">
        <f>$K$1</f>
        <v>Ano 2:  2028</v>
      </c>
      <c r="I57" s="1993"/>
    </row>
    <row r="58" spans="1:15" s="456" customFormat="1" ht="15.75" customHeight="1" thickBot="1">
      <c r="A58" s="457" t="str">
        <f>'Distr CV 0'!A58</f>
        <v>Custos produção</v>
      </c>
      <c r="B58" s="455" t="str">
        <f t="array" ref="B58:M58">meses</f>
        <v>janeiro</v>
      </c>
      <c r="C58" s="451" t="str">
        <v>fevereiro</v>
      </c>
      <c r="D58" s="451" t="str">
        <v>março</v>
      </c>
      <c r="E58" s="451" t="str">
        <v>abril</v>
      </c>
      <c r="F58" s="451" t="str">
        <v>maio</v>
      </c>
      <c r="G58" s="451" t="str">
        <v>junho</v>
      </c>
      <c r="H58" s="451" t="str">
        <v>julho</v>
      </c>
      <c r="I58" s="451" t="str">
        <v>agosto</v>
      </c>
      <c r="J58" s="451" t="str">
        <v>setembro</v>
      </c>
      <c r="K58" s="451" t="str">
        <v>outubro</v>
      </c>
      <c r="L58" s="451" t="str">
        <v>novembro</v>
      </c>
      <c r="M58" s="452" t="str">
        <v>dezembro</v>
      </c>
      <c r="N58" s="449" t="str">
        <f>N$7</f>
        <v>Totais</v>
      </c>
    </row>
    <row r="59" spans="1:15" ht="15.75" customHeight="1">
      <c r="A59" s="1996" t="str">
        <f t="array" ref="A59:A66">productos</f>
        <v>produto 1</v>
      </c>
      <c r="B59" s="598">
        <f t="array" aca="1" ref="B59:M59" ca="1">N125:Y125</f>
        <v>32.749983</v>
      </c>
      <c r="C59" s="599">
        <f ca="1"/>
        <v>32.749983</v>
      </c>
      <c r="D59" s="599">
        <f ca="1"/>
        <v>32.749983</v>
      </c>
      <c r="E59" s="599">
        <f ca="1"/>
        <v>32.749983</v>
      </c>
      <c r="F59" s="599">
        <f ca="1"/>
        <v>32.749983</v>
      </c>
      <c r="G59" s="599">
        <f ca="1"/>
        <v>32.749983</v>
      </c>
      <c r="H59" s="599">
        <f ca="1"/>
        <v>32.749983</v>
      </c>
      <c r="I59" s="599">
        <f ca="1"/>
        <v>32.749983</v>
      </c>
      <c r="J59" s="599">
        <f ca="1"/>
        <v>32.749983</v>
      </c>
      <c r="K59" s="599">
        <f ca="1"/>
        <v>32.749983</v>
      </c>
      <c r="L59" s="599">
        <f ca="1"/>
        <v>32.749983</v>
      </c>
      <c r="M59" s="609">
        <f ca="1"/>
        <v>32.749983</v>
      </c>
      <c r="N59" s="591">
        <f t="shared" ref="N59:N67" ca="1" si="6">SUM(B59:M59)</f>
        <v>392.99979599999989</v>
      </c>
      <c r="O59" s="62"/>
    </row>
    <row r="60" spans="1:15" ht="15.75" customHeight="1">
      <c r="A60" s="1997" t="str">
        <v/>
      </c>
      <c r="B60" s="600">
        <f t="array" aca="1" ref="B60:M60" ca="1">N143:Y143</f>
        <v>0</v>
      </c>
      <c r="C60" s="601">
        <f ca="1"/>
        <v>0</v>
      </c>
      <c r="D60" s="601">
        <f ca="1"/>
        <v>0</v>
      </c>
      <c r="E60" s="601">
        <f ca="1"/>
        <v>0</v>
      </c>
      <c r="F60" s="601">
        <f ca="1"/>
        <v>0</v>
      </c>
      <c r="G60" s="601">
        <f ca="1"/>
        <v>0</v>
      </c>
      <c r="H60" s="601">
        <f ca="1"/>
        <v>0</v>
      </c>
      <c r="I60" s="601">
        <f ca="1"/>
        <v>0</v>
      </c>
      <c r="J60" s="601">
        <f ca="1"/>
        <v>0</v>
      </c>
      <c r="K60" s="601">
        <f ca="1"/>
        <v>0</v>
      </c>
      <c r="L60" s="601">
        <f ca="1"/>
        <v>0</v>
      </c>
      <c r="M60" s="610">
        <f ca="1"/>
        <v>0</v>
      </c>
      <c r="N60" s="594">
        <f t="shared" ca="1" si="6"/>
        <v>0</v>
      </c>
      <c r="O60" s="62"/>
    </row>
    <row r="61" spans="1:15" ht="15.75" customHeight="1">
      <c r="A61" s="1997" t="str">
        <v/>
      </c>
      <c r="B61" s="600">
        <f t="array" aca="1" ref="B61:M61" ca="1">N161:Y161</f>
        <v>0</v>
      </c>
      <c r="C61" s="601">
        <f ca="1"/>
        <v>0</v>
      </c>
      <c r="D61" s="601">
        <f ca="1"/>
        <v>0</v>
      </c>
      <c r="E61" s="601">
        <f ca="1"/>
        <v>0</v>
      </c>
      <c r="F61" s="601">
        <f ca="1"/>
        <v>0</v>
      </c>
      <c r="G61" s="601">
        <f ca="1"/>
        <v>0</v>
      </c>
      <c r="H61" s="601">
        <f ca="1"/>
        <v>0</v>
      </c>
      <c r="I61" s="601">
        <f ca="1"/>
        <v>0</v>
      </c>
      <c r="J61" s="601">
        <f ca="1"/>
        <v>0</v>
      </c>
      <c r="K61" s="601">
        <f ca="1"/>
        <v>0</v>
      </c>
      <c r="L61" s="601">
        <f ca="1"/>
        <v>0</v>
      </c>
      <c r="M61" s="610">
        <f ca="1"/>
        <v>0</v>
      </c>
      <c r="N61" s="594">
        <f t="shared" ca="1" si="6"/>
        <v>0</v>
      </c>
      <c r="O61" s="62"/>
    </row>
    <row r="62" spans="1:15" ht="15.75" customHeight="1">
      <c r="A62" s="1997" t="str">
        <v/>
      </c>
      <c r="B62" s="600">
        <f t="array" aca="1" ref="B62:M62" ca="1">N179:Y179</f>
        <v>0</v>
      </c>
      <c r="C62" s="601">
        <f ca="1"/>
        <v>0</v>
      </c>
      <c r="D62" s="601">
        <f ca="1"/>
        <v>0</v>
      </c>
      <c r="E62" s="601">
        <f ca="1"/>
        <v>0</v>
      </c>
      <c r="F62" s="601">
        <f ca="1"/>
        <v>0</v>
      </c>
      <c r="G62" s="601">
        <f ca="1"/>
        <v>0</v>
      </c>
      <c r="H62" s="601">
        <f ca="1"/>
        <v>0</v>
      </c>
      <c r="I62" s="601">
        <f ca="1"/>
        <v>0</v>
      </c>
      <c r="J62" s="601">
        <f ca="1"/>
        <v>0</v>
      </c>
      <c r="K62" s="601">
        <f ca="1"/>
        <v>0</v>
      </c>
      <c r="L62" s="601">
        <f ca="1"/>
        <v>0</v>
      </c>
      <c r="M62" s="610">
        <f ca="1"/>
        <v>0</v>
      </c>
      <c r="N62" s="594">
        <f t="shared" ca="1" si="6"/>
        <v>0</v>
      </c>
      <c r="O62" s="62"/>
    </row>
    <row r="63" spans="1:15" ht="15.75" customHeight="1">
      <c r="A63" s="1997" t="str">
        <v/>
      </c>
      <c r="B63" s="600">
        <f t="array" aca="1" ref="B63:M63" ca="1">N197:Y197</f>
        <v>0</v>
      </c>
      <c r="C63" s="601">
        <f ca="1"/>
        <v>0</v>
      </c>
      <c r="D63" s="601">
        <f ca="1"/>
        <v>0</v>
      </c>
      <c r="E63" s="601">
        <f ca="1"/>
        <v>0</v>
      </c>
      <c r="F63" s="601">
        <f ca="1"/>
        <v>0</v>
      </c>
      <c r="G63" s="601">
        <f ca="1"/>
        <v>0</v>
      </c>
      <c r="H63" s="601">
        <f ca="1"/>
        <v>0</v>
      </c>
      <c r="I63" s="601">
        <f ca="1"/>
        <v>0</v>
      </c>
      <c r="J63" s="601">
        <f ca="1"/>
        <v>0</v>
      </c>
      <c r="K63" s="601">
        <f ca="1"/>
        <v>0</v>
      </c>
      <c r="L63" s="601">
        <f ca="1"/>
        <v>0</v>
      </c>
      <c r="M63" s="610">
        <f ca="1"/>
        <v>0</v>
      </c>
      <c r="N63" s="594">
        <f t="shared" ca="1" si="6"/>
        <v>0</v>
      </c>
      <c r="O63" s="62"/>
    </row>
    <row r="64" spans="1:15" ht="15.75" customHeight="1">
      <c r="A64" s="1997" t="str">
        <v/>
      </c>
      <c r="B64" s="600">
        <f t="array" aca="1" ref="B64:M64" ca="1">N215:Y215</f>
        <v>0</v>
      </c>
      <c r="C64" s="601">
        <f ca="1"/>
        <v>0</v>
      </c>
      <c r="D64" s="601">
        <f ca="1"/>
        <v>0</v>
      </c>
      <c r="E64" s="601">
        <f ca="1"/>
        <v>0</v>
      </c>
      <c r="F64" s="601">
        <f ca="1"/>
        <v>0</v>
      </c>
      <c r="G64" s="601">
        <f ca="1"/>
        <v>0</v>
      </c>
      <c r="H64" s="601">
        <f ca="1"/>
        <v>0</v>
      </c>
      <c r="I64" s="601">
        <f ca="1"/>
        <v>0</v>
      </c>
      <c r="J64" s="601">
        <f ca="1"/>
        <v>0</v>
      </c>
      <c r="K64" s="601">
        <f ca="1"/>
        <v>0</v>
      </c>
      <c r="L64" s="601">
        <f ca="1"/>
        <v>0</v>
      </c>
      <c r="M64" s="610">
        <f ca="1"/>
        <v>0</v>
      </c>
      <c r="N64" s="594">
        <f t="shared" ca="1" si="6"/>
        <v>0</v>
      </c>
      <c r="O64" s="62"/>
    </row>
    <row r="65" spans="1:26" ht="15.75" customHeight="1">
      <c r="A65" s="1997" t="str">
        <v/>
      </c>
      <c r="B65" s="600">
        <f t="array" aca="1" ref="B65:M65" ca="1">N233:Y233</f>
        <v>0</v>
      </c>
      <c r="C65" s="601">
        <f ca="1"/>
        <v>0</v>
      </c>
      <c r="D65" s="601">
        <f ca="1"/>
        <v>0</v>
      </c>
      <c r="E65" s="601">
        <f ca="1"/>
        <v>0</v>
      </c>
      <c r="F65" s="601">
        <f ca="1"/>
        <v>0</v>
      </c>
      <c r="G65" s="601">
        <f ca="1"/>
        <v>0</v>
      </c>
      <c r="H65" s="601">
        <f ca="1"/>
        <v>0</v>
      </c>
      <c r="I65" s="601">
        <f ca="1"/>
        <v>0</v>
      </c>
      <c r="J65" s="601">
        <f ca="1"/>
        <v>0</v>
      </c>
      <c r="K65" s="601">
        <f ca="1"/>
        <v>0</v>
      </c>
      <c r="L65" s="601">
        <f ca="1"/>
        <v>0</v>
      </c>
      <c r="M65" s="610">
        <f ca="1"/>
        <v>0</v>
      </c>
      <c r="N65" s="594">
        <f t="shared" ca="1" si="6"/>
        <v>0</v>
      </c>
      <c r="O65" s="62"/>
    </row>
    <row r="66" spans="1:26" ht="15.75" customHeight="1" thickBot="1">
      <c r="A66" s="1998" t="str">
        <v/>
      </c>
      <c r="B66" s="602">
        <f t="array" aca="1" ref="B66:M66" ca="1">N251:Y251</f>
        <v>0</v>
      </c>
      <c r="C66" s="603">
        <f ca="1"/>
        <v>0</v>
      </c>
      <c r="D66" s="603">
        <f ca="1"/>
        <v>0</v>
      </c>
      <c r="E66" s="603">
        <f ca="1"/>
        <v>0</v>
      </c>
      <c r="F66" s="603">
        <f ca="1"/>
        <v>0</v>
      </c>
      <c r="G66" s="603">
        <f ca="1"/>
        <v>0</v>
      </c>
      <c r="H66" s="603">
        <f ca="1"/>
        <v>0</v>
      </c>
      <c r="I66" s="603">
        <f ca="1"/>
        <v>0</v>
      </c>
      <c r="J66" s="603">
        <f ca="1"/>
        <v>0</v>
      </c>
      <c r="K66" s="603">
        <f ca="1"/>
        <v>0</v>
      </c>
      <c r="L66" s="603">
        <f ca="1"/>
        <v>0</v>
      </c>
      <c r="M66" s="611">
        <f ca="1"/>
        <v>0</v>
      </c>
      <c r="N66" s="604">
        <f t="shared" ca="1" si="6"/>
        <v>0</v>
      </c>
      <c r="O66" s="62"/>
    </row>
    <row r="67" spans="1:26" ht="15.75" customHeight="1" thickBot="1">
      <c r="A67" s="105" t="str">
        <f>A$28</f>
        <v>Totais</v>
      </c>
      <c r="B67" s="606">
        <f t="shared" ref="B67:M67" ca="1" si="7">SUM(B59:B66)</f>
        <v>32.749983</v>
      </c>
      <c r="C67" s="607">
        <f t="shared" ca="1" si="7"/>
        <v>32.749983</v>
      </c>
      <c r="D67" s="607">
        <f t="shared" ca="1" si="7"/>
        <v>32.749983</v>
      </c>
      <c r="E67" s="607">
        <f t="shared" ca="1" si="7"/>
        <v>32.749983</v>
      </c>
      <c r="F67" s="607">
        <f t="shared" ca="1" si="7"/>
        <v>32.749983</v>
      </c>
      <c r="G67" s="607">
        <f t="shared" ca="1" si="7"/>
        <v>32.749983</v>
      </c>
      <c r="H67" s="607">
        <f t="shared" ca="1" si="7"/>
        <v>32.749983</v>
      </c>
      <c r="I67" s="607">
        <f t="shared" ca="1" si="7"/>
        <v>32.749983</v>
      </c>
      <c r="J67" s="607">
        <f t="shared" ca="1" si="7"/>
        <v>32.749983</v>
      </c>
      <c r="K67" s="607">
        <f t="shared" ca="1" si="7"/>
        <v>32.749983</v>
      </c>
      <c r="L67" s="607">
        <f t="shared" ca="1" si="7"/>
        <v>32.749983</v>
      </c>
      <c r="M67" s="608">
        <f t="shared" ca="1" si="7"/>
        <v>32.749983</v>
      </c>
      <c r="N67" s="605">
        <f t="shared" ca="1" si="6"/>
        <v>392.99979599999989</v>
      </c>
      <c r="O67" s="62"/>
    </row>
    <row r="68" spans="1:26">
      <c r="A68" s="1011" t="s">
        <v>272</v>
      </c>
      <c r="B68" s="1011">
        <f ca="1">SUM(B125:M125,B143:M143,B161:M161,B179:M179,B197:M197,B215:M215,B233:M233,B251:M251)</f>
        <v>0</v>
      </c>
    </row>
    <row r="69" spans="1:26" ht="15">
      <c r="A69" s="220"/>
    </row>
    <row r="70" spans="1:26" ht="18.75" thickBot="1">
      <c r="A70" s="1993" t="str">
        <f>'Distr CV 0'!A70</f>
        <v>Distribuição dos custos de produção por meses das unidades vendidas no ano</v>
      </c>
      <c r="I70" s="1993" t="str">
        <f>I$44</f>
        <v>IVA NÃO incluido</v>
      </c>
    </row>
    <row r="71" spans="1:26" s="456" customFormat="1" ht="32.25" customHeight="1" thickBot="1">
      <c r="A71" s="457" t="str">
        <f>'Distr CV 0'!A71</f>
        <v>Custos produção</v>
      </c>
      <c r="B71" s="2011" t="str">
        <f t="array" ref="B71:M71">'Estimações Vendas'!B18:M18</f>
        <v>janeiro 
2027</v>
      </c>
      <c r="C71" s="2011" t="str">
        <v>fevereiro 
2027</v>
      </c>
      <c r="D71" s="2011" t="str">
        <v>março 
2027</v>
      </c>
      <c r="E71" s="2011" t="str">
        <v>abril 
2027</v>
      </c>
      <c r="F71" s="2011" t="str">
        <v>maio 
2027</v>
      </c>
      <c r="G71" s="2011" t="str">
        <v>junho 
2027</v>
      </c>
      <c r="H71" s="2011" t="str">
        <v>julho 
2027</v>
      </c>
      <c r="I71" s="2011" t="str">
        <v>agosto 
2027</v>
      </c>
      <c r="J71" s="2011" t="str">
        <v>setembro 
2027</v>
      </c>
      <c r="K71" s="2011" t="str">
        <v>outubro 
2027</v>
      </c>
      <c r="L71" s="2011" t="str">
        <v>novembro 
2027</v>
      </c>
      <c r="M71" s="2011" t="str">
        <v>dezembro 
2027</v>
      </c>
      <c r="N71" s="2734" t="str">
        <f t="array" ref="N71:Y71">'Estimações Vendas'!B31:M31</f>
        <v>janeiro 
2028</v>
      </c>
      <c r="O71" s="2735" t="str">
        <v>fevereiro 
2028</v>
      </c>
      <c r="P71" s="2735" t="str">
        <v>março 
2028</v>
      </c>
      <c r="Q71" s="2735" t="str">
        <v>abril 
2028</v>
      </c>
      <c r="R71" s="2735" t="str">
        <v>maio 
2028</v>
      </c>
      <c r="S71" s="2735" t="str">
        <v>junho 
2028</v>
      </c>
      <c r="T71" s="2735" t="str">
        <v>julho 
2028</v>
      </c>
      <c r="U71" s="2735" t="str">
        <v>agosto 
2028</v>
      </c>
      <c r="V71" s="2735" t="str">
        <v>setembro 
2028</v>
      </c>
      <c r="W71" s="2735" t="str">
        <v>outubro 
2028</v>
      </c>
      <c r="X71" s="2735" t="str">
        <v>novembro 
2028</v>
      </c>
      <c r="Y71" s="2736" t="str">
        <v>dezembro 
2028</v>
      </c>
      <c r="Z71" s="62"/>
    </row>
    <row r="72" spans="1:26" ht="15.75" customHeight="1">
      <c r="A72" s="1994" t="s">
        <v>259</v>
      </c>
      <c r="B72" s="1991"/>
      <c r="C72" s="1991"/>
      <c r="D72" s="1991"/>
      <c r="E72" s="1991"/>
      <c r="F72" s="1991"/>
      <c r="G72" s="1991"/>
      <c r="H72" s="1989">
        <v>0</v>
      </c>
      <c r="I72" s="1990">
        <v>0</v>
      </c>
      <c r="J72" s="1990">
        <v>0</v>
      </c>
      <c r="K72" s="1990">
        <v>0</v>
      </c>
      <c r="L72" s="1990">
        <v>0</v>
      </c>
      <c r="M72" s="1990">
        <v>0</v>
      </c>
      <c r="N72" s="599">
        <f t="array" aca="1" ref="N72" ca="1">SUM(B20:B27*Produção!$N$8:$N$15)</f>
        <v>155.95230000000001</v>
      </c>
      <c r="O72" s="599">
        <f t="array" aca="1" ref="O72" ca="1">SUM(C20:C27*Produção!$N$8:$N$15)</f>
        <v>155.95230000000001</v>
      </c>
      <c r="P72" s="599">
        <f t="array" aca="1" ref="P72" ca="1">SUM(D20:D27*Produção!$N$8:$N$15)</f>
        <v>155.95230000000001</v>
      </c>
      <c r="Q72" s="599">
        <f t="array" aca="1" ref="Q72" ca="1">SUM(E20:E27*Produção!$N$8:$N$15)</f>
        <v>155.95230000000001</v>
      </c>
      <c r="R72" s="599">
        <f t="array" aca="1" ref="R72" ca="1">SUM(F20:F27*Produção!$N$8:$N$15)</f>
        <v>155.95230000000001</v>
      </c>
      <c r="S72" s="599">
        <f t="array" aca="1" ref="S72" ca="1">SUM(G20:G27*Produção!$N$8:$N$15)</f>
        <v>155.95230000000001</v>
      </c>
      <c r="T72" s="599">
        <f t="array" aca="1" ref="T72" ca="1">SUM(H20:H27*Produção!$N$8:$N$15)</f>
        <v>155.95230000000001</v>
      </c>
      <c r="U72" s="599">
        <f t="array" aca="1" ref="U72" ca="1">SUM(I20:I27*Produção!$N$8:$N$15)</f>
        <v>155.95230000000001</v>
      </c>
      <c r="V72" s="599">
        <f t="array" aca="1" ref="V72" ca="1">SUM(J20:J27*Produção!$N$8:$N$15)</f>
        <v>155.95230000000001</v>
      </c>
      <c r="W72" s="599">
        <f t="array" aca="1" ref="W72" ca="1">SUM(K20:K27*Produção!$N$8:$N$15)</f>
        <v>155.95230000000001</v>
      </c>
      <c r="X72" s="599">
        <f t="array" aca="1" ref="X72" ca="1">SUM(L20:L27*Produção!$N$8:$N$15)</f>
        <v>155.95230000000001</v>
      </c>
      <c r="Y72" s="2009">
        <f t="array" aca="1" ref="Y72" ca="1">SUM(M20:M27*Produção!$N$8:$N$15)</f>
        <v>155.95230000000001</v>
      </c>
    </row>
    <row r="73" spans="1:26" ht="15.75" customHeight="1">
      <c r="A73" s="1995" t="s">
        <v>260</v>
      </c>
      <c r="B73" s="1991"/>
      <c r="C73" s="1991"/>
      <c r="D73" s="1991"/>
      <c r="E73" s="1991"/>
      <c r="F73" s="1991"/>
      <c r="G73" s="1991"/>
      <c r="H73" s="1991"/>
      <c r="I73" s="1988"/>
      <c r="J73" s="1988"/>
      <c r="K73" s="1988"/>
      <c r="L73" s="1988"/>
      <c r="M73" s="601">
        <f t="array" aca="1" ref="M73" ca="1">SUM(B20:B27*Produção!$M$8:$M$15)</f>
        <v>0</v>
      </c>
      <c r="N73" s="601">
        <f t="array" aca="1" ref="N73" ca="1">SUM(C20:C27*Produção!$M$8:$M$15)</f>
        <v>0</v>
      </c>
      <c r="O73" s="601">
        <f t="array" aca="1" ref="O73" ca="1">SUM(D20:D27*Produção!$M$8:$M$15)</f>
        <v>0</v>
      </c>
      <c r="P73" s="601">
        <f t="array" aca="1" ref="P73" ca="1">SUM(E20:E27*Produção!$M$8:$M$15)</f>
        <v>0</v>
      </c>
      <c r="Q73" s="601">
        <f t="array" aca="1" ref="Q73" ca="1">SUM(F20:F27*Produção!$M$8:$M$15)</f>
        <v>0</v>
      </c>
      <c r="R73" s="601">
        <f t="array" aca="1" ref="R73" ca="1">SUM(G20:G27*Produção!$M$8:$M$15)</f>
        <v>0</v>
      </c>
      <c r="S73" s="601">
        <f t="array" aca="1" ref="S73" ca="1">SUM(H20:H27*Produção!$M$8:$M$15)</f>
        <v>0</v>
      </c>
      <c r="T73" s="601">
        <f t="array" aca="1" ref="T73" ca="1">SUM(I20:I27*Produção!$M$8:$M$15)</f>
        <v>0</v>
      </c>
      <c r="U73" s="601">
        <f t="array" aca="1" ref="U73" ca="1">SUM(J20:J27*Produção!$M$8:$M$15)</f>
        <v>0</v>
      </c>
      <c r="V73" s="601">
        <f t="array" aca="1" ref="V73" ca="1">SUM(K20:K27*Produção!$M$8:$M$15)</f>
        <v>0</v>
      </c>
      <c r="W73" s="601">
        <f t="array" aca="1" ref="W73" ca="1">SUM(L20:L27*Produção!$M$8:$M$15)</f>
        <v>0</v>
      </c>
      <c r="X73" s="601">
        <f t="array" aca="1" ref="X73" ca="1">SUM(M20:M27*Produção!$M$8:$M$15)</f>
        <v>0</v>
      </c>
      <c r="Y73" s="2007">
        <f t="array" aca="1" ref="Y73:Y84" ca="1">'Distr CV 3'!M73:M84</f>
        <v>0</v>
      </c>
    </row>
    <row r="74" spans="1:26" ht="15.75" customHeight="1">
      <c r="A74" s="1995" t="s">
        <v>261</v>
      </c>
      <c r="B74" s="1991"/>
      <c r="C74" s="1991"/>
      <c r="D74" s="1991"/>
      <c r="E74" s="1991"/>
      <c r="F74" s="1991"/>
      <c r="G74" s="1991"/>
      <c r="H74" s="1991"/>
      <c r="I74" s="1988"/>
      <c r="J74" s="1988"/>
      <c r="K74" s="1988"/>
      <c r="L74" s="601">
        <f t="array" aca="1" ref="L74" ca="1">SUM(B20:B27*Produção!$L$8:$L$15)</f>
        <v>0</v>
      </c>
      <c r="M74" s="601">
        <f t="array" aca="1" ref="M74" ca="1">SUM(C20:C27*Produção!$L$8:$L$15)</f>
        <v>0</v>
      </c>
      <c r="N74" s="601">
        <f t="array" aca="1" ref="N74" ca="1">SUM(D20:D27*Produção!$L$8:$L$15)</f>
        <v>0</v>
      </c>
      <c r="O74" s="601">
        <f t="array" aca="1" ref="O74" ca="1">SUM(E20:E27*Produção!$L$8:$L$15)</f>
        <v>0</v>
      </c>
      <c r="P74" s="601">
        <f t="array" aca="1" ref="P74" ca="1">SUM(F20:F27*Produção!$L$8:$L$15)</f>
        <v>0</v>
      </c>
      <c r="Q74" s="601">
        <f t="array" aca="1" ref="Q74" ca="1">SUM(G20:G27*Produção!$L$8:$L$15)</f>
        <v>0</v>
      </c>
      <c r="R74" s="601">
        <f t="array" aca="1" ref="R74" ca="1">SUM(H20:H27*Produção!$L$8:$L$15)</f>
        <v>0</v>
      </c>
      <c r="S74" s="601">
        <f t="array" aca="1" ref="S74" ca="1">SUM(I20:I27*Produção!$L$8:$L$15)</f>
        <v>0</v>
      </c>
      <c r="T74" s="601">
        <f t="array" aca="1" ref="T74" ca="1">SUM(J20:J27*Produção!$L$8:$L$15)</f>
        <v>0</v>
      </c>
      <c r="U74" s="601">
        <f t="array" aca="1" ref="U74" ca="1">SUM(K20:K27*Produção!$L$8:$L$15)</f>
        <v>0</v>
      </c>
      <c r="V74" s="601">
        <f t="array" aca="1" ref="V74" ca="1">SUM(L20:L27*Produção!$L$8:$L$15)</f>
        <v>0</v>
      </c>
      <c r="W74" s="601">
        <f t="array" aca="1" ref="W74" ca="1">SUM(M20:M27*Produção!$L$8:$L$15)</f>
        <v>0</v>
      </c>
      <c r="X74" s="1988">
        <f t="array" aca="1" ref="X74:X84" ca="1">'Distr CV 3'!L74:L84</f>
        <v>0</v>
      </c>
      <c r="Y74" s="2007">
        <f ca="1"/>
        <v>0</v>
      </c>
    </row>
    <row r="75" spans="1:26" ht="15.75" customHeight="1">
      <c r="A75" s="1995" t="s">
        <v>262</v>
      </c>
      <c r="B75" s="1991"/>
      <c r="C75" s="1991"/>
      <c r="D75" s="1991"/>
      <c r="E75" s="1991"/>
      <c r="F75" s="1991"/>
      <c r="G75" s="1991"/>
      <c r="H75" s="1991"/>
      <c r="I75" s="1988"/>
      <c r="J75" s="1988"/>
      <c r="K75" s="601">
        <f t="array" aca="1" ref="K75" ca="1">SUM(B20:B27*Produção!$K$8:$K$15)</f>
        <v>0</v>
      </c>
      <c r="L75" s="601">
        <f t="array" aca="1" ref="L75" ca="1">SUM(C20:C27*Produção!$K$8:$K$15)</f>
        <v>0</v>
      </c>
      <c r="M75" s="601">
        <f t="array" aca="1" ref="M75" ca="1">SUM(D20:D27*Produção!$K$8:$K$15)</f>
        <v>0</v>
      </c>
      <c r="N75" s="601">
        <f t="array" aca="1" ref="N75" ca="1">SUM(E20:E27*Produção!$K$8:$K$15)</f>
        <v>0</v>
      </c>
      <c r="O75" s="601">
        <f t="array" aca="1" ref="O75" ca="1">SUM(F20:F27*Produção!$K$8:$K$15)</f>
        <v>0</v>
      </c>
      <c r="P75" s="601">
        <f t="array" aca="1" ref="P75" ca="1">SUM(G20:G27*Produção!$K$8:$K$15)</f>
        <v>0</v>
      </c>
      <c r="Q75" s="601">
        <f t="array" aca="1" ref="Q75" ca="1">SUM(H20:H27*Produção!$K$8:$K$15)</f>
        <v>0</v>
      </c>
      <c r="R75" s="601">
        <f t="array" aca="1" ref="R75" ca="1">SUM(I20:I27*Produção!$K$8:$K$15)</f>
        <v>0</v>
      </c>
      <c r="S75" s="601">
        <f t="array" aca="1" ref="S75" ca="1">SUM(J20:J27*Produção!$K$8:$K$15)</f>
        <v>0</v>
      </c>
      <c r="T75" s="601">
        <f t="array" aca="1" ref="T75" ca="1">SUM(K20:K27*Produção!$K$8:$K$15)</f>
        <v>0</v>
      </c>
      <c r="U75" s="601">
        <f t="array" aca="1" ref="U75" ca="1">SUM(L20:L27*Produção!$K$8:$K$15)</f>
        <v>0</v>
      </c>
      <c r="V75" s="601">
        <f t="array" aca="1" ref="V75" ca="1">SUM(M20:M27*Produção!$K$8:$K$15)</f>
        <v>0</v>
      </c>
      <c r="W75" s="1988">
        <f t="array" aca="1" ref="W75:W84" ca="1">'Distr CV 3'!K75:K84</f>
        <v>0</v>
      </c>
      <c r="X75" s="1988">
        <f ca="1"/>
        <v>0</v>
      </c>
      <c r="Y75" s="2007">
        <f ca="1"/>
        <v>0</v>
      </c>
    </row>
    <row r="76" spans="1:26" ht="15.75" customHeight="1">
      <c r="A76" s="1995" t="s">
        <v>263</v>
      </c>
      <c r="B76" s="1991"/>
      <c r="C76" s="1991"/>
      <c r="D76" s="1991"/>
      <c r="E76" s="1991"/>
      <c r="F76" s="1991"/>
      <c r="G76" s="1991"/>
      <c r="H76" s="1991"/>
      <c r="I76" s="1988"/>
      <c r="J76" s="601">
        <f t="array" aca="1" ref="J76" ca="1">SUM(B20:B27*Produção!$J$8:$J$15)</f>
        <v>0</v>
      </c>
      <c r="K76" s="601">
        <f t="array" aca="1" ref="K76" ca="1">SUM(C20:C27*Produção!$J$8:$J$15)</f>
        <v>0</v>
      </c>
      <c r="L76" s="601">
        <f t="array" aca="1" ref="L76" ca="1">SUM(D20:D27*Produção!$J$8:$J$15)</f>
        <v>0</v>
      </c>
      <c r="M76" s="601">
        <f t="array" aca="1" ref="M76" ca="1">SUM(E20:E27*Produção!$J$8:$J$15)</f>
        <v>0</v>
      </c>
      <c r="N76" s="601">
        <f t="array" aca="1" ref="N76" ca="1">SUM(F20:F27*Produção!$J$8:$J$15)</f>
        <v>0</v>
      </c>
      <c r="O76" s="601">
        <f t="array" aca="1" ref="O76" ca="1">SUM(G20:G27*Produção!$J$8:$J$15)</f>
        <v>0</v>
      </c>
      <c r="P76" s="601">
        <f t="array" aca="1" ref="P76" ca="1">SUM(H20:H27*Produção!$J$8:$J$15)</f>
        <v>0</v>
      </c>
      <c r="Q76" s="601">
        <f t="array" aca="1" ref="Q76" ca="1">SUM(I20:I27*Produção!$J$8:$J$15)</f>
        <v>0</v>
      </c>
      <c r="R76" s="601">
        <f t="array" aca="1" ref="R76" ca="1">SUM(J20:J27*Produção!$J$8:$J$15)</f>
        <v>0</v>
      </c>
      <c r="S76" s="601">
        <f t="array" aca="1" ref="S76" ca="1">SUM(K20:K27*Produção!$J$8:$J$15)</f>
        <v>0</v>
      </c>
      <c r="T76" s="601">
        <f t="array" aca="1" ref="T76" ca="1">SUM(L20:L27*Produção!$J$8:$J$15)</f>
        <v>0</v>
      </c>
      <c r="U76" s="601">
        <f t="array" aca="1" ref="U76" ca="1">SUM(M20:M27*Produção!$J$8:$J$15)</f>
        <v>0</v>
      </c>
      <c r="V76" s="1988">
        <f t="array" aca="1" ref="V76:V84" ca="1">'Distr CV 3'!J76:J84</f>
        <v>0</v>
      </c>
      <c r="W76" s="1988">
        <f ca="1"/>
        <v>0</v>
      </c>
      <c r="X76" s="1988">
        <f ca="1"/>
        <v>0</v>
      </c>
      <c r="Y76" s="2007">
        <f ca="1"/>
        <v>0</v>
      </c>
    </row>
    <row r="77" spans="1:26" ht="15.75" customHeight="1">
      <c r="A77" s="1995" t="s">
        <v>264</v>
      </c>
      <c r="B77" s="1991"/>
      <c r="C77" s="1991"/>
      <c r="D77" s="1991"/>
      <c r="E77" s="1991"/>
      <c r="F77" s="1991"/>
      <c r="G77" s="1991"/>
      <c r="H77" s="1991"/>
      <c r="I77" s="601">
        <f t="array" aca="1" ref="I77" ca="1">SUM(B20:B27*Produção!$I$8:$I$15)</f>
        <v>0</v>
      </c>
      <c r="J77" s="601">
        <f t="array" aca="1" ref="J77" ca="1">SUM(C20:C27*Produção!$I$8:$I$15)</f>
        <v>0</v>
      </c>
      <c r="K77" s="601">
        <f t="array" aca="1" ref="K77" ca="1">SUM(D20:D27*Produção!$I$8:$I$15)</f>
        <v>0</v>
      </c>
      <c r="L77" s="601">
        <f t="array" aca="1" ref="L77" ca="1">SUM(E20:E27*Produção!$I$8:$I$15)</f>
        <v>0</v>
      </c>
      <c r="M77" s="601">
        <f t="array" aca="1" ref="M77" ca="1">SUM(F20:F27*Produção!$I$8:$I$15)</f>
        <v>0</v>
      </c>
      <c r="N77" s="601">
        <f t="array" aca="1" ref="N77" ca="1">SUM(G20:G27*Produção!$I$8:$I$15)</f>
        <v>0</v>
      </c>
      <c r="O77" s="601">
        <f t="array" aca="1" ref="O77" ca="1">SUM(H20:H27*Produção!$I$8:$I$15)</f>
        <v>0</v>
      </c>
      <c r="P77" s="601">
        <f t="array" aca="1" ref="P77" ca="1">SUM(I20:I27*Produção!$I$8:$I$15)</f>
        <v>0</v>
      </c>
      <c r="Q77" s="601">
        <f t="array" aca="1" ref="Q77" ca="1">SUM(J20:J27*Produção!$I$8:$I$15)</f>
        <v>0</v>
      </c>
      <c r="R77" s="601">
        <f t="array" aca="1" ref="R77" ca="1">SUM(K20:K27*Produção!$I$8:$I$15)</f>
        <v>0</v>
      </c>
      <c r="S77" s="601">
        <f t="array" aca="1" ref="S77" ca="1">SUM(L20:L27*Produção!$I$8:$I$15)</f>
        <v>0</v>
      </c>
      <c r="T77" s="601">
        <f t="array" aca="1" ref="T77" ca="1">SUM(M20:M27*Produção!$I$8:$I$15)</f>
        <v>0</v>
      </c>
      <c r="U77" s="1988">
        <f t="array" aca="1" ref="U77:U84" ca="1">'Distr CV 3'!I77:I84</f>
        <v>0</v>
      </c>
      <c r="V77" s="1988">
        <f ca="1"/>
        <v>0</v>
      </c>
      <c r="W77" s="1988">
        <f ca="1"/>
        <v>0</v>
      </c>
      <c r="X77" s="1988">
        <f ca="1"/>
        <v>0</v>
      </c>
      <c r="Y77" s="2007">
        <f ca="1"/>
        <v>0</v>
      </c>
    </row>
    <row r="78" spans="1:26" ht="15.75" customHeight="1">
      <c r="A78" s="1995" t="s">
        <v>265</v>
      </c>
      <c r="B78" s="1991"/>
      <c r="C78" s="1991"/>
      <c r="D78" s="1991"/>
      <c r="E78" s="1991"/>
      <c r="F78" s="1991"/>
      <c r="G78" s="1991"/>
      <c r="H78" s="601">
        <f t="array" aca="1" ref="H78" ca="1">SUM(B20:B27*Produção!$H$8:$H$15)</f>
        <v>0</v>
      </c>
      <c r="I78" s="601">
        <f t="array" aca="1" ref="I78" ca="1">SUM(C20:C27*Produção!$H$8:$H$15)</f>
        <v>0</v>
      </c>
      <c r="J78" s="601">
        <f t="array" aca="1" ref="J78" ca="1">SUM(D20:D27*Produção!$H$8:$H$15)</f>
        <v>0</v>
      </c>
      <c r="K78" s="601">
        <f t="array" aca="1" ref="K78" ca="1">SUM(E20:E27*Produção!$H$8:$H$15)</f>
        <v>0</v>
      </c>
      <c r="L78" s="601">
        <f t="array" aca="1" ref="L78" ca="1">SUM(F20:F27*Produção!$H$8:$H$15)</f>
        <v>0</v>
      </c>
      <c r="M78" s="601">
        <f t="array" aca="1" ref="M78" ca="1">SUM(G20:G27*Produção!$H$8:$H$15)</f>
        <v>0</v>
      </c>
      <c r="N78" s="601">
        <f t="array" aca="1" ref="N78" ca="1">SUM(H20:H27*Produção!$H$8:$H$15)</f>
        <v>0</v>
      </c>
      <c r="O78" s="601">
        <f t="array" aca="1" ref="O78" ca="1">SUM(I20:I27*Produção!$H$8:$H$15)</f>
        <v>0</v>
      </c>
      <c r="P78" s="601">
        <f t="array" aca="1" ref="P78" ca="1">SUM(J20:J27*Produção!$H$8:$H$15)</f>
        <v>0</v>
      </c>
      <c r="Q78" s="601">
        <f t="array" aca="1" ref="Q78" ca="1">SUM(K20:K27*Produção!$H$8:$H$15)</f>
        <v>0</v>
      </c>
      <c r="R78" s="601">
        <f t="array" aca="1" ref="R78" ca="1">SUM(L20:L27*Produção!$H$8:$H$15)</f>
        <v>0</v>
      </c>
      <c r="S78" s="601">
        <f t="array" aca="1" ref="S78" ca="1">SUM(M20:M27*Produção!$H$8:$H$15)</f>
        <v>0</v>
      </c>
      <c r="T78" s="1988">
        <f t="array" aca="1" ref="T78:T84" ca="1">'Distr CV 3'!H78:H84</f>
        <v>0</v>
      </c>
      <c r="U78" s="1988">
        <f ca="1"/>
        <v>0</v>
      </c>
      <c r="V78" s="1988">
        <f ca="1"/>
        <v>0</v>
      </c>
      <c r="W78" s="1988">
        <f ca="1"/>
        <v>0</v>
      </c>
      <c r="X78" s="1988">
        <f ca="1"/>
        <v>0</v>
      </c>
      <c r="Y78" s="2007">
        <f ca="1"/>
        <v>0</v>
      </c>
    </row>
    <row r="79" spans="1:26" ht="15.75" customHeight="1">
      <c r="A79" s="1995" t="s">
        <v>266</v>
      </c>
      <c r="B79" s="1991"/>
      <c r="C79" s="1991"/>
      <c r="D79" s="1991"/>
      <c r="E79" s="1991"/>
      <c r="F79" s="1991"/>
      <c r="G79" s="603">
        <f t="array" aca="1" ref="G79" ca="1">SUM(B20:B27*Produção!$G$8:$G$15)</f>
        <v>0</v>
      </c>
      <c r="H79" s="603">
        <f t="array" aca="1" ref="H79" ca="1">SUM(C20:C27*Produção!$G$8:$G$15)</f>
        <v>0</v>
      </c>
      <c r="I79" s="603">
        <f t="array" aca="1" ref="I79" ca="1">SUM(D20:D27*Produção!$G$8:$G$15)</f>
        <v>0</v>
      </c>
      <c r="J79" s="603">
        <f t="array" aca="1" ref="J79" ca="1">SUM(E20:E27*Produção!$G$8:$G$15)</f>
        <v>0</v>
      </c>
      <c r="K79" s="603">
        <f t="array" aca="1" ref="K79" ca="1">SUM(F20:F27*Produção!$G$8:$G$15)</f>
        <v>0</v>
      </c>
      <c r="L79" s="603">
        <f t="array" aca="1" ref="L79" ca="1">SUM(G20:G27*Produção!$G$8:$G$15)</f>
        <v>0</v>
      </c>
      <c r="M79" s="603">
        <f t="array" aca="1" ref="M79" ca="1">SUM(H20:H27*Produção!$G$8:$G$15)</f>
        <v>0</v>
      </c>
      <c r="N79" s="603">
        <f t="array" aca="1" ref="N79" ca="1">SUM(I20:I27*Produção!$G$8:$G$15)</f>
        <v>0</v>
      </c>
      <c r="O79" s="603">
        <f t="array" aca="1" ref="O79" ca="1">SUM(J20:J27*Produção!$G$8:$G$15)</f>
        <v>0</v>
      </c>
      <c r="P79" s="603">
        <f t="array" aca="1" ref="P79" ca="1">SUM(K20:K27*Produção!$G$8:$G$15)</f>
        <v>0</v>
      </c>
      <c r="Q79" s="603">
        <f t="array" aca="1" ref="Q79" ca="1">SUM(L20:L27*Produção!$G$8:$G$15)</f>
        <v>0</v>
      </c>
      <c r="R79" s="603">
        <f t="array" aca="1" ref="R79" ca="1">SUM(M20:M27*Produção!$G$8:$G$15)</f>
        <v>0</v>
      </c>
      <c r="S79" s="1992">
        <f t="array" aca="1" ref="S79:S84" ca="1">'Distr CV 3'!G79:G84</f>
        <v>0</v>
      </c>
      <c r="T79" s="1992">
        <f ca="1"/>
        <v>0</v>
      </c>
      <c r="U79" s="1992">
        <f ca="1"/>
        <v>0</v>
      </c>
      <c r="V79" s="1992">
        <f ca="1"/>
        <v>0</v>
      </c>
      <c r="W79" s="1992">
        <f ca="1"/>
        <v>0</v>
      </c>
      <c r="X79" s="1992">
        <f ca="1"/>
        <v>0</v>
      </c>
      <c r="Y79" s="2010">
        <f ca="1"/>
        <v>0</v>
      </c>
    </row>
    <row r="80" spans="1:26" ht="15.75" customHeight="1">
      <c r="A80" s="1995" t="s">
        <v>267</v>
      </c>
      <c r="B80" s="1991"/>
      <c r="C80" s="1991"/>
      <c r="D80" s="1991"/>
      <c r="E80" s="1991"/>
      <c r="F80" s="603">
        <f t="array" aca="1" ref="F80" ca="1">SUM(B20:B27*Produção!$F$8:$F$15)</f>
        <v>0</v>
      </c>
      <c r="G80" s="603">
        <f t="array" aca="1" ref="G80" ca="1">SUM(C20:C27*Produção!$F$8:$F$15)</f>
        <v>0</v>
      </c>
      <c r="H80" s="603">
        <f t="array" aca="1" ref="H80" ca="1">SUM(D20:D27*Produção!$F$8:$F$15)</f>
        <v>0</v>
      </c>
      <c r="I80" s="603">
        <f t="array" aca="1" ref="I80" ca="1">SUM(E20:E27*Produção!$F$8:$F$15)</f>
        <v>0</v>
      </c>
      <c r="J80" s="603">
        <f t="array" aca="1" ref="J80" ca="1">SUM(F20:F27*Produção!$F$8:$F$15)</f>
        <v>0</v>
      </c>
      <c r="K80" s="603">
        <f t="array" aca="1" ref="K80" ca="1">SUM(G20:G27*Produção!$F$8:$F$15)</f>
        <v>0</v>
      </c>
      <c r="L80" s="603">
        <f t="array" aca="1" ref="L80" ca="1">SUM(H20:H27*Produção!$F$8:$F$15)</f>
        <v>0</v>
      </c>
      <c r="M80" s="603">
        <f t="array" aca="1" ref="M80" ca="1">SUM(I20:I27*Produção!$F$8:$F$15)</f>
        <v>0</v>
      </c>
      <c r="N80" s="603">
        <f t="array" aca="1" ref="N80" ca="1">SUM(J20:J27*Produção!$F$8:$F$15)</f>
        <v>0</v>
      </c>
      <c r="O80" s="603">
        <f t="array" aca="1" ref="O80" ca="1">SUM(K20:K27*Produção!$F$8:$F$15)</f>
        <v>0</v>
      </c>
      <c r="P80" s="603">
        <f t="array" aca="1" ref="P80" ca="1">SUM(L20:L27*Produção!$F$8:$F$15)</f>
        <v>0</v>
      </c>
      <c r="Q80" s="603">
        <f t="array" aca="1" ref="Q80" ca="1">SUM(M20:M27*Produção!$F$8:$F$15)</f>
        <v>0</v>
      </c>
      <c r="R80" s="1992">
        <f t="array" aca="1" ref="R80:R84" ca="1">'Distr CV 3'!F80:F84</f>
        <v>0</v>
      </c>
      <c r="S80" s="1992">
        <f ca="1"/>
        <v>0</v>
      </c>
      <c r="T80" s="1992">
        <f ca="1"/>
        <v>0</v>
      </c>
      <c r="U80" s="1992">
        <f ca="1"/>
        <v>0</v>
      </c>
      <c r="V80" s="1992">
        <f ca="1"/>
        <v>0</v>
      </c>
      <c r="W80" s="1992">
        <f ca="1"/>
        <v>0</v>
      </c>
      <c r="X80" s="1992">
        <f ca="1"/>
        <v>0</v>
      </c>
      <c r="Y80" s="2010">
        <f ca="1"/>
        <v>0</v>
      </c>
    </row>
    <row r="81" spans="1:26" ht="15.75" customHeight="1">
      <c r="A81" s="1995" t="s">
        <v>268</v>
      </c>
      <c r="B81" s="1991"/>
      <c r="C81" s="1991"/>
      <c r="D81" s="1991"/>
      <c r="E81" s="603">
        <f t="array" aca="1" ref="E81" ca="1">SUM(B20:B27*Produção!$E$8:$E$15)</f>
        <v>0</v>
      </c>
      <c r="F81" s="603">
        <f t="array" aca="1" ref="F81" ca="1">SUM(C20:C27*Produção!$E$8:$E$15)</f>
        <v>0</v>
      </c>
      <c r="G81" s="603">
        <f t="array" aca="1" ref="G81" ca="1">SUM(D20:D27*Produção!$E$8:$E$15)</f>
        <v>0</v>
      </c>
      <c r="H81" s="603">
        <f t="array" aca="1" ref="H81" ca="1">SUM(E20:E27*Produção!$E$8:$E$15)</f>
        <v>0</v>
      </c>
      <c r="I81" s="603">
        <f t="array" aca="1" ref="I81" ca="1">SUM(F20:F27*Produção!$E$8:$E$15)</f>
        <v>0</v>
      </c>
      <c r="J81" s="603">
        <f t="array" aca="1" ref="J81" ca="1">SUM(G20:G27*Produção!$E$8:$E$15)</f>
        <v>0</v>
      </c>
      <c r="K81" s="603">
        <f t="array" aca="1" ref="K81" ca="1">SUM(H20:H27*Produção!$E$8:$E$15)</f>
        <v>0</v>
      </c>
      <c r="L81" s="603">
        <f t="array" aca="1" ref="L81" ca="1">SUM(I20:I27*Produção!$E$8:$E$15)</f>
        <v>0</v>
      </c>
      <c r="M81" s="603">
        <f t="array" aca="1" ref="M81" ca="1">SUM(J20:J27*Produção!$E$8:$E$15)</f>
        <v>0</v>
      </c>
      <c r="N81" s="603">
        <f t="array" aca="1" ref="N81" ca="1">SUM(K20:K27*Produção!$E$8:$E$15)</f>
        <v>0</v>
      </c>
      <c r="O81" s="603">
        <f t="array" aca="1" ref="O81" ca="1">SUM(L20:L27*Produção!$E$8:$E$15)</f>
        <v>0</v>
      </c>
      <c r="P81" s="603">
        <f t="array" aca="1" ref="P81" ca="1">SUM(M20:M27*Produção!$E$8:$E$15)</f>
        <v>0</v>
      </c>
      <c r="Q81" s="1992">
        <f t="array" aca="1" ref="Q81:Q84" ca="1">'Distr CV 3'!E81:E84</f>
        <v>0</v>
      </c>
      <c r="R81" s="1992">
        <f ca="1"/>
        <v>0</v>
      </c>
      <c r="S81" s="1992">
        <f ca="1"/>
        <v>0</v>
      </c>
      <c r="T81" s="1992">
        <f ca="1"/>
        <v>0</v>
      </c>
      <c r="U81" s="1992">
        <f ca="1"/>
        <v>0</v>
      </c>
      <c r="V81" s="1992">
        <f ca="1"/>
        <v>0</v>
      </c>
      <c r="W81" s="1992">
        <f ca="1"/>
        <v>0</v>
      </c>
      <c r="X81" s="1992">
        <f ca="1"/>
        <v>0</v>
      </c>
      <c r="Y81" s="2010">
        <f ca="1"/>
        <v>0</v>
      </c>
    </row>
    <row r="82" spans="1:26" ht="15.75" customHeight="1">
      <c r="A82" s="1995" t="s">
        <v>269</v>
      </c>
      <c r="B82" s="1991"/>
      <c r="C82" s="1991"/>
      <c r="D82" s="602">
        <f t="array" aca="1" ref="D82" ca="1">SUM(B20:B27*Produção!$D$8:$D$15)</f>
        <v>0</v>
      </c>
      <c r="E82" s="602">
        <f t="array" aca="1" ref="E82" ca="1">SUM(C20:C27*Produção!$D$8:$D$15)</f>
        <v>0</v>
      </c>
      <c r="F82" s="602">
        <f t="array" aca="1" ref="F82" ca="1">SUM(D20:D27*Produção!$D$8:$D$15)</f>
        <v>0</v>
      </c>
      <c r="G82" s="602">
        <f t="array" aca="1" ref="G82" ca="1">SUM(E20:E27*Produção!$D$8:$D$15)</f>
        <v>0</v>
      </c>
      <c r="H82" s="602">
        <f t="array" aca="1" ref="H82" ca="1">SUM(F20:F27*Produção!$D$8:$D$15)</f>
        <v>0</v>
      </c>
      <c r="I82" s="602">
        <f t="array" aca="1" ref="I82" ca="1">SUM(G20:G27*Produção!$D$8:$D$15)</f>
        <v>0</v>
      </c>
      <c r="J82" s="602">
        <f t="array" aca="1" ref="J82" ca="1">SUM(H20:H27*Produção!$D$8:$D$15)</f>
        <v>0</v>
      </c>
      <c r="K82" s="602">
        <f t="array" aca="1" ref="K82" ca="1">SUM(I20:I27*Produção!$D$8:$D$15)</f>
        <v>0</v>
      </c>
      <c r="L82" s="602">
        <f t="array" aca="1" ref="L82" ca="1">SUM(J20:J27*Produção!$D$8:$D$15)</f>
        <v>0</v>
      </c>
      <c r="M82" s="602">
        <f t="array" aca="1" ref="M82" ca="1">SUM(K20:K27*Produção!$D$8:$D$15)</f>
        <v>0</v>
      </c>
      <c r="N82" s="602">
        <f t="array" aca="1" ref="N82" ca="1">SUM(L20:L27*Produção!$D$8:$D$15)</f>
        <v>0</v>
      </c>
      <c r="O82" s="602">
        <f t="array" aca="1" ref="O82" ca="1">SUM(M20:M27*Produção!$D$8:$D$15)</f>
        <v>0</v>
      </c>
      <c r="P82" s="1992">
        <f t="array" aca="1" ref="P82:P84" ca="1">'Distr CV 3'!D82:D84</f>
        <v>0</v>
      </c>
      <c r="Q82" s="1992">
        <f ca="1"/>
        <v>0</v>
      </c>
      <c r="R82" s="1992">
        <f ca="1"/>
        <v>0</v>
      </c>
      <c r="S82" s="1992">
        <f ca="1"/>
        <v>0</v>
      </c>
      <c r="T82" s="1992">
        <f ca="1"/>
        <v>0</v>
      </c>
      <c r="U82" s="1992">
        <f ca="1"/>
        <v>0</v>
      </c>
      <c r="V82" s="1992">
        <f ca="1"/>
        <v>0</v>
      </c>
      <c r="W82" s="1992">
        <f ca="1"/>
        <v>0</v>
      </c>
      <c r="X82" s="1992">
        <f ca="1"/>
        <v>0</v>
      </c>
      <c r="Y82" s="2010">
        <f ca="1"/>
        <v>0</v>
      </c>
    </row>
    <row r="83" spans="1:26" ht="15.75" customHeight="1">
      <c r="A83" s="1995" t="s">
        <v>270</v>
      </c>
      <c r="B83" s="1991"/>
      <c r="C83" s="603">
        <f t="array" aca="1" ref="C83" ca="1">SUM(B20:B27*Produção!$C$8:$C$15)</f>
        <v>0</v>
      </c>
      <c r="D83" s="603">
        <f t="array" aca="1" ref="D83" ca="1">SUM(C20:C27*Produção!$C$8:$C$15)</f>
        <v>0</v>
      </c>
      <c r="E83" s="603">
        <f t="array" aca="1" ref="E83" ca="1">SUM(D20:D27*Produção!$C$8:$C$15)</f>
        <v>0</v>
      </c>
      <c r="F83" s="603">
        <f t="array" aca="1" ref="F83" ca="1">SUM(E20:E27*Produção!$C$8:$C$15)</f>
        <v>0</v>
      </c>
      <c r="G83" s="603">
        <f t="array" aca="1" ref="G83" ca="1">SUM(F20:F27*Produção!$C$8:$C$15)</f>
        <v>0</v>
      </c>
      <c r="H83" s="603">
        <f t="array" aca="1" ref="H83" ca="1">SUM(G20:G27*Produção!$C$8:$C$15)</f>
        <v>0</v>
      </c>
      <c r="I83" s="603">
        <f t="array" aca="1" ref="I83" ca="1">SUM(H20:H27*Produção!$C$8:$C$15)</f>
        <v>0</v>
      </c>
      <c r="J83" s="603">
        <f t="array" aca="1" ref="J83" ca="1">SUM(I20:I27*Produção!$C$8:$C$15)</f>
        <v>0</v>
      </c>
      <c r="K83" s="603">
        <f t="array" aca="1" ref="K83" ca="1">SUM(J20:J27*Produção!$C$8:$C$15)</f>
        <v>0</v>
      </c>
      <c r="L83" s="603">
        <f t="array" aca="1" ref="L83" ca="1">SUM(K20:K27*Produção!$C$8:$C$15)</f>
        <v>0</v>
      </c>
      <c r="M83" s="603">
        <f t="array" aca="1" ref="M83" ca="1">SUM(L20:L27*Produção!$C$8:$C$15)</f>
        <v>0</v>
      </c>
      <c r="N83" s="603">
        <f t="array" aca="1" ref="N83" ca="1">SUM(M20:M27*Produção!$C$8:$C$15)</f>
        <v>0</v>
      </c>
      <c r="O83" s="1992">
        <f t="array" aca="1" ref="O83:O84" ca="1">'Distr CV 3'!C83:C84</f>
        <v>0</v>
      </c>
      <c r="P83" s="1992">
        <f ca="1"/>
        <v>0</v>
      </c>
      <c r="Q83" s="1992">
        <f ca="1"/>
        <v>0</v>
      </c>
      <c r="R83" s="1992">
        <f ca="1"/>
        <v>0</v>
      </c>
      <c r="S83" s="1992">
        <f ca="1"/>
        <v>0</v>
      </c>
      <c r="T83" s="1992">
        <f ca="1"/>
        <v>0</v>
      </c>
      <c r="U83" s="1992">
        <f ca="1"/>
        <v>0</v>
      </c>
      <c r="V83" s="1992">
        <f ca="1"/>
        <v>0</v>
      </c>
      <c r="W83" s="1992">
        <f ca="1"/>
        <v>0</v>
      </c>
      <c r="X83" s="1992">
        <f ca="1"/>
        <v>0</v>
      </c>
      <c r="Y83" s="2010">
        <f ca="1"/>
        <v>0</v>
      </c>
    </row>
    <row r="84" spans="1:26" ht="15.75" customHeight="1" thickBot="1">
      <c r="A84" s="1995" t="s">
        <v>271</v>
      </c>
      <c r="B84" s="603">
        <f t="array" aca="1" ref="B84" ca="1">SUM(B20:B27*Produção!$B$8:$B$15)</f>
        <v>0</v>
      </c>
      <c r="C84" s="603">
        <f t="array" aca="1" ref="C84" ca="1">SUM(C20:C27*Produção!$B$8:$B$15)</f>
        <v>0</v>
      </c>
      <c r="D84" s="603">
        <f t="array" aca="1" ref="D84" ca="1">SUM(D20:D27*Produção!$B$8:$B$15)</f>
        <v>0</v>
      </c>
      <c r="E84" s="603">
        <f t="array" aca="1" ref="E84" ca="1">SUM(E20:E27*Produção!$B$8:$B$15)</f>
        <v>0</v>
      </c>
      <c r="F84" s="603">
        <f t="array" aca="1" ref="F84" ca="1">SUM(F20:F27*Produção!$B$8:$B$15)</f>
        <v>0</v>
      </c>
      <c r="G84" s="603">
        <f t="array" aca="1" ref="G84" ca="1">SUM(G20:G27*Produção!$B$8:$B$15)</f>
        <v>0</v>
      </c>
      <c r="H84" s="603">
        <f t="array" aca="1" ref="H84" ca="1">SUM(H20:H27*Produção!$B$8:$B$15)</f>
        <v>0</v>
      </c>
      <c r="I84" s="603">
        <f t="array" aca="1" ref="I84" ca="1">SUM(I20:I27*Produção!$B$8:$B$15)</f>
        <v>0</v>
      </c>
      <c r="J84" s="603">
        <f t="array" aca="1" ref="J84" ca="1">SUM(J20:J27*Produção!$B$8:$B$15)</f>
        <v>0</v>
      </c>
      <c r="K84" s="603">
        <f t="array" aca="1" ref="K84" ca="1">SUM(K20:K27*Produção!$B$8:$B$15)</f>
        <v>0</v>
      </c>
      <c r="L84" s="603">
        <f t="array" aca="1" ref="L84" ca="1">SUM(L20:L27*Produção!$B$8:$B$15)</f>
        <v>0</v>
      </c>
      <c r="M84" s="603">
        <f t="array" aca="1" ref="M84" ca="1">SUM(M20:M27*Produção!$B$8:$B$15)</f>
        <v>0</v>
      </c>
      <c r="N84" s="1992">
        <f ca="1">'Distr CV 3'!B84</f>
        <v>0</v>
      </c>
      <c r="O84" s="1992">
        <f ca="1"/>
        <v>0</v>
      </c>
      <c r="P84" s="1992">
        <f ca="1"/>
        <v>0</v>
      </c>
      <c r="Q84" s="1992">
        <f ca="1"/>
        <v>0</v>
      </c>
      <c r="R84" s="1992">
        <f ca="1"/>
        <v>0</v>
      </c>
      <c r="S84" s="1992">
        <f ca="1"/>
        <v>0</v>
      </c>
      <c r="T84" s="1992">
        <f ca="1"/>
        <v>0</v>
      </c>
      <c r="U84" s="1992">
        <f ca="1"/>
        <v>0</v>
      </c>
      <c r="V84" s="1992">
        <f ca="1"/>
        <v>0</v>
      </c>
      <c r="W84" s="1992">
        <f ca="1"/>
        <v>0</v>
      </c>
      <c r="X84" s="1992">
        <f ca="1"/>
        <v>0</v>
      </c>
      <c r="Y84" s="2010">
        <f ca="1"/>
        <v>0</v>
      </c>
    </row>
    <row r="85" spans="1:26" ht="15.75" customHeight="1" thickBot="1">
      <c r="A85" s="105" t="str">
        <f>A$28</f>
        <v>Totais</v>
      </c>
      <c r="B85" s="607">
        <f t="shared" ref="B85:Y85" ca="1" si="8">SUM(B72:B84)</f>
        <v>0</v>
      </c>
      <c r="C85" s="607">
        <f t="shared" ca="1" si="8"/>
        <v>0</v>
      </c>
      <c r="D85" s="607">
        <f t="shared" ca="1" si="8"/>
        <v>0</v>
      </c>
      <c r="E85" s="607">
        <f t="shared" ca="1" si="8"/>
        <v>0</v>
      </c>
      <c r="F85" s="607">
        <f t="shared" ca="1" si="8"/>
        <v>0</v>
      </c>
      <c r="G85" s="607">
        <f t="shared" ca="1" si="8"/>
        <v>0</v>
      </c>
      <c r="H85" s="607">
        <f t="shared" ca="1" si="8"/>
        <v>0</v>
      </c>
      <c r="I85" s="607">
        <f t="shared" ca="1" si="8"/>
        <v>0</v>
      </c>
      <c r="J85" s="607">
        <f t="shared" ca="1" si="8"/>
        <v>0</v>
      </c>
      <c r="K85" s="607">
        <f t="shared" ca="1" si="8"/>
        <v>0</v>
      </c>
      <c r="L85" s="607">
        <f t="shared" ca="1" si="8"/>
        <v>0</v>
      </c>
      <c r="M85" s="607">
        <f t="shared" ca="1" si="8"/>
        <v>0</v>
      </c>
      <c r="N85" s="607">
        <f t="shared" ca="1" si="8"/>
        <v>155.95230000000001</v>
      </c>
      <c r="O85" s="607">
        <f t="shared" ca="1" si="8"/>
        <v>155.95230000000001</v>
      </c>
      <c r="P85" s="607">
        <f t="shared" ca="1" si="8"/>
        <v>155.95230000000001</v>
      </c>
      <c r="Q85" s="607">
        <f t="shared" ca="1" si="8"/>
        <v>155.95230000000001</v>
      </c>
      <c r="R85" s="607">
        <f t="shared" ca="1" si="8"/>
        <v>155.95230000000001</v>
      </c>
      <c r="S85" s="607">
        <f t="shared" ca="1" si="8"/>
        <v>155.95230000000001</v>
      </c>
      <c r="T85" s="607">
        <f t="shared" ca="1" si="8"/>
        <v>155.95230000000001</v>
      </c>
      <c r="U85" s="607">
        <f t="shared" ca="1" si="8"/>
        <v>155.95230000000001</v>
      </c>
      <c r="V85" s="607">
        <f t="shared" ca="1" si="8"/>
        <v>155.95230000000001</v>
      </c>
      <c r="W85" s="607">
        <f t="shared" ca="1" si="8"/>
        <v>155.95230000000001</v>
      </c>
      <c r="X85" s="607">
        <f t="shared" ca="1" si="8"/>
        <v>155.95230000000001</v>
      </c>
      <c r="Y85" s="2008">
        <f t="shared" ca="1" si="8"/>
        <v>155.95230000000001</v>
      </c>
    </row>
    <row r="86" spans="1:26">
      <c r="B86" s="62"/>
    </row>
    <row r="87" spans="1:26">
      <c r="B87" s="62">
        <f ca="1">SUM(B85:M85)</f>
        <v>0</v>
      </c>
    </row>
    <row r="88" spans="1:26">
      <c r="B88" s="62"/>
    </row>
    <row r="89" spans="1:26" ht="18.75" thickBot="1">
      <c r="A89" s="1993" t="str">
        <f>'Distr CV 0'!A89</f>
        <v>IVA dos custos de produção por meses de compra</v>
      </c>
      <c r="I89" s="1993"/>
    </row>
    <row r="90" spans="1:26" s="456" customFormat="1" ht="35.25" customHeight="1" thickBot="1">
      <c r="A90" s="457" t="str">
        <f>'Distr CV 0'!A90</f>
        <v>IVA Custos produção</v>
      </c>
      <c r="B90" s="2011" t="str">
        <f t="array" ref="B90:Y90">B$71:Y$71</f>
        <v>janeiro 
2027</v>
      </c>
      <c r="C90" s="2011" t="str">
        <v>fevereiro 
2027</v>
      </c>
      <c r="D90" s="2011" t="str">
        <v>março 
2027</v>
      </c>
      <c r="E90" s="2011" t="str">
        <v>abril 
2027</v>
      </c>
      <c r="F90" s="2011" t="str">
        <v>maio 
2027</v>
      </c>
      <c r="G90" s="2011" t="str">
        <v>junho 
2027</v>
      </c>
      <c r="H90" s="2011" t="str">
        <v>julho 
2027</v>
      </c>
      <c r="I90" s="2011" t="str">
        <v>agosto 
2027</v>
      </c>
      <c r="J90" s="2011" t="str">
        <v>setembro 
2027</v>
      </c>
      <c r="K90" s="2011" t="str">
        <v>outubro 
2027</v>
      </c>
      <c r="L90" s="2011" t="str">
        <v>novembro 
2027</v>
      </c>
      <c r="M90" s="2011" t="str">
        <v>dezembro 
2027</v>
      </c>
      <c r="N90" s="2734" t="str">
        <v>janeiro 
2028</v>
      </c>
      <c r="O90" s="2735" t="str">
        <v>fevereiro 
2028</v>
      </c>
      <c r="P90" s="2735" t="str">
        <v>março 
2028</v>
      </c>
      <c r="Q90" s="2735" t="str">
        <v>abril 
2028</v>
      </c>
      <c r="R90" s="2735" t="str">
        <v>maio 
2028</v>
      </c>
      <c r="S90" s="2735" t="str">
        <v>junho 
2028</v>
      </c>
      <c r="T90" s="2735" t="str">
        <v>julho 
2028</v>
      </c>
      <c r="U90" s="2735" t="str">
        <v>agosto 
2028</v>
      </c>
      <c r="V90" s="2735" t="str">
        <v>setembro 
2028</v>
      </c>
      <c r="W90" s="2735" t="str">
        <v>outubro 
2028</v>
      </c>
      <c r="X90" s="2735" t="str">
        <v>novembro 
2028</v>
      </c>
      <c r="Y90" s="2736" t="str">
        <v>dezembro 
2028</v>
      </c>
      <c r="Z90" s="62"/>
    </row>
    <row r="91" spans="1:26" ht="15.75" customHeight="1">
      <c r="A91" s="1994" t="str">
        <f t="shared" ref="A91:A103" si="9">A72</f>
        <v>mismo mes</v>
      </c>
      <c r="B91" s="1991"/>
      <c r="C91" s="1991"/>
      <c r="D91" s="1991"/>
      <c r="E91" s="1991"/>
      <c r="F91" s="1991"/>
      <c r="G91" s="1991"/>
      <c r="H91" s="1989">
        <v>0</v>
      </c>
      <c r="I91" s="1990">
        <v>0</v>
      </c>
      <c r="J91" s="1990">
        <v>0</v>
      </c>
      <c r="K91" s="1990">
        <v>0</v>
      </c>
      <c r="L91" s="1990">
        <v>0</v>
      </c>
      <c r="M91" s="1990">
        <v>0</v>
      </c>
      <c r="N91" s="599">
        <f t="array" aca="1" ref="N91" ca="1">SUM(B32:B39*Produção!$N$8:$N$15)</f>
        <v>32.749983</v>
      </c>
      <c r="O91" s="599">
        <f t="array" aca="1" ref="O91" ca="1">SUM(C32:C39*Produção!$N$8:$N$15)</f>
        <v>32.749983</v>
      </c>
      <c r="P91" s="599">
        <f t="array" aca="1" ref="P91" ca="1">SUM(D32:D39*Produção!$N$8:$N$15)</f>
        <v>32.749983</v>
      </c>
      <c r="Q91" s="599">
        <f t="array" aca="1" ref="Q91" ca="1">SUM(E32:E39*Produção!$N$8:$N$15)</f>
        <v>32.749983</v>
      </c>
      <c r="R91" s="599">
        <f t="array" aca="1" ref="R91" ca="1">SUM(F32:F39*Produção!$N$8:$N$15)</f>
        <v>32.749983</v>
      </c>
      <c r="S91" s="599">
        <f t="array" aca="1" ref="S91" ca="1">SUM(G32:G39*Produção!$N$8:$N$15)</f>
        <v>32.749983</v>
      </c>
      <c r="T91" s="599">
        <f t="array" aca="1" ref="T91" ca="1">SUM(H32:H39*Produção!$N$8:$N$15)</f>
        <v>32.749983</v>
      </c>
      <c r="U91" s="599">
        <f t="array" aca="1" ref="U91" ca="1">SUM(I32:I39*Produção!$N$8:$N$15)</f>
        <v>32.749983</v>
      </c>
      <c r="V91" s="599">
        <f t="array" aca="1" ref="V91" ca="1">SUM(J32:J39*Produção!$N$8:$N$15)</f>
        <v>32.749983</v>
      </c>
      <c r="W91" s="599">
        <f t="array" aca="1" ref="W91" ca="1">SUM(K32:K39*Produção!$N$8:$N$15)</f>
        <v>32.749983</v>
      </c>
      <c r="X91" s="599">
        <f t="array" aca="1" ref="X91" ca="1">SUM(L32:L39*Produção!$N$8:$N$15)</f>
        <v>32.749983</v>
      </c>
      <c r="Y91" s="2009">
        <f t="array" aca="1" ref="Y91" ca="1">SUM(M32:M39*Produção!$N$8:$N$15)</f>
        <v>32.749983</v>
      </c>
    </row>
    <row r="92" spans="1:26" ht="15.75" customHeight="1">
      <c r="A92" s="1995" t="str">
        <f t="shared" si="9"/>
        <v>1 mes antes</v>
      </c>
      <c r="B92" s="1991"/>
      <c r="C92" s="1991"/>
      <c r="D92" s="1991"/>
      <c r="E92" s="1991"/>
      <c r="F92" s="1991"/>
      <c r="G92" s="1991"/>
      <c r="H92" s="1991"/>
      <c r="I92" s="1988"/>
      <c r="J92" s="1988"/>
      <c r="K92" s="1988"/>
      <c r="L92" s="1988"/>
      <c r="M92" s="601">
        <f t="array" aca="1" ref="M92" ca="1">SUM(B32:B39*Produção!$M$8:$M$15)</f>
        <v>0</v>
      </c>
      <c r="N92" s="601">
        <f t="array" aca="1" ref="N92" ca="1">SUM(C32:C39*Produção!$M$8:$M$15)</f>
        <v>0</v>
      </c>
      <c r="O92" s="601">
        <f t="array" aca="1" ref="O92" ca="1">SUM(D32:D39*Produção!$M$8:$M$15)</f>
        <v>0</v>
      </c>
      <c r="P92" s="601">
        <f t="array" aca="1" ref="P92" ca="1">SUM(E32:E39*Produção!$M$8:$M$15)</f>
        <v>0</v>
      </c>
      <c r="Q92" s="601">
        <f t="array" aca="1" ref="Q92" ca="1">SUM(F32:F39*Produção!$M$8:$M$15)</f>
        <v>0</v>
      </c>
      <c r="R92" s="601">
        <f t="array" aca="1" ref="R92" ca="1">SUM(G32:G39*Produção!$M$8:$M$15)</f>
        <v>0</v>
      </c>
      <c r="S92" s="601">
        <f t="array" aca="1" ref="S92" ca="1">SUM(H32:H39*Produção!$M$8:$M$15)</f>
        <v>0</v>
      </c>
      <c r="T92" s="601">
        <f t="array" aca="1" ref="T92" ca="1">SUM(I32:I39*Produção!$M$8:$M$15)</f>
        <v>0</v>
      </c>
      <c r="U92" s="601">
        <f t="array" aca="1" ref="U92" ca="1">SUM(J32:J39*Produção!$M$8:$M$15)</f>
        <v>0</v>
      </c>
      <c r="V92" s="601">
        <f t="array" aca="1" ref="V92" ca="1">SUM(K32:K39*Produção!$M$8:$M$15)</f>
        <v>0</v>
      </c>
      <c r="W92" s="601">
        <f t="array" aca="1" ref="W92" ca="1">SUM(L32:L39*Produção!$M$8:$M$15)</f>
        <v>0</v>
      </c>
      <c r="X92" s="601">
        <f t="array" aca="1" ref="X92" ca="1">SUM(M32:M39*Produção!$M$8:$M$15)</f>
        <v>0</v>
      </c>
      <c r="Y92" s="2007">
        <f t="array" aca="1" ref="Y92:Y103" ca="1">'Distr CV 3'!M92:M103</f>
        <v>0</v>
      </c>
    </row>
    <row r="93" spans="1:26" ht="15.75" customHeight="1">
      <c r="A93" s="1995" t="str">
        <f t="shared" si="9"/>
        <v>2 meses antes</v>
      </c>
      <c r="B93" s="1991"/>
      <c r="C93" s="1991"/>
      <c r="D93" s="1991"/>
      <c r="E93" s="1991"/>
      <c r="F93" s="1991"/>
      <c r="G93" s="1991"/>
      <c r="H93" s="1991"/>
      <c r="I93" s="1988"/>
      <c r="J93" s="1988"/>
      <c r="K93" s="1988"/>
      <c r="L93" s="601">
        <f t="array" aca="1" ref="L93" ca="1">SUM(B32:B39*Produção!$L$8:$L$15)</f>
        <v>0</v>
      </c>
      <c r="M93" s="601">
        <f t="array" aca="1" ref="M93" ca="1">SUM(C32:C39*Produção!$L$8:$L$15)</f>
        <v>0</v>
      </c>
      <c r="N93" s="601">
        <f t="array" aca="1" ref="N93" ca="1">SUM(D32:D39*Produção!$L$8:$L$15)</f>
        <v>0</v>
      </c>
      <c r="O93" s="601">
        <f t="array" aca="1" ref="O93" ca="1">SUM(E32:E39*Produção!$L$8:$L$15)</f>
        <v>0</v>
      </c>
      <c r="P93" s="601">
        <f t="array" aca="1" ref="P93" ca="1">SUM(F32:F39*Produção!$L$8:$L$15)</f>
        <v>0</v>
      </c>
      <c r="Q93" s="601">
        <f t="array" aca="1" ref="Q93" ca="1">SUM(G32:G39*Produção!$L$8:$L$15)</f>
        <v>0</v>
      </c>
      <c r="R93" s="601">
        <f t="array" aca="1" ref="R93" ca="1">SUM(H32:H39*Produção!$L$8:$L$15)</f>
        <v>0</v>
      </c>
      <c r="S93" s="601">
        <f t="array" aca="1" ref="S93" ca="1">SUM(I32:I39*Produção!$L$8:$L$15)</f>
        <v>0</v>
      </c>
      <c r="T93" s="601">
        <f t="array" aca="1" ref="T93" ca="1">SUM(J32:J39*Produção!$L$8:$L$15)</f>
        <v>0</v>
      </c>
      <c r="U93" s="601">
        <f t="array" aca="1" ref="U93" ca="1">SUM(K32:K39*Produção!$L$8:$L$15)</f>
        <v>0</v>
      </c>
      <c r="V93" s="601">
        <f t="array" aca="1" ref="V93" ca="1">SUM(L32:L39*Produção!$L$8:$L$15)</f>
        <v>0</v>
      </c>
      <c r="W93" s="601">
        <f t="array" aca="1" ref="W93" ca="1">SUM(M32:M39*Produção!$L$8:$L$15)</f>
        <v>0</v>
      </c>
      <c r="X93" s="1988">
        <f t="array" aca="1" ref="X93:X103" ca="1">'Distr CV 3'!L93:L103</f>
        <v>0</v>
      </c>
      <c r="Y93" s="2007">
        <f ca="1"/>
        <v>0</v>
      </c>
    </row>
    <row r="94" spans="1:26" ht="15.75" customHeight="1">
      <c r="A94" s="1995" t="str">
        <f t="shared" si="9"/>
        <v>3 meses antes</v>
      </c>
      <c r="B94" s="1991"/>
      <c r="C94" s="1991"/>
      <c r="D94" s="1991"/>
      <c r="E94" s="1991"/>
      <c r="F94" s="1991"/>
      <c r="G94" s="1991"/>
      <c r="H94" s="1991"/>
      <c r="I94" s="1988"/>
      <c r="J94" s="1988"/>
      <c r="K94" s="601">
        <f t="array" aca="1" ref="K94" ca="1">SUM(B32:B39*Produção!$K$8:$K$15)</f>
        <v>0</v>
      </c>
      <c r="L94" s="601">
        <f t="array" aca="1" ref="L94" ca="1">SUM(C32:C39*Produção!$K$8:$K$15)</f>
        <v>0</v>
      </c>
      <c r="M94" s="601">
        <f t="array" aca="1" ref="M94" ca="1">SUM(D32:D39*Produção!$K$8:$K$15)</f>
        <v>0</v>
      </c>
      <c r="N94" s="601">
        <f t="array" aca="1" ref="N94" ca="1">SUM(E32:E39*Produção!$K$8:$K$15)</f>
        <v>0</v>
      </c>
      <c r="O94" s="601">
        <f t="array" aca="1" ref="O94" ca="1">SUM(F32:F39*Produção!$K$8:$K$15)</f>
        <v>0</v>
      </c>
      <c r="P94" s="601">
        <f t="array" aca="1" ref="P94" ca="1">SUM(G32:G39*Produção!$K$8:$K$15)</f>
        <v>0</v>
      </c>
      <c r="Q94" s="601">
        <f t="array" aca="1" ref="Q94" ca="1">SUM(H32:H39*Produção!$K$8:$K$15)</f>
        <v>0</v>
      </c>
      <c r="R94" s="601">
        <f t="array" aca="1" ref="R94" ca="1">SUM(I32:I39*Produção!$K$8:$K$15)</f>
        <v>0</v>
      </c>
      <c r="S94" s="601">
        <f t="array" aca="1" ref="S94" ca="1">SUM(J32:J39*Produção!$K$8:$K$15)</f>
        <v>0</v>
      </c>
      <c r="T94" s="601">
        <f t="array" aca="1" ref="T94" ca="1">SUM(K32:K39*Produção!$K$8:$K$15)</f>
        <v>0</v>
      </c>
      <c r="U94" s="601">
        <f t="array" aca="1" ref="U94" ca="1">SUM(L32:L39*Produção!$K$8:$K$15)</f>
        <v>0</v>
      </c>
      <c r="V94" s="601">
        <f t="array" aca="1" ref="V94" ca="1">SUM(M32:M39*Produção!$K$8:$K$15)</f>
        <v>0</v>
      </c>
      <c r="W94" s="1988">
        <f t="array" aca="1" ref="W94:W103" ca="1">'Distr CV 3'!K94:K103</f>
        <v>0</v>
      </c>
      <c r="X94" s="1988">
        <f ca="1"/>
        <v>0</v>
      </c>
      <c r="Y94" s="2007">
        <f ca="1"/>
        <v>0</v>
      </c>
    </row>
    <row r="95" spans="1:26" ht="15.75" customHeight="1">
      <c r="A95" s="1995" t="str">
        <f t="shared" si="9"/>
        <v>4 meses antes</v>
      </c>
      <c r="B95" s="1991"/>
      <c r="C95" s="1991"/>
      <c r="D95" s="1991"/>
      <c r="E95" s="1991"/>
      <c r="F95" s="1991"/>
      <c r="G95" s="1991"/>
      <c r="H95" s="1991"/>
      <c r="I95" s="1988"/>
      <c r="J95" s="601">
        <f t="array" aca="1" ref="J95" ca="1">SUM(B32:B39*Produção!$J$8:$J$15)</f>
        <v>0</v>
      </c>
      <c r="K95" s="601">
        <f t="array" aca="1" ref="K95" ca="1">SUM(C32:C39*Produção!$J$8:$J$15)</f>
        <v>0</v>
      </c>
      <c r="L95" s="601">
        <f t="array" aca="1" ref="L95" ca="1">SUM(D32:D39*Produção!$J$8:$J$15)</f>
        <v>0</v>
      </c>
      <c r="M95" s="601">
        <f t="array" aca="1" ref="M95" ca="1">SUM(E32:E39*Produção!$J$8:$J$15)</f>
        <v>0</v>
      </c>
      <c r="N95" s="601">
        <f t="array" aca="1" ref="N95" ca="1">SUM(F32:F39*Produção!$J$8:$J$15)</f>
        <v>0</v>
      </c>
      <c r="O95" s="601">
        <f t="array" aca="1" ref="O95" ca="1">SUM(G32:G39*Produção!$J$8:$J$15)</f>
        <v>0</v>
      </c>
      <c r="P95" s="601">
        <f t="array" aca="1" ref="P95" ca="1">SUM(H32:H39*Produção!$J$8:$J$15)</f>
        <v>0</v>
      </c>
      <c r="Q95" s="601">
        <f t="array" aca="1" ref="Q95" ca="1">SUM(I32:I39*Produção!$J$8:$J$15)</f>
        <v>0</v>
      </c>
      <c r="R95" s="601">
        <f t="array" aca="1" ref="R95" ca="1">SUM(J32:J39*Produção!$J$8:$J$15)</f>
        <v>0</v>
      </c>
      <c r="S95" s="601">
        <f t="array" aca="1" ref="S95" ca="1">SUM(K32:K39*Produção!$J$8:$J$15)</f>
        <v>0</v>
      </c>
      <c r="T95" s="601">
        <f t="array" aca="1" ref="T95" ca="1">SUM(L32:L39*Produção!$J$8:$J$15)</f>
        <v>0</v>
      </c>
      <c r="U95" s="601">
        <f t="array" aca="1" ref="U95" ca="1">SUM(M32:M39*Produção!$J$8:$J$15)</f>
        <v>0</v>
      </c>
      <c r="V95" s="1988">
        <f t="array" aca="1" ref="V95:V103" ca="1">'Distr CV 3'!J95:J103</f>
        <v>0</v>
      </c>
      <c r="W95" s="1988">
        <f ca="1"/>
        <v>0</v>
      </c>
      <c r="X95" s="1988">
        <f ca="1"/>
        <v>0</v>
      </c>
      <c r="Y95" s="2007">
        <f ca="1"/>
        <v>0</v>
      </c>
    </row>
    <row r="96" spans="1:26" ht="15.75" customHeight="1">
      <c r="A96" s="1995" t="str">
        <f t="shared" si="9"/>
        <v>5 meses antes</v>
      </c>
      <c r="B96" s="1991"/>
      <c r="C96" s="1991"/>
      <c r="D96" s="1991"/>
      <c r="E96" s="1991"/>
      <c r="F96" s="1991"/>
      <c r="G96" s="1991"/>
      <c r="H96" s="1991"/>
      <c r="I96" s="601">
        <f t="array" aca="1" ref="I96" ca="1">SUM(B32:B39*Produção!$I$8:$I$15)</f>
        <v>0</v>
      </c>
      <c r="J96" s="601">
        <f t="array" aca="1" ref="J96" ca="1">SUM(C32:C39*Produção!$I$8:$I$15)</f>
        <v>0</v>
      </c>
      <c r="K96" s="601">
        <f t="array" aca="1" ref="K96" ca="1">SUM(D32:D39*Produção!$I$8:$I$15)</f>
        <v>0</v>
      </c>
      <c r="L96" s="601">
        <f t="array" aca="1" ref="L96" ca="1">SUM(E32:E39*Produção!$I$8:$I$15)</f>
        <v>0</v>
      </c>
      <c r="M96" s="601">
        <f t="array" aca="1" ref="M96" ca="1">SUM(F32:F39*Produção!$I$8:$I$15)</f>
        <v>0</v>
      </c>
      <c r="N96" s="601">
        <f t="array" aca="1" ref="N96" ca="1">SUM(G32:G39*Produção!$I$8:$I$15)</f>
        <v>0</v>
      </c>
      <c r="O96" s="601">
        <f t="array" aca="1" ref="O96" ca="1">SUM(H32:H39*Produção!$I$8:$I$15)</f>
        <v>0</v>
      </c>
      <c r="P96" s="601">
        <f t="array" aca="1" ref="P96" ca="1">SUM(I32:I39*Produção!$I$8:$I$15)</f>
        <v>0</v>
      </c>
      <c r="Q96" s="601">
        <f t="array" aca="1" ref="Q96" ca="1">SUM(J32:J39*Produção!$I$8:$I$15)</f>
        <v>0</v>
      </c>
      <c r="R96" s="601">
        <f t="array" aca="1" ref="R96" ca="1">SUM(K32:K39*Produção!$I$8:$I$15)</f>
        <v>0</v>
      </c>
      <c r="S96" s="601">
        <f t="array" aca="1" ref="S96" ca="1">SUM(L32:L39*Produção!$I$8:$I$15)</f>
        <v>0</v>
      </c>
      <c r="T96" s="601">
        <f t="array" aca="1" ref="T96" ca="1">SUM(M32:M39*Produção!$I$8:$I$15)</f>
        <v>0</v>
      </c>
      <c r="U96" s="1988">
        <f t="array" aca="1" ref="U96:U103" ca="1">'Distr CV 3'!I96:I103</f>
        <v>0</v>
      </c>
      <c r="V96" s="1988">
        <f ca="1"/>
        <v>0</v>
      </c>
      <c r="W96" s="1988">
        <f ca="1"/>
        <v>0</v>
      </c>
      <c r="X96" s="1988">
        <f ca="1"/>
        <v>0</v>
      </c>
      <c r="Y96" s="2007">
        <f ca="1"/>
        <v>0</v>
      </c>
    </row>
    <row r="97" spans="1:26" ht="15.75" customHeight="1">
      <c r="A97" s="1995" t="str">
        <f t="shared" si="9"/>
        <v>6 meses antes</v>
      </c>
      <c r="B97" s="1991"/>
      <c r="C97" s="1991"/>
      <c r="D97" s="1991"/>
      <c r="E97" s="1991"/>
      <c r="F97" s="1991"/>
      <c r="G97" s="1991"/>
      <c r="H97" s="601">
        <f t="array" aca="1" ref="H97" ca="1">SUM(B32:B39*Produção!$H$8:$H$15)</f>
        <v>0</v>
      </c>
      <c r="I97" s="601">
        <f t="array" aca="1" ref="I97" ca="1">SUM(C32:C39*Produção!$H$8:$H$15)</f>
        <v>0</v>
      </c>
      <c r="J97" s="601">
        <f t="array" aca="1" ref="J97" ca="1">SUM(D32:D39*Produção!$H$8:$H$15)</f>
        <v>0</v>
      </c>
      <c r="K97" s="601">
        <f t="array" aca="1" ref="K97" ca="1">SUM(E32:E39*Produção!$H$8:$H$15)</f>
        <v>0</v>
      </c>
      <c r="L97" s="601">
        <f t="array" aca="1" ref="L97" ca="1">SUM(F32:F39*Produção!$H$8:$H$15)</f>
        <v>0</v>
      </c>
      <c r="M97" s="601">
        <f t="array" aca="1" ref="M97" ca="1">SUM(G32:G39*Produção!$H$8:$H$15)</f>
        <v>0</v>
      </c>
      <c r="N97" s="601">
        <f t="array" aca="1" ref="N97" ca="1">SUM(H32:H39*Produção!$H$8:$H$15)</f>
        <v>0</v>
      </c>
      <c r="O97" s="601">
        <f t="array" aca="1" ref="O97" ca="1">SUM(I32:I39*Produção!$H$8:$H$15)</f>
        <v>0</v>
      </c>
      <c r="P97" s="601">
        <f t="array" aca="1" ref="P97" ca="1">SUM(J32:J39*Produção!$H$8:$H$15)</f>
        <v>0</v>
      </c>
      <c r="Q97" s="601">
        <f t="array" aca="1" ref="Q97" ca="1">SUM(K32:K39*Produção!$H$8:$H$15)</f>
        <v>0</v>
      </c>
      <c r="R97" s="601">
        <f t="array" aca="1" ref="R97" ca="1">SUM(L32:L39*Produção!$H$8:$H$15)</f>
        <v>0</v>
      </c>
      <c r="S97" s="601">
        <f t="array" aca="1" ref="S97" ca="1">SUM(M32:M39*Produção!$H$8:$H$15)</f>
        <v>0</v>
      </c>
      <c r="T97" s="1988">
        <f t="array" aca="1" ref="T97:T103" ca="1">'Distr CV 3'!H97:H103</f>
        <v>0</v>
      </c>
      <c r="U97" s="1988">
        <f ca="1"/>
        <v>0</v>
      </c>
      <c r="V97" s="1988">
        <f ca="1"/>
        <v>0</v>
      </c>
      <c r="W97" s="1988">
        <f ca="1"/>
        <v>0</v>
      </c>
      <c r="X97" s="1988">
        <f ca="1"/>
        <v>0</v>
      </c>
      <c r="Y97" s="2007">
        <f ca="1"/>
        <v>0</v>
      </c>
    </row>
    <row r="98" spans="1:26" ht="15.75" customHeight="1">
      <c r="A98" s="1995" t="str">
        <f t="shared" si="9"/>
        <v>7 meses antes</v>
      </c>
      <c r="B98" s="1991"/>
      <c r="C98" s="1991"/>
      <c r="D98" s="1991"/>
      <c r="E98" s="1991"/>
      <c r="F98" s="1991"/>
      <c r="G98" s="603">
        <f t="array" aca="1" ref="G98" ca="1">SUM(B32:B39*Produção!$G$8:$G$15)</f>
        <v>0</v>
      </c>
      <c r="H98" s="603">
        <f t="array" aca="1" ref="H98" ca="1">SUM(C32:C39*Produção!$G$8:$G$15)</f>
        <v>0</v>
      </c>
      <c r="I98" s="603">
        <f t="array" aca="1" ref="I98" ca="1">SUM(D32:D39*Produção!$G$8:$G$15)</f>
        <v>0</v>
      </c>
      <c r="J98" s="603">
        <f t="array" aca="1" ref="J98" ca="1">SUM(E32:E39*Produção!$G$8:$G$15)</f>
        <v>0</v>
      </c>
      <c r="K98" s="603">
        <f t="array" aca="1" ref="K98" ca="1">SUM(F32:F39*Produção!$G$8:$G$15)</f>
        <v>0</v>
      </c>
      <c r="L98" s="603">
        <f t="array" aca="1" ref="L98" ca="1">SUM(G32:G39*Produção!$G$8:$G$15)</f>
        <v>0</v>
      </c>
      <c r="M98" s="603">
        <f t="array" aca="1" ref="M98" ca="1">SUM(H32:H39*Produção!$G$8:$G$15)</f>
        <v>0</v>
      </c>
      <c r="N98" s="603">
        <f t="array" aca="1" ref="N98" ca="1">SUM(I32:I39*Produção!$G$8:$G$15)</f>
        <v>0</v>
      </c>
      <c r="O98" s="603">
        <f t="array" aca="1" ref="O98" ca="1">SUM(J32:J39*Produção!$G$8:$G$15)</f>
        <v>0</v>
      </c>
      <c r="P98" s="603">
        <f t="array" aca="1" ref="P98" ca="1">SUM(K32:K39*Produção!$G$8:$G$15)</f>
        <v>0</v>
      </c>
      <c r="Q98" s="603">
        <f t="array" aca="1" ref="Q98" ca="1">SUM(L32:L39*Produção!$G$8:$G$15)</f>
        <v>0</v>
      </c>
      <c r="R98" s="603">
        <f t="array" aca="1" ref="R98" ca="1">SUM(M32:M39*Produção!$G$8:$G$15)</f>
        <v>0</v>
      </c>
      <c r="S98" s="1992">
        <f t="array" aca="1" ref="S98:S103" ca="1">'Distr CV 3'!G98:G103</f>
        <v>0</v>
      </c>
      <c r="T98" s="1992">
        <f ca="1"/>
        <v>0</v>
      </c>
      <c r="U98" s="1992">
        <f ca="1"/>
        <v>0</v>
      </c>
      <c r="V98" s="1992">
        <f ca="1"/>
        <v>0</v>
      </c>
      <c r="W98" s="1992">
        <f ca="1"/>
        <v>0</v>
      </c>
      <c r="X98" s="1992">
        <f ca="1"/>
        <v>0</v>
      </c>
      <c r="Y98" s="2010">
        <f ca="1"/>
        <v>0</v>
      </c>
    </row>
    <row r="99" spans="1:26" ht="15.75" customHeight="1">
      <c r="A99" s="1995" t="str">
        <f t="shared" si="9"/>
        <v>8 meses antes</v>
      </c>
      <c r="B99" s="1991"/>
      <c r="C99" s="1991"/>
      <c r="D99" s="1991"/>
      <c r="E99" s="1991"/>
      <c r="F99" s="603">
        <f t="array" aca="1" ref="F99" ca="1">SUM(B32:B39*Produção!$F$8:$F$15)</f>
        <v>0</v>
      </c>
      <c r="G99" s="603">
        <f t="array" aca="1" ref="G99" ca="1">SUM(C32:C39*Produção!$F$8:$F$15)</f>
        <v>0</v>
      </c>
      <c r="H99" s="603">
        <f t="array" aca="1" ref="H99" ca="1">SUM(D32:D39*Produção!$F$8:$F$15)</f>
        <v>0</v>
      </c>
      <c r="I99" s="603">
        <f t="array" aca="1" ref="I99" ca="1">SUM(E32:E39*Produção!$F$8:$F$15)</f>
        <v>0</v>
      </c>
      <c r="J99" s="603">
        <f t="array" aca="1" ref="J99" ca="1">SUM(F32:F39*Produção!$F$8:$F$15)</f>
        <v>0</v>
      </c>
      <c r="K99" s="603">
        <f t="array" aca="1" ref="K99" ca="1">SUM(G32:G39*Produção!$F$8:$F$15)</f>
        <v>0</v>
      </c>
      <c r="L99" s="603">
        <f t="array" aca="1" ref="L99" ca="1">SUM(H32:H39*Produção!$F$8:$F$15)</f>
        <v>0</v>
      </c>
      <c r="M99" s="603">
        <f t="array" aca="1" ref="M99" ca="1">SUM(I32:I39*Produção!$F$8:$F$15)</f>
        <v>0</v>
      </c>
      <c r="N99" s="603">
        <f t="array" aca="1" ref="N99" ca="1">SUM(J32:J39*Produção!$F$8:$F$15)</f>
        <v>0</v>
      </c>
      <c r="O99" s="603">
        <f t="array" aca="1" ref="O99" ca="1">SUM(K32:K39*Produção!$F$8:$F$15)</f>
        <v>0</v>
      </c>
      <c r="P99" s="603">
        <f t="array" aca="1" ref="P99" ca="1">SUM(L32:L39*Produção!$F$8:$F$15)</f>
        <v>0</v>
      </c>
      <c r="Q99" s="603">
        <f t="array" aca="1" ref="Q99" ca="1">SUM(M32:M39*Produção!$F$8:$F$15)</f>
        <v>0</v>
      </c>
      <c r="R99" s="1992">
        <f t="array" aca="1" ref="R99:R103" ca="1">'Distr CV 3'!F99:F103</f>
        <v>0</v>
      </c>
      <c r="S99" s="1992">
        <f ca="1"/>
        <v>0</v>
      </c>
      <c r="T99" s="1992">
        <f ca="1"/>
        <v>0</v>
      </c>
      <c r="U99" s="1992">
        <f ca="1"/>
        <v>0</v>
      </c>
      <c r="V99" s="1992">
        <f ca="1"/>
        <v>0</v>
      </c>
      <c r="W99" s="1992">
        <f ca="1"/>
        <v>0</v>
      </c>
      <c r="X99" s="1992">
        <f ca="1"/>
        <v>0</v>
      </c>
      <c r="Y99" s="2010">
        <f ca="1"/>
        <v>0</v>
      </c>
    </row>
    <row r="100" spans="1:26" ht="15.75" customHeight="1">
      <c r="A100" s="1995" t="str">
        <f t="shared" si="9"/>
        <v>9 meses antes</v>
      </c>
      <c r="B100" s="1991"/>
      <c r="C100" s="1991"/>
      <c r="D100" s="1991"/>
      <c r="E100" s="603">
        <f t="array" aca="1" ref="E100" ca="1">SUM(B32:B39*Produção!$E$8:$E$15)</f>
        <v>0</v>
      </c>
      <c r="F100" s="603">
        <f t="array" aca="1" ref="F100" ca="1">SUM(C32:C39*Produção!$E$8:$E$15)</f>
        <v>0</v>
      </c>
      <c r="G100" s="603">
        <f t="array" aca="1" ref="G100" ca="1">SUM(D32:D39*Produção!$E$8:$E$15)</f>
        <v>0</v>
      </c>
      <c r="H100" s="603">
        <f t="array" aca="1" ref="H100" ca="1">SUM(E32:E39*Produção!$E$8:$E$15)</f>
        <v>0</v>
      </c>
      <c r="I100" s="603">
        <f t="array" aca="1" ref="I100" ca="1">SUM(F32:F39*Produção!$E$8:$E$15)</f>
        <v>0</v>
      </c>
      <c r="J100" s="603">
        <f t="array" aca="1" ref="J100" ca="1">SUM(G32:G39*Produção!$E$8:$E$15)</f>
        <v>0</v>
      </c>
      <c r="K100" s="603">
        <f t="array" aca="1" ref="K100" ca="1">SUM(H32:H39*Produção!$E$8:$E$15)</f>
        <v>0</v>
      </c>
      <c r="L100" s="603">
        <f t="array" aca="1" ref="L100" ca="1">SUM(I32:I39*Produção!$E$8:$E$15)</f>
        <v>0</v>
      </c>
      <c r="M100" s="603">
        <f t="array" aca="1" ref="M100" ca="1">SUM(J32:J39*Produção!$E$8:$E$15)</f>
        <v>0</v>
      </c>
      <c r="N100" s="603">
        <f t="array" aca="1" ref="N100" ca="1">SUM(K32:K39*Produção!$E$8:$E$15)</f>
        <v>0</v>
      </c>
      <c r="O100" s="603">
        <f t="array" aca="1" ref="O100" ca="1">SUM(L32:L39*Produção!$E$8:$E$15)</f>
        <v>0</v>
      </c>
      <c r="P100" s="603">
        <f t="array" aca="1" ref="P100" ca="1">SUM(M32:M39*Produção!$E$8:$E$15)</f>
        <v>0</v>
      </c>
      <c r="Q100" s="1992">
        <f t="array" aca="1" ref="Q100:Q103" ca="1">'Distr CV 3'!E100:E103</f>
        <v>0</v>
      </c>
      <c r="R100" s="1992">
        <f ca="1"/>
        <v>0</v>
      </c>
      <c r="S100" s="1992">
        <f ca="1"/>
        <v>0</v>
      </c>
      <c r="T100" s="1992">
        <f ca="1"/>
        <v>0</v>
      </c>
      <c r="U100" s="1992">
        <f ca="1"/>
        <v>0</v>
      </c>
      <c r="V100" s="1992">
        <f ca="1"/>
        <v>0</v>
      </c>
      <c r="W100" s="1992">
        <f ca="1"/>
        <v>0</v>
      </c>
      <c r="X100" s="1992">
        <f ca="1"/>
        <v>0</v>
      </c>
      <c r="Y100" s="2010">
        <f ca="1"/>
        <v>0</v>
      </c>
    </row>
    <row r="101" spans="1:26" ht="15.75" customHeight="1">
      <c r="A101" s="1995" t="str">
        <f t="shared" si="9"/>
        <v>10 meses antes</v>
      </c>
      <c r="B101" s="1991"/>
      <c r="C101" s="1991"/>
      <c r="D101" s="602">
        <f t="array" aca="1" ref="D101" ca="1">SUM(B32:B39*Produção!$D$8:$D$15)</f>
        <v>0</v>
      </c>
      <c r="E101" s="602">
        <f t="array" aca="1" ref="E101" ca="1">SUM(C32:C39*Produção!$D$8:$D$15)</f>
        <v>0</v>
      </c>
      <c r="F101" s="602">
        <f t="array" aca="1" ref="F101" ca="1">SUM(D32:D39*Produção!$D$8:$D$15)</f>
        <v>0</v>
      </c>
      <c r="G101" s="602">
        <f t="array" aca="1" ref="G101" ca="1">SUM(E32:E39*Produção!$D$8:$D$15)</f>
        <v>0</v>
      </c>
      <c r="H101" s="602">
        <f t="array" aca="1" ref="H101" ca="1">SUM(F32:F39*Produção!$D$8:$D$15)</f>
        <v>0</v>
      </c>
      <c r="I101" s="602">
        <f t="array" aca="1" ref="I101" ca="1">SUM(G32:G39*Produção!$D$8:$D$15)</f>
        <v>0</v>
      </c>
      <c r="J101" s="602">
        <f t="array" aca="1" ref="J101" ca="1">SUM(H32:H39*Produção!$D$8:$D$15)</f>
        <v>0</v>
      </c>
      <c r="K101" s="602">
        <f t="array" aca="1" ref="K101" ca="1">SUM(I32:I39*Produção!$D$8:$D$15)</f>
        <v>0</v>
      </c>
      <c r="L101" s="602">
        <f t="array" aca="1" ref="L101" ca="1">SUM(J32:J39*Produção!$D$8:$D$15)</f>
        <v>0</v>
      </c>
      <c r="M101" s="602">
        <f t="array" aca="1" ref="M101" ca="1">SUM(K32:K39*Produção!$D$8:$D$15)</f>
        <v>0</v>
      </c>
      <c r="N101" s="602">
        <f t="array" aca="1" ref="N101" ca="1">SUM(L32:L39*Produção!$D$8:$D$15)</f>
        <v>0</v>
      </c>
      <c r="O101" s="602">
        <f t="array" aca="1" ref="O101" ca="1">SUM(M32:M39*Produção!$D$8:$D$15)</f>
        <v>0</v>
      </c>
      <c r="P101" s="1992">
        <f t="array" aca="1" ref="P101:P103" ca="1">'Distr CV 3'!D101:D103</f>
        <v>0</v>
      </c>
      <c r="Q101" s="1992">
        <f ca="1"/>
        <v>0</v>
      </c>
      <c r="R101" s="1992">
        <f ca="1"/>
        <v>0</v>
      </c>
      <c r="S101" s="1992">
        <f ca="1"/>
        <v>0</v>
      </c>
      <c r="T101" s="1992">
        <f ca="1"/>
        <v>0</v>
      </c>
      <c r="U101" s="1992">
        <f ca="1"/>
        <v>0</v>
      </c>
      <c r="V101" s="1992">
        <f ca="1"/>
        <v>0</v>
      </c>
      <c r="W101" s="1992">
        <f ca="1"/>
        <v>0</v>
      </c>
      <c r="X101" s="1992">
        <f ca="1"/>
        <v>0</v>
      </c>
      <c r="Y101" s="2010">
        <f ca="1"/>
        <v>0</v>
      </c>
    </row>
    <row r="102" spans="1:26" ht="15.75" customHeight="1">
      <c r="A102" s="1995" t="str">
        <f t="shared" si="9"/>
        <v>11 meses antes</v>
      </c>
      <c r="B102" s="1991"/>
      <c r="C102" s="603">
        <f t="array" aca="1" ref="C102" ca="1">SUM(B32:B39*Produção!$C$8:$C$15)</f>
        <v>0</v>
      </c>
      <c r="D102" s="603">
        <f t="array" aca="1" ref="D102" ca="1">SUM(C32:C39*Produção!$C$8:$C$15)</f>
        <v>0</v>
      </c>
      <c r="E102" s="603">
        <f t="array" aca="1" ref="E102" ca="1">SUM(D32:D39*Produção!$C$8:$C$15)</f>
        <v>0</v>
      </c>
      <c r="F102" s="603">
        <f t="array" aca="1" ref="F102" ca="1">SUM(E32:E39*Produção!$C$8:$C$15)</f>
        <v>0</v>
      </c>
      <c r="G102" s="603">
        <f t="array" aca="1" ref="G102" ca="1">SUM(F32:F39*Produção!$C$8:$C$15)</f>
        <v>0</v>
      </c>
      <c r="H102" s="603">
        <f t="array" aca="1" ref="H102" ca="1">SUM(G32:G39*Produção!$C$8:$C$15)</f>
        <v>0</v>
      </c>
      <c r="I102" s="603">
        <f t="array" aca="1" ref="I102" ca="1">SUM(H32:H39*Produção!$C$8:$C$15)</f>
        <v>0</v>
      </c>
      <c r="J102" s="603">
        <f t="array" aca="1" ref="J102" ca="1">SUM(I32:I39*Produção!$C$8:$C$15)</f>
        <v>0</v>
      </c>
      <c r="K102" s="603">
        <f t="array" aca="1" ref="K102" ca="1">SUM(J32:J39*Produção!$C$8:$C$15)</f>
        <v>0</v>
      </c>
      <c r="L102" s="603">
        <f t="array" aca="1" ref="L102" ca="1">SUM(K32:K39*Produção!$C$8:$C$15)</f>
        <v>0</v>
      </c>
      <c r="M102" s="603">
        <f t="array" aca="1" ref="M102" ca="1">SUM(L32:L39*Produção!$C$8:$C$15)</f>
        <v>0</v>
      </c>
      <c r="N102" s="603">
        <f t="array" aca="1" ref="N102" ca="1">SUM(M32:M39*Produção!$C$8:$C$15)</f>
        <v>0</v>
      </c>
      <c r="O102" s="1992">
        <f ca="1">'Distr CV 3'!C102</f>
        <v>0</v>
      </c>
      <c r="P102" s="1992">
        <f ca="1"/>
        <v>0</v>
      </c>
      <c r="Q102" s="1992">
        <f ca="1"/>
        <v>0</v>
      </c>
      <c r="R102" s="1992">
        <f ca="1"/>
        <v>0</v>
      </c>
      <c r="S102" s="1992">
        <f ca="1"/>
        <v>0</v>
      </c>
      <c r="T102" s="1992">
        <f ca="1"/>
        <v>0</v>
      </c>
      <c r="U102" s="1992">
        <f ca="1"/>
        <v>0</v>
      </c>
      <c r="V102" s="1992">
        <f ca="1"/>
        <v>0</v>
      </c>
      <c r="W102" s="1992">
        <f ca="1"/>
        <v>0</v>
      </c>
      <c r="X102" s="1992">
        <f ca="1"/>
        <v>0</v>
      </c>
      <c r="Y102" s="2010">
        <f ca="1"/>
        <v>0</v>
      </c>
    </row>
    <row r="103" spans="1:26" ht="15.75" customHeight="1" thickBot="1">
      <c r="A103" s="1995" t="str">
        <f t="shared" si="9"/>
        <v>12 meses antes</v>
      </c>
      <c r="B103" s="603">
        <f t="array" aca="1" ref="B103" ca="1">SUM(B32:B39*Produção!$B$8:$B$15)</f>
        <v>0</v>
      </c>
      <c r="C103" s="603">
        <f t="array" aca="1" ref="C103" ca="1">SUM(C32:C39*Produção!$B$8:$B$15)</f>
        <v>0</v>
      </c>
      <c r="D103" s="603">
        <f t="array" aca="1" ref="D103" ca="1">SUM(D32:D39*Produção!$B$8:$B$15)</f>
        <v>0</v>
      </c>
      <c r="E103" s="603">
        <f t="array" aca="1" ref="E103" ca="1">SUM(E32:E39*Produção!$B$8:$B$15)</f>
        <v>0</v>
      </c>
      <c r="F103" s="603">
        <f t="array" aca="1" ref="F103" ca="1">SUM(F32:F39*Produção!$B$8:$B$15)</f>
        <v>0</v>
      </c>
      <c r="G103" s="603">
        <f t="array" aca="1" ref="G103" ca="1">SUM(G32:G39*Produção!$B$8:$B$15)</f>
        <v>0</v>
      </c>
      <c r="H103" s="603">
        <f t="array" aca="1" ref="H103" ca="1">SUM(H32:H39*Produção!$B$8:$B$15)</f>
        <v>0</v>
      </c>
      <c r="I103" s="603">
        <f t="array" aca="1" ref="I103" ca="1">SUM(I32:I39*Produção!$B$8:$B$15)</f>
        <v>0</v>
      </c>
      <c r="J103" s="603">
        <f t="array" aca="1" ref="J103" ca="1">SUM(J32:J39*Produção!$B$8:$B$15)</f>
        <v>0</v>
      </c>
      <c r="K103" s="603">
        <f t="array" aca="1" ref="K103" ca="1">SUM(K32:K39*Produção!$B$8:$B$15)</f>
        <v>0</v>
      </c>
      <c r="L103" s="603">
        <f t="array" aca="1" ref="L103" ca="1">SUM(L32:L39*Produção!$B$8:$B$15)</f>
        <v>0</v>
      </c>
      <c r="M103" s="603">
        <f t="array" aca="1" ref="M103" ca="1">SUM(M32:M39*Produção!$B$8:$B$15)</f>
        <v>0</v>
      </c>
      <c r="N103" s="1992">
        <f ca="1">'Distr CV 3'!B103</f>
        <v>0</v>
      </c>
      <c r="O103" s="1992">
        <f ca="1">'Distr CV 3'!C103</f>
        <v>0</v>
      </c>
      <c r="P103" s="1992">
        <f ca="1"/>
        <v>0</v>
      </c>
      <c r="Q103" s="1992">
        <f ca="1"/>
        <v>0</v>
      </c>
      <c r="R103" s="1992">
        <f ca="1"/>
        <v>0</v>
      </c>
      <c r="S103" s="1992">
        <f ca="1"/>
        <v>0</v>
      </c>
      <c r="T103" s="1992">
        <f ca="1"/>
        <v>0</v>
      </c>
      <c r="U103" s="1992">
        <f ca="1"/>
        <v>0</v>
      </c>
      <c r="V103" s="1992">
        <f ca="1"/>
        <v>0</v>
      </c>
      <c r="W103" s="1992">
        <f ca="1"/>
        <v>0</v>
      </c>
      <c r="X103" s="1992">
        <f ca="1"/>
        <v>0</v>
      </c>
      <c r="Y103" s="2010">
        <f ca="1"/>
        <v>0</v>
      </c>
    </row>
    <row r="104" spans="1:26" ht="15.75" customHeight="1" thickBot="1">
      <c r="A104" s="105" t="str">
        <f>A$28</f>
        <v>Totais</v>
      </c>
      <c r="B104" s="607">
        <f t="shared" ref="B104:Y104" ca="1" si="10">SUM(B91:B103)</f>
        <v>0</v>
      </c>
      <c r="C104" s="607">
        <f t="shared" ca="1" si="10"/>
        <v>0</v>
      </c>
      <c r="D104" s="607">
        <f t="shared" ca="1" si="10"/>
        <v>0</v>
      </c>
      <c r="E104" s="607">
        <f t="shared" ca="1" si="10"/>
        <v>0</v>
      </c>
      <c r="F104" s="607">
        <f t="shared" ca="1" si="10"/>
        <v>0</v>
      </c>
      <c r="G104" s="607">
        <f t="shared" ca="1" si="10"/>
        <v>0</v>
      </c>
      <c r="H104" s="607">
        <f t="shared" ca="1" si="10"/>
        <v>0</v>
      </c>
      <c r="I104" s="607">
        <f t="shared" ca="1" si="10"/>
        <v>0</v>
      </c>
      <c r="J104" s="607">
        <f t="shared" ca="1" si="10"/>
        <v>0</v>
      </c>
      <c r="K104" s="607">
        <f t="shared" ca="1" si="10"/>
        <v>0</v>
      </c>
      <c r="L104" s="607">
        <f t="shared" ca="1" si="10"/>
        <v>0</v>
      </c>
      <c r="M104" s="607">
        <f t="shared" ca="1" si="10"/>
        <v>0</v>
      </c>
      <c r="N104" s="607">
        <f t="shared" ca="1" si="10"/>
        <v>32.749983</v>
      </c>
      <c r="O104" s="607">
        <f t="shared" ca="1" si="10"/>
        <v>32.749983</v>
      </c>
      <c r="P104" s="607">
        <f t="shared" ca="1" si="10"/>
        <v>32.749983</v>
      </c>
      <c r="Q104" s="607">
        <f t="shared" ca="1" si="10"/>
        <v>32.749983</v>
      </c>
      <c r="R104" s="607">
        <f t="shared" ca="1" si="10"/>
        <v>32.749983</v>
      </c>
      <c r="S104" s="607">
        <f t="shared" ca="1" si="10"/>
        <v>32.749983</v>
      </c>
      <c r="T104" s="607">
        <f t="shared" ca="1" si="10"/>
        <v>32.749983</v>
      </c>
      <c r="U104" s="607">
        <f t="shared" ca="1" si="10"/>
        <v>32.749983</v>
      </c>
      <c r="V104" s="607">
        <f t="shared" ca="1" si="10"/>
        <v>32.749983</v>
      </c>
      <c r="W104" s="607">
        <f t="shared" ca="1" si="10"/>
        <v>32.749983</v>
      </c>
      <c r="X104" s="607">
        <f t="shared" ca="1" si="10"/>
        <v>32.749983</v>
      </c>
      <c r="Y104" s="2008">
        <f t="shared" ca="1" si="10"/>
        <v>32.749983</v>
      </c>
    </row>
    <row r="106" spans="1:26">
      <c r="A106" s="239" t="str">
        <f>'Dados Básicos'!A28&amp;" del pendiente anterior"</f>
        <v>IVA del pendiente anterior</v>
      </c>
      <c r="B106" s="62">
        <f ca="1">SUM(B104:M104)</f>
        <v>0</v>
      </c>
    </row>
    <row r="108" spans="1:26">
      <c r="F108" s="62" t="str">
        <f>'Distr CV 0'!F108</f>
        <v>(PARA PODERMOS CALCULAR OS PAGAMENTOS NOS MESES APROPRIADOS)</v>
      </c>
      <c r="K108" s="62" t="str">
        <f>'Distr CV 0'!K108</f>
        <v>Totais custos / compras para a produção do producto 1 pelos meses nos que se produzir os custos</v>
      </c>
    </row>
    <row r="109" spans="1:26" ht="18.75" thickBot="1">
      <c r="A109" s="1993" t="str">
        <f>'Distr CV 0'!A109</f>
        <v>Compras / custos de produção por meses de produto 1</v>
      </c>
      <c r="I109" s="1993" t="str">
        <f>I$44</f>
        <v>IVA NÃO incluido</v>
      </c>
      <c r="K109" s="2005">
        <f>Parametros!$F$24</f>
        <v>0.21</v>
      </c>
    </row>
    <row r="110" spans="1:26" s="456" customFormat="1" ht="30" customHeight="1" thickBot="1">
      <c r="A110" s="457" t="str">
        <f>'Distr CV 0'!A110</f>
        <v>mes de compra / custo</v>
      </c>
      <c r="B110" s="2011" t="str">
        <f t="array" ref="B110:Y110">B$71:Y$71</f>
        <v>janeiro 
2027</v>
      </c>
      <c r="C110" s="2011" t="str">
        <v>fevereiro 
2027</v>
      </c>
      <c r="D110" s="2011" t="str">
        <v>março 
2027</v>
      </c>
      <c r="E110" s="2011" t="str">
        <v>abril 
2027</v>
      </c>
      <c r="F110" s="2011" t="str">
        <v>maio 
2027</v>
      </c>
      <c r="G110" s="2011" t="str">
        <v>junho 
2027</v>
      </c>
      <c r="H110" s="2011" t="str">
        <v>julho 
2027</v>
      </c>
      <c r="I110" s="2011" t="str">
        <v>agosto 
2027</v>
      </c>
      <c r="J110" s="2011" t="str">
        <v>setembro 
2027</v>
      </c>
      <c r="K110" s="2011" t="str">
        <v>outubro 
2027</v>
      </c>
      <c r="L110" s="2011" t="str">
        <v>novembro 
2027</v>
      </c>
      <c r="M110" s="2011" t="str">
        <v>dezembro 
2027</v>
      </c>
      <c r="N110" s="2734" t="str">
        <v>janeiro 
2028</v>
      </c>
      <c r="O110" s="2735" t="str">
        <v>fevereiro 
2028</v>
      </c>
      <c r="P110" s="2735" t="str">
        <v>março 
2028</v>
      </c>
      <c r="Q110" s="2735" t="str">
        <v>abril 
2028</v>
      </c>
      <c r="R110" s="2735" t="str">
        <v>maio 
2028</v>
      </c>
      <c r="S110" s="2735" t="str">
        <v>junho 
2028</v>
      </c>
      <c r="T110" s="2735" t="str">
        <v>julho 
2028</v>
      </c>
      <c r="U110" s="2735" t="str">
        <v>agosto 
2028</v>
      </c>
      <c r="V110" s="2735" t="str">
        <v>setembro 
2028</v>
      </c>
      <c r="W110" s="2735" t="str">
        <v>outubro 
2028</v>
      </c>
      <c r="X110" s="2735" t="str">
        <v>novembro 
2028</v>
      </c>
      <c r="Y110" s="2736" t="str">
        <v>dezembro 
2028</v>
      </c>
      <c r="Z110" s="62"/>
    </row>
    <row r="111" spans="1:26">
      <c r="A111" s="1994" t="str">
        <f>A$72</f>
        <v>mismo mes</v>
      </c>
      <c r="B111" s="1991"/>
      <c r="C111" s="1991"/>
      <c r="D111" s="1991"/>
      <c r="E111" s="1991"/>
      <c r="F111" s="1991"/>
      <c r="G111" s="1991"/>
      <c r="H111" s="1991"/>
      <c r="I111" s="1991"/>
      <c r="J111" s="1991"/>
      <c r="K111" s="1991"/>
      <c r="L111" s="1991"/>
      <c r="M111" s="1991"/>
      <c r="N111" s="603">
        <f t="array" aca="1" ref="N111:Y111" ca="1">B$20:M20*Produção!$N$8</f>
        <v>155.95230000000001</v>
      </c>
      <c r="O111" s="603">
        <f ca="1"/>
        <v>155.95230000000001</v>
      </c>
      <c r="P111" s="603">
        <f ca="1"/>
        <v>155.95230000000001</v>
      </c>
      <c r="Q111" s="603">
        <f ca="1"/>
        <v>155.95230000000001</v>
      </c>
      <c r="R111" s="603">
        <f ca="1"/>
        <v>155.95230000000001</v>
      </c>
      <c r="S111" s="603">
        <f ca="1"/>
        <v>155.95230000000001</v>
      </c>
      <c r="T111" s="603">
        <f ca="1"/>
        <v>155.95230000000001</v>
      </c>
      <c r="U111" s="603">
        <f ca="1"/>
        <v>155.95230000000001</v>
      </c>
      <c r="V111" s="603">
        <f ca="1"/>
        <v>155.95230000000001</v>
      </c>
      <c r="W111" s="603">
        <f ca="1"/>
        <v>155.95230000000001</v>
      </c>
      <c r="X111" s="603">
        <f ca="1"/>
        <v>155.95230000000001</v>
      </c>
      <c r="Y111" s="2006">
        <f ca="1"/>
        <v>155.95230000000001</v>
      </c>
    </row>
    <row r="112" spans="1:26">
      <c r="A112" s="1995" t="str">
        <f>A$73</f>
        <v>1 mes antes</v>
      </c>
      <c r="B112" s="1991"/>
      <c r="C112" s="1991"/>
      <c r="D112" s="1991"/>
      <c r="E112" s="1991"/>
      <c r="F112" s="1991"/>
      <c r="G112" s="1991"/>
      <c r="H112" s="1991"/>
      <c r="I112" s="1991"/>
      <c r="J112" s="1991"/>
      <c r="K112" s="1991"/>
      <c r="L112" s="1991"/>
      <c r="M112" s="603">
        <f t="array" aca="1" ref="M112:X112" ca="1">B$20:M20*Produção!$M$8</f>
        <v>0</v>
      </c>
      <c r="N112" s="603">
        <f ca="1"/>
        <v>0</v>
      </c>
      <c r="O112" s="603">
        <f ca="1"/>
        <v>0</v>
      </c>
      <c r="P112" s="603">
        <f ca="1"/>
        <v>0</v>
      </c>
      <c r="Q112" s="603">
        <f ca="1"/>
        <v>0</v>
      </c>
      <c r="R112" s="603">
        <f ca="1"/>
        <v>0</v>
      </c>
      <c r="S112" s="603">
        <f ca="1"/>
        <v>0</v>
      </c>
      <c r="T112" s="603">
        <f ca="1"/>
        <v>0</v>
      </c>
      <c r="U112" s="603">
        <f ca="1"/>
        <v>0</v>
      </c>
      <c r="V112" s="603">
        <f ca="1"/>
        <v>0</v>
      </c>
      <c r="W112" s="603">
        <f ca="1"/>
        <v>0</v>
      </c>
      <c r="X112" s="603">
        <f ca="1"/>
        <v>0</v>
      </c>
      <c r="Y112" s="2007">
        <f t="array" aca="1" ref="Y112:Y123" ca="1">'Distr CV 3'!M112:M123</f>
        <v>0</v>
      </c>
    </row>
    <row r="113" spans="1:25">
      <c r="A113" s="1995" t="str">
        <f>A$74</f>
        <v>2 meses antes</v>
      </c>
      <c r="B113" s="1991"/>
      <c r="C113" s="1991"/>
      <c r="D113" s="1991"/>
      <c r="E113" s="1991"/>
      <c r="F113" s="1991"/>
      <c r="G113" s="1991"/>
      <c r="H113" s="1991"/>
      <c r="I113" s="1991"/>
      <c r="J113" s="1991"/>
      <c r="K113" s="1991"/>
      <c r="L113" s="603">
        <f t="array" aca="1" ref="L113:W113" ca="1">B$20:M20*Produção!$L$8</f>
        <v>0</v>
      </c>
      <c r="M113" s="603">
        <f ca="1"/>
        <v>0</v>
      </c>
      <c r="N113" s="603">
        <f ca="1"/>
        <v>0</v>
      </c>
      <c r="O113" s="603">
        <f ca="1"/>
        <v>0</v>
      </c>
      <c r="P113" s="603">
        <f ca="1"/>
        <v>0</v>
      </c>
      <c r="Q113" s="603">
        <f ca="1"/>
        <v>0</v>
      </c>
      <c r="R113" s="603">
        <f ca="1"/>
        <v>0</v>
      </c>
      <c r="S113" s="603">
        <f ca="1"/>
        <v>0</v>
      </c>
      <c r="T113" s="603">
        <f ca="1"/>
        <v>0</v>
      </c>
      <c r="U113" s="603">
        <f ca="1"/>
        <v>0</v>
      </c>
      <c r="V113" s="603">
        <f ca="1"/>
        <v>0</v>
      </c>
      <c r="W113" s="603">
        <f ca="1"/>
        <v>0</v>
      </c>
      <c r="X113" s="1988">
        <f t="array" aca="1" ref="X113:X123" ca="1">'Distr CV 3'!L113:L123</f>
        <v>0</v>
      </c>
      <c r="Y113" s="2007">
        <f ca="1"/>
        <v>0</v>
      </c>
    </row>
    <row r="114" spans="1:25">
      <c r="A114" s="1995" t="str">
        <f>A$75</f>
        <v>3 meses antes</v>
      </c>
      <c r="B114" s="1991"/>
      <c r="C114" s="1991"/>
      <c r="D114" s="1991"/>
      <c r="E114" s="1991"/>
      <c r="F114" s="1991"/>
      <c r="G114" s="1991"/>
      <c r="H114" s="1991"/>
      <c r="I114" s="1991"/>
      <c r="J114" s="1991"/>
      <c r="K114" s="603">
        <f t="array" aca="1" ref="K114:V114" ca="1">B$20:M20*Produção!$K$8</f>
        <v>0</v>
      </c>
      <c r="L114" s="603">
        <f ca="1"/>
        <v>0</v>
      </c>
      <c r="M114" s="603">
        <f ca="1"/>
        <v>0</v>
      </c>
      <c r="N114" s="603">
        <f ca="1"/>
        <v>0</v>
      </c>
      <c r="O114" s="603">
        <f ca="1"/>
        <v>0</v>
      </c>
      <c r="P114" s="603">
        <f ca="1"/>
        <v>0</v>
      </c>
      <c r="Q114" s="603">
        <f ca="1"/>
        <v>0</v>
      </c>
      <c r="R114" s="603">
        <f ca="1"/>
        <v>0</v>
      </c>
      <c r="S114" s="603">
        <f ca="1"/>
        <v>0</v>
      </c>
      <c r="T114" s="603">
        <f ca="1"/>
        <v>0</v>
      </c>
      <c r="U114" s="603">
        <f ca="1"/>
        <v>0</v>
      </c>
      <c r="V114" s="603">
        <f ca="1"/>
        <v>0</v>
      </c>
      <c r="W114" s="1988">
        <f t="array" aca="1" ref="W114:W123" ca="1">'Distr CV 3'!K114:K123</f>
        <v>0</v>
      </c>
      <c r="X114" s="1988">
        <f ca="1"/>
        <v>0</v>
      </c>
      <c r="Y114" s="2007">
        <f ca="1"/>
        <v>0</v>
      </c>
    </row>
    <row r="115" spans="1:25">
      <c r="A115" s="1995" t="str">
        <f>A$76</f>
        <v>4 meses antes</v>
      </c>
      <c r="B115" s="1991"/>
      <c r="C115" s="1991"/>
      <c r="D115" s="1991"/>
      <c r="E115" s="1991"/>
      <c r="F115" s="1991"/>
      <c r="G115" s="1991"/>
      <c r="H115" s="1991"/>
      <c r="I115" s="1991"/>
      <c r="J115" s="603">
        <f t="array" aca="1" ref="J115:U115" ca="1">B$20:M20*Produção!$J$8</f>
        <v>0</v>
      </c>
      <c r="K115" s="603">
        <f ca="1"/>
        <v>0</v>
      </c>
      <c r="L115" s="603">
        <f ca="1"/>
        <v>0</v>
      </c>
      <c r="M115" s="603">
        <f ca="1"/>
        <v>0</v>
      </c>
      <c r="N115" s="603">
        <f ca="1"/>
        <v>0</v>
      </c>
      <c r="O115" s="603">
        <f ca="1"/>
        <v>0</v>
      </c>
      <c r="P115" s="603">
        <f ca="1"/>
        <v>0</v>
      </c>
      <c r="Q115" s="603">
        <f ca="1"/>
        <v>0</v>
      </c>
      <c r="R115" s="603">
        <f ca="1"/>
        <v>0</v>
      </c>
      <c r="S115" s="603">
        <f ca="1"/>
        <v>0</v>
      </c>
      <c r="T115" s="603">
        <f ca="1"/>
        <v>0</v>
      </c>
      <c r="U115" s="603">
        <f ca="1"/>
        <v>0</v>
      </c>
      <c r="V115" s="1988">
        <f t="array" aca="1" ref="V115:V123" ca="1">'Distr CV 3'!J115:J123</f>
        <v>0</v>
      </c>
      <c r="W115" s="1988">
        <f ca="1"/>
        <v>0</v>
      </c>
      <c r="X115" s="1988">
        <f ca="1"/>
        <v>0</v>
      </c>
      <c r="Y115" s="2007">
        <f ca="1"/>
        <v>0</v>
      </c>
    </row>
    <row r="116" spans="1:25">
      <c r="A116" s="1995" t="str">
        <f>A$77</f>
        <v>5 meses antes</v>
      </c>
      <c r="B116" s="1991"/>
      <c r="C116" s="1991"/>
      <c r="D116" s="1991"/>
      <c r="E116" s="1991"/>
      <c r="F116" s="1991"/>
      <c r="G116" s="1991"/>
      <c r="H116" s="1991"/>
      <c r="I116" s="603">
        <f t="array" aca="1" ref="I116:T116" ca="1">B$20:M20*Produção!$I$8</f>
        <v>0</v>
      </c>
      <c r="J116" s="603">
        <f ca="1"/>
        <v>0</v>
      </c>
      <c r="K116" s="603">
        <f ca="1"/>
        <v>0</v>
      </c>
      <c r="L116" s="603">
        <f ca="1"/>
        <v>0</v>
      </c>
      <c r="M116" s="603">
        <f ca="1"/>
        <v>0</v>
      </c>
      <c r="N116" s="603">
        <f ca="1"/>
        <v>0</v>
      </c>
      <c r="O116" s="603">
        <f ca="1"/>
        <v>0</v>
      </c>
      <c r="P116" s="603">
        <f ca="1"/>
        <v>0</v>
      </c>
      <c r="Q116" s="603">
        <f ca="1"/>
        <v>0</v>
      </c>
      <c r="R116" s="603">
        <f ca="1"/>
        <v>0</v>
      </c>
      <c r="S116" s="603">
        <f ca="1"/>
        <v>0</v>
      </c>
      <c r="T116" s="603">
        <f ca="1"/>
        <v>0</v>
      </c>
      <c r="U116" s="1988">
        <f t="array" aca="1" ref="U116:U123" ca="1">'Distr CV 3'!I116:I123</f>
        <v>0</v>
      </c>
      <c r="V116" s="1988">
        <f ca="1"/>
        <v>0</v>
      </c>
      <c r="W116" s="1988">
        <f ca="1"/>
        <v>0</v>
      </c>
      <c r="X116" s="1988">
        <f ca="1"/>
        <v>0</v>
      </c>
      <c r="Y116" s="2007">
        <f ca="1"/>
        <v>0</v>
      </c>
    </row>
    <row r="117" spans="1:25">
      <c r="A117" s="1995" t="str">
        <f>A$78</f>
        <v>6 meses antes</v>
      </c>
      <c r="B117" s="1991"/>
      <c r="C117" s="1991"/>
      <c r="D117" s="1991"/>
      <c r="E117" s="1991"/>
      <c r="F117" s="1991"/>
      <c r="G117" s="1991"/>
      <c r="H117" s="603">
        <f t="array" aca="1" ref="H117:S117" ca="1">B$20:M20*Produção!$H$8</f>
        <v>0</v>
      </c>
      <c r="I117" s="603">
        <f ca="1"/>
        <v>0</v>
      </c>
      <c r="J117" s="603">
        <f ca="1"/>
        <v>0</v>
      </c>
      <c r="K117" s="603">
        <f ca="1"/>
        <v>0</v>
      </c>
      <c r="L117" s="603">
        <f ca="1"/>
        <v>0</v>
      </c>
      <c r="M117" s="603">
        <f ca="1"/>
        <v>0</v>
      </c>
      <c r="N117" s="603">
        <f ca="1"/>
        <v>0</v>
      </c>
      <c r="O117" s="603">
        <f ca="1"/>
        <v>0</v>
      </c>
      <c r="P117" s="603">
        <f ca="1"/>
        <v>0</v>
      </c>
      <c r="Q117" s="603">
        <f ca="1"/>
        <v>0</v>
      </c>
      <c r="R117" s="603">
        <f ca="1"/>
        <v>0</v>
      </c>
      <c r="S117" s="603">
        <f ca="1"/>
        <v>0</v>
      </c>
      <c r="T117" s="1988">
        <f t="array" aca="1" ref="T117:T123" ca="1">'Distr CV 3'!H117:H123</f>
        <v>0</v>
      </c>
      <c r="U117" s="1988">
        <f ca="1"/>
        <v>0</v>
      </c>
      <c r="V117" s="1988">
        <f ca="1"/>
        <v>0</v>
      </c>
      <c r="W117" s="1988">
        <f ca="1"/>
        <v>0</v>
      </c>
      <c r="X117" s="1988">
        <f ca="1"/>
        <v>0</v>
      </c>
      <c r="Y117" s="2007">
        <f ca="1"/>
        <v>0</v>
      </c>
    </row>
    <row r="118" spans="1:25">
      <c r="A118" s="1995" t="str">
        <f>A$79</f>
        <v>7 meses antes</v>
      </c>
      <c r="B118" s="1991"/>
      <c r="C118" s="1991"/>
      <c r="D118" s="1991"/>
      <c r="E118" s="1991"/>
      <c r="F118" s="1991"/>
      <c r="G118" s="603">
        <f t="array" aca="1" ref="G118:R118" ca="1">B$20:M20*Produção!$G$8</f>
        <v>0</v>
      </c>
      <c r="H118" s="603">
        <f ca="1"/>
        <v>0</v>
      </c>
      <c r="I118" s="603">
        <f ca="1"/>
        <v>0</v>
      </c>
      <c r="J118" s="603">
        <f ca="1"/>
        <v>0</v>
      </c>
      <c r="K118" s="603">
        <f ca="1"/>
        <v>0</v>
      </c>
      <c r="L118" s="603">
        <f ca="1"/>
        <v>0</v>
      </c>
      <c r="M118" s="603">
        <f ca="1"/>
        <v>0</v>
      </c>
      <c r="N118" s="603">
        <f ca="1"/>
        <v>0</v>
      </c>
      <c r="O118" s="603">
        <f ca="1"/>
        <v>0</v>
      </c>
      <c r="P118" s="603">
        <f ca="1"/>
        <v>0</v>
      </c>
      <c r="Q118" s="603">
        <f ca="1"/>
        <v>0</v>
      </c>
      <c r="R118" s="603">
        <f ca="1"/>
        <v>0</v>
      </c>
      <c r="S118" s="1992">
        <f t="array" aca="1" ref="S118:S123" ca="1">'Distr CV 3'!G118:G123</f>
        <v>0</v>
      </c>
      <c r="T118" s="1992">
        <f ca="1"/>
        <v>0</v>
      </c>
      <c r="U118" s="1992">
        <f ca="1"/>
        <v>0</v>
      </c>
      <c r="V118" s="1992">
        <f ca="1"/>
        <v>0</v>
      </c>
      <c r="W118" s="1992">
        <f ca="1"/>
        <v>0</v>
      </c>
      <c r="X118" s="1992">
        <f ca="1"/>
        <v>0</v>
      </c>
      <c r="Y118" s="2010">
        <f ca="1"/>
        <v>0</v>
      </c>
    </row>
    <row r="119" spans="1:25">
      <c r="A119" s="1995" t="str">
        <f>A$80</f>
        <v>8 meses antes</v>
      </c>
      <c r="B119" s="1991"/>
      <c r="C119" s="1991"/>
      <c r="D119" s="1991"/>
      <c r="E119" s="1991"/>
      <c r="F119" s="603">
        <f t="array" aca="1" ref="F119:Q119" ca="1">B$20:M20*Produção!$F$8</f>
        <v>0</v>
      </c>
      <c r="G119" s="603">
        <f ca="1"/>
        <v>0</v>
      </c>
      <c r="H119" s="603">
        <f ca="1"/>
        <v>0</v>
      </c>
      <c r="I119" s="603">
        <f ca="1"/>
        <v>0</v>
      </c>
      <c r="J119" s="603">
        <f ca="1"/>
        <v>0</v>
      </c>
      <c r="K119" s="603">
        <f ca="1"/>
        <v>0</v>
      </c>
      <c r="L119" s="603">
        <f ca="1"/>
        <v>0</v>
      </c>
      <c r="M119" s="603">
        <f ca="1"/>
        <v>0</v>
      </c>
      <c r="N119" s="603">
        <f ca="1"/>
        <v>0</v>
      </c>
      <c r="O119" s="603">
        <f ca="1"/>
        <v>0</v>
      </c>
      <c r="P119" s="603">
        <f ca="1"/>
        <v>0</v>
      </c>
      <c r="Q119" s="603">
        <f ca="1"/>
        <v>0</v>
      </c>
      <c r="R119" s="1992">
        <f t="array" aca="1" ref="R119:R123" ca="1">'Distr CV 3'!F119:F123</f>
        <v>0</v>
      </c>
      <c r="S119" s="1992">
        <f ca="1"/>
        <v>0</v>
      </c>
      <c r="T119" s="1992">
        <f ca="1"/>
        <v>0</v>
      </c>
      <c r="U119" s="1992">
        <f ca="1"/>
        <v>0</v>
      </c>
      <c r="V119" s="1992">
        <f ca="1"/>
        <v>0</v>
      </c>
      <c r="W119" s="1992">
        <f ca="1"/>
        <v>0</v>
      </c>
      <c r="X119" s="1992">
        <f ca="1"/>
        <v>0</v>
      </c>
      <c r="Y119" s="2010">
        <f ca="1"/>
        <v>0</v>
      </c>
    </row>
    <row r="120" spans="1:25">
      <c r="A120" s="1995" t="str">
        <f>A$81</f>
        <v>9 meses antes</v>
      </c>
      <c r="B120" s="1991"/>
      <c r="C120" s="1991"/>
      <c r="D120" s="1991"/>
      <c r="E120" s="603">
        <f t="array" aca="1" ref="E120:P120" ca="1">B$20:M20*Produção!$E$8</f>
        <v>0</v>
      </c>
      <c r="F120" s="603">
        <f ca="1"/>
        <v>0</v>
      </c>
      <c r="G120" s="603">
        <f ca="1"/>
        <v>0</v>
      </c>
      <c r="H120" s="603">
        <f ca="1"/>
        <v>0</v>
      </c>
      <c r="I120" s="603">
        <f ca="1"/>
        <v>0</v>
      </c>
      <c r="J120" s="603">
        <f ca="1"/>
        <v>0</v>
      </c>
      <c r="K120" s="603">
        <f ca="1"/>
        <v>0</v>
      </c>
      <c r="L120" s="603">
        <f ca="1"/>
        <v>0</v>
      </c>
      <c r="M120" s="603">
        <f ca="1"/>
        <v>0</v>
      </c>
      <c r="N120" s="603">
        <f ca="1"/>
        <v>0</v>
      </c>
      <c r="O120" s="603">
        <f ca="1"/>
        <v>0</v>
      </c>
      <c r="P120" s="603">
        <f ca="1"/>
        <v>0</v>
      </c>
      <c r="Q120" s="1992">
        <f t="array" aca="1" ref="Q120:Q123" ca="1">'Distr CV 3'!E120:E123</f>
        <v>0</v>
      </c>
      <c r="R120" s="1992">
        <f ca="1"/>
        <v>0</v>
      </c>
      <c r="S120" s="1992">
        <f ca="1"/>
        <v>0</v>
      </c>
      <c r="T120" s="1992">
        <f ca="1"/>
        <v>0</v>
      </c>
      <c r="U120" s="1992">
        <f ca="1"/>
        <v>0</v>
      </c>
      <c r="V120" s="1992">
        <f ca="1"/>
        <v>0</v>
      </c>
      <c r="W120" s="1992">
        <f ca="1"/>
        <v>0</v>
      </c>
      <c r="X120" s="1992">
        <f ca="1"/>
        <v>0</v>
      </c>
      <c r="Y120" s="2010">
        <f ca="1"/>
        <v>0</v>
      </c>
    </row>
    <row r="121" spans="1:25">
      <c r="A121" s="1995" t="str">
        <f>A$82</f>
        <v>10 meses antes</v>
      </c>
      <c r="B121" s="1991"/>
      <c r="C121" s="1991"/>
      <c r="D121" s="603">
        <f t="array" aca="1" ref="D121:O121" ca="1">B$20:M20*Produção!$D$8</f>
        <v>0</v>
      </c>
      <c r="E121" s="603">
        <f ca="1"/>
        <v>0</v>
      </c>
      <c r="F121" s="603">
        <f ca="1"/>
        <v>0</v>
      </c>
      <c r="G121" s="603">
        <f ca="1"/>
        <v>0</v>
      </c>
      <c r="H121" s="603">
        <f ca="1"/>
        <v>0</v>
      </c>
      <c r="I121" s="603">
        <f ca="1"/>
        <v>0</v>
      </c>
      <c r="J121" s="603">
        <f ca="1"/>
        <v>0</v>
      </c>
      <c r="K121" s="603">
        <f ca="1"/>
        <v>0</v>
      </c>
      <c r="L121" s="603">
        <f ca="1"/>
        <v>0</v>
      </c>
      <c r="M121" s="603">
        <f ca="1"/>
        <v>0</v>
      </c>
      <c r="N121" s="603">
        <f ca="1"/>
        <v>0</v>
      </c>
      <c r="O121" s="603">
        <f ca="1"/>
        <v>0</v>
      </c>
      <c r="P121" s="1992">
        <f t="array" aca="1" ref="P121:P123" ca="1">'Distr CV 3'!D121:D123</f>
        <v>0</v>
      </c>
      <c r="Q121" s="1992">
        <f ca="1"/>
        <v>0</v>
      </c>
      <c r="R121" s="1992">
        <f ca="1"/>
        <v>0</v>
      </c>
      <c r="S121" s="1992">
        <f ca="1"/>
        <v>0</v>
      </c>
      <c r="T121" s="1992">
        <f ca="1"/>
        <v>0</v>
      </c>
      <c r="U121" s="1992">
        <f ca="1"/>
        <v>0</v>
      </c>
      <c r="V121" s="1992">
        <f ca="1"/>
        <v>0</v>
      </c>
      <c r="W121" s="1992">
        <f ca="1"/>
        <v>0</v>
      </c>
      <c r="X121" s="1992">
        <f ca="1"/>
        <v>0</v>
      </c>
      <c r="Y121" s="2010">
        <f ca="1"/>
        <v>0</v>
      </c>
    </row>
    <row r="122" spans="1:25">
      <c r="A122" s="1995" t="str">
        <f>A$83</f>
        <v>11 meses antes</v>
      </c>
      <c r="B122" s="1991"/>
      <c r="C122" s="603">
        <f t="array" aca="1" ref="C122:N122" ca="1">B$20:M20*Produção!$C$8</f>
        <v>0</v>
      </c>
      <c r="D122" s="603">
        <f ca="1"/>
        <v>0</v>
      </c>
      <c r="E122" s="603">
        <f ca="1"/>
        <v>0</v>
      </c>
      <c r="F122" s="603">
        <f ca="1"/>
        <v>0</v>
      </c>
      <c r="G122" s="603">
        <f ca="1"/>
        <v>0</v>
      </c>
      <c r="H122" s="603">
        <f ca="1"/>
        <v>0</v>
      </c>
      <c r="I122" s="603">
        <f ca="1"/>
        <v>0</v>
      </c>
      <c r="J122" s="603">
        <f ca="1"/>
        <v>0</v>
      </c>
      <c r="K122" s="603">
        <f ca="1"/>
        <v>0</v>
      </c>
      <c r="L122" s="603">
        <f ca="1"/>
        <v>0</v>
      </c>
      <c r="M122" s="603">
        <f ca="1"/>
        <v>0</v>
      </c>
      <c r="N122" s="603">
        <f ca="1"/>
        <v>0</v>
      </c>
      <c r="O122" s="1992">
        <f ca="1">'Distr CV 3'!C122</f>
        <v>0</v>
      </c>
      <c r="P122" s="1992">
        <f ca="1"/>
        <v>0</v>
      </c>
      <c r="Q122" s="1992">
        <f ca="1"/>
        <v>0</v>
      </c>
      <c r="R122" s="1992">
        <f ca="1"/>
        <v>0</v>
      </c>
      <c r="S122" s="1992">
        <f ca="1"/>
        <v>0</v>
      </c>
      <c r="T122" s="1992">
        <f ca="1"/>
        <v>0</v>
      </c>
      <c r="U122" s="1992">
        <f ca="1"/>
        <v>0</v>
      </c>
      <c r="V122" s="1992">
        <f ca="1"/>
        <v>0</v>
      </c>
      <c r="W122" s="1992">
        <f ca="1"/>
        <v>0</v>
      </c>
      <c r="X122" s="1992">
        <f ca="1"/>
        <v>0</v>
      </c>
      <c r="Y122" s="2010">
        <f ca="1"/>
        <v>0</v>
      </c>
    </row>
    <row r="123" spans="1:25" ht="13.5" thickBot="1">
      <c r="A123" s="1995" t="str">
        <f>A$84</f>
        <v>12 meses antes</v>
      </c>
      <c r="B123" s="603">
        <f t="array" aca="1" ref="B123:M123" ca="1">B$20:M20*Produção!$B$8</f>
        <v>0</v>
      </c>
      <c r="C123" s="603">
        <f ca="1"/>
        <v>0</v>
      </c>
      <c r="D123" s="603">
        <f ca="1"/>
        <v>0</v>
      </c>
      <c r="E123" s="603">
        <f ca="1"/>
        <v>0</v>
      </c>
      <c r="F123" s="603">
        <f ca="1"/>
        <v>0</v>
      </c>
      <c r="G123" s="603">
        <f ca="1"/>
        <v>0</v>
      </c>
      <c r="H123" s="603">
        <f ca="1"/>
        <v>0</v>
      </c>
      <c r="I123" s="603">
        <f ca="1"/>
        <v>0</v>
      </c>
      <c r="J123" s="603">
        <f ca="1"/>
        <v>0</v>
      </c>
      <c r="K123" s="603">
        <f ca="1"/>
        <v>0</v>
      </c>
      <c r="L123" s="603">
        <f ca="1"/>
        <v>0</v>
      </c>
      <c r="M123" s="603">
        <f ca="1"/>
        <v>0</v>
      </c>
      <c r="N123" s="1992">
        <f ca="1">'Distr CV 3'!B123</f>
        <v>0</v>
      </c>
      <c r="O123" s="1992">
        <f ca="1">'Distr CV 3'!C123</f>
        <v>0</v>
      </c>
      <c r="P123" s="1992">
        <f ca="1"/>
        <v>0</v>
      </c>
      <c r="Q123" s="1992">
        <f ca="1"/>
        <v>0</v>
      </c>
      <c r="R123" s="1992">
        <f ca="1"/>
        <v>0</v>
      </c>
      <c r="S123" s="1992">
        <f ca="1"/>
        <v>0</v>
      </c>
      <c r="T123" s="1992">
        <f ca="1"/>
        <v>0</v>
      </c>
      <c r="U123" s="1992">
        <f ca="1"/>
        <v>0</v>
      </c>
      <c r="V123" s="1992">
        <f ca="1"/>
        <v>0</v>
      </c>
      <c r="W123" s="1992">
        <f ca="1"/>
        <v>0</v>
      </c>
      <c r="X123" s="1992">
        <f ca="1"/>
        <v>0</v>
      </c>
      <c r="Y123" s="2010">
        <f ca="1"/>
        <v>0</v>
      </c>
    </row>
    <row r="124" spans="1:25" ht="15.75" customHeight="1" thickBot="1">
      <c r="A124" s="105" t="str">
        <f>"Totales CV "&amp;A$8</f>
        <v>Totales CV produto 1</v>
      </c>
      <c r="B124" s="607">
        <f t="shared" ref="B124:Y124" ca="1" si="11">SUM(B111:B123)</f>
        <v>0</v>
      </c>
      <c r="C124" s="607">
        <f t="shared" ca="1" si="11"/>
        <v>0</v>
      </c>
      <c r="D124" s="607">
        <f t="shared" ca="1" si="11"/>
        <v>0</v>
      </c>
      <c r="E124" s="607">
        <f t="shared" ca="1" si="11"/>
        <v>0</v>
      </c>
      <c r="F124" s="607">
        <f t="shared" ca="1" si="11"/>
        <v>0</v>
      </c>
      <c r="G124" s="607">
        <f t="shared" ca="1" si="11"/>
        <v>0</v>
      </c>
      <c r="H124" s="607">
        <f t="shared" ca="1" si="11"/>
        <v>0</v>
      </c>
      <c r="I124" s="607">
        <f t="shared" ca="1" si="11"/>
        <v>0</v>
      </c>
      <c r="J124" s="607">
        <f t="shared" ca="1" si="11"/>
        <v>0</v>
      </c>
      <c r="K124" s="607">
        <f t="shared" ca="1" si="11"/>
        <v>0</v>
      </c>
      <c r="L124" s="607">
        <f t="shared" ca="1" si="11"/>
        <v>0</v>
      </c>
      <c r="M124" s="607">
        <f t="shared" ca="1" si="11"/>
        <v>0</v>
      </c>
      <c r="N124" s="607">
        <f t="shared" ca="1" si="11"/>
        <v>155.95230000000001</v>
      </c>
      <c r="O124" s="607">
        <f t="shared" ca="1" si="11"/>
        <v>155.95230000000001</v>
      </c>
      <c r="P124" s="607">
        <f t="shared" ca="1" si="11"/>
        <v>155.95230000000001</v>
      </c>
      <c r="Q124" s="607">
        <f t="shared" ca="1" si="11"/>
        <v>155.95230000000001</v>
      </c>
      <c r="R124" s="607">
        <f t="shared" ca="1" si="11"/>
        <v>155.95230000000001</v>
      </c>
      <c r="S124" s="607">
        <f t="shared" ca="1" si="11"/>
        <v>155.95230000000001</v>
      </c>
      <c r="T124" s="607">
        <f t="shared" ca="1" si="11"/>
        <v>155.95230000000001</v>
      </c>
      <c r="U124" s="607">
        <f t="shared" ca="1" si="11"/>
        <v>155.95230000000001</v>
      </c>
      <c r="V124" s="607">
        <f t="shared" ca="1" si="11"/>
        <v>155.95230000000001</v>
      </c>
      <c r="W124" s="607">
        <f t="shared" ca="1" si="11"/>
        <v>155.95230000000001</v>
      </c>
      <c r="X124" s="607">
        <f t="shared" ca="1" si="11"/>
        <v>155.95230000000001</v>
      </c>
      <c r="Y124" s="2008">
        <f t="shared" ca="1" si="11"/>
        <v>155.95230000000001</v>
      </c>
    </row>
    <row r="125" spans="1:25" ht="15.75" customHeight="1" thickBot="1">
      <c r="A125" s="105" t="str">
        <f>'Dados Básicos'!A28&amp;" sop. CV "&amp;$A$8</f>
        <v>IVA sop. CV produto 1</v>
      </c>
      <c r="B125" s="607">
        <f t="array" aca="1" ref="B125:Y125" ca="1">$K$109*B124:Y124</f>
        <v>0</v>
      </c>
      <c r="C125" s="607">
        <f ca="1"/>
        <v>0</v>
      </c>
      <c r="D125" s="607">
        <f ca="1"/>
        <v>0</v>
      </c>
      <c r="E125" s="607">
        <f ca="1"/>
        <v>0</v>
      </c>
      <c r="F125" s="607">
        <f ca="1"/>
        <v>0</v>
      </c>
      <c r="G125" s="607">
        <f ca="1"/>
        <v>0</v>
      </c>
      <c r="H125" s="607">
        <f ca="1"/>
        <v>0</v>
      </c>
      <c r="I125" s="607">
        <f ca="1"/>
        <v>0</v>
      </c>
      <c r="J125" s="607">
        <f ca="1"/>
        <v>0</v>
      </c>
      <c r="K125" s="607">
        <f ca="1"/>
        <v>0</v>
      </c>
      <c r="L125" s="607">
        <f ca="1"/>
        <v>0</v>
      </c>
      <c r="M125" s="607">
        <f ca="1"/>
        <v>0</v>
      </c>
      <c r="N125" s="607">
        <f ca="1"/>
        <v>32.749983</v>
      </c>
      <c r="O125" s="607">
        <f ca="1"/>
        <v>32.749983</v>
      </c>
      <c r="P125" s="607">
        <f ca="1"/>
        <v>32.749983</v>
      </c>
      <c r="Q125" s="607">
        <f ca="1"/>
        <v>32.749983</v>
      </c>
      <c r="R125" s="607">
        <f ca="1"/>
        <v>32.749983</v>
      </c>
      <c r="S125" s="607">
        <f ca="1"/>
        <v>32.749983</v>
      </c>
      <c r="T125" s="607">
        <f ca="1"/>
        <v>32.749983</v>
      </c>
      <c r="U125" s="607">
        <f ca="1"/>
        <v>32.749983</v>
      </c>
      <c r="V125" s="607">
        <f ca="1"/>
        <v>32.749983</v>
      </c>
      <c r="W125" s="607">
        <f ca="1"/>
        <v>32.749983</v>
      </c>
      <c r="X125" s="607">
        <f ca="1"/>
        <v>32.749983</v>
      </c>
      <c r="Y125" s="2008">
        <f ca="1"/>
        <v>32.749983</v>
      </c>
    </row>
    <row r="127" spans="1:25" ht="18.75" thickBot="1">
      <c r="A127" s="1993" t="str">
        <f>'Distr CV 0'!A127</f>
        <v xml:space="preserve">Compras / custos de producción por meses de </v>
      </c>
      <c r="I127" s="1993" t="str">
        <f>$I$109</f>
        <v>IVA NÃO incluido</v>
      </c>
      <c r="K127" s="2005">
        <f>Parametros!$F$25</f>
        <v>0.21</v>
      </c>
    </row>
    <row r="128" spans="1:25" ht="30" customHeight="1" thickBot="1">
      <c r="A128" s="457" t="str">
        <f>'Distr CV 0'!A128</f>
        <v>mes de compra / custo</v>
      </c>
      <c r="B128" s="2011" t="str">
        <f t="array" ref="B128:Y128">B$71:Y$71</f>
        <v>janeiro 
2027</v>
      </c>
      <c r="C128" s="2011" t="str">
        <v>fevereiro 
2027</v>
      </c>
      <c r="D128" s="2011" t="str">
        <v>março 
2027</v>
      </c>
      <c r="E128" s="2011" t="str">
        <v>abril 
2027</v>
      </c>
      <c r="F128" s="2011" t="str">
        <v>maio 
2027</v>
      </c>
      <c r="G128" s="2011" t="str">
        <v>junho 
2027</v>
      </c>
      <c r="H128" s="2011" t="str">
        <v>julho 
2027</v>
      </c>
      <c r="I128" s="2011" t="str">
        <v>agosto 
2027</v>
      </c>
      <c r="J128" s="2011" t="str">
        <v>setembro 
2027</v>
      </c>
      <c r="K128" s="2011" t="str">
        <v>outubro 
2027</v>
      </c>
      <c r="L128" s="2011" t="str">
        <v>novembro 
2027</v>
      </c>
      <c r="M128" s="2011" t="str">
        <v>dezembro 
2027</v>
      </c>
      <c r="N128" s="2734" t="str">
        <v>janeiro 
2028</v>
      </c>
      <c r="O128" s="2735" t="str">
        <v>fevereiro 
2028</v>
      </c>
      <c r="P128" s="2735" t="str">
        <v>março 
2028</v>
      </c>
      <c r="Q128" s="2735" t="str">
        <v>abril 
2028</v>
      </c>
      <c r="R128" s="2735" t="str">
        <v>maio 
2028</v>
      </c>
      <c r="S128" s="2735" t="str">
        <v>junho 
2028</v>
      </c>
      <c r="T128" s="2735" t="str">
        <v>julho 
2028</v>
      </c>
      <c r="U128" s="2735" t="str">
        <v>agosto 
2028</v>
      </c>
      <c r="V128" s="2735" t="str">
        <v>setembro 
2028</v>
      </c>
      <c r="W128" s="2735" t="str">
        <v>outubro 
2028</v>
      </c>
      <c r="X128" s="2735" t="str">
        <v>novembro 
2028</v>
      </c>
      <c r="Y128" s="2736" t="str">
        <v>dezembro 
2028</v>
      </c>
    </row>
    <row r="129" spans="1:25">
      <c r="A129" s="1994" t="str">
        <f>A$72</f>
        <v>mismo mes</v>
      </c>
      <c r="B129" s="1991"/>
      <c r="C129" s="1991"/>
      <c r="D129" s="1991"/>
      <c r="E129" s="1991"/>
      <c r="F129" s="1991"/>
      <c r="G129" s="1991"/>
      <c r="H129" s="1991"/>
      <c r="I129" s="1991"/>
      <c r="J129" s="1991"/>
      <c r="K129" s="1991"/>
      <c r="L129" s="1991"/>
      <c r="M129" s="1991"/>
      <c r="N129" s="603">
        <f t="array" aca="1" ref="N129:Y129" ca="1">B21:M21*Produção!$N$9</f>
        <v>0</v>
      </c>
      <c r="O129" s="603">
        <f ca="1"/>
        <v>0</v>
      </c>
      <c r="P129" s="603">
        <f ca="1"/>
        <v>0</v>
      </c>
      <c r="Q129" s="603">
        <f ca="1"/>
        <v>0</v>
      </c>
      <c r="R129" s="603">
        <f ca="1"/>
        <v>0</v>
      </c>
      <c r="S129" s="603">
        <f ca="1"/>
        <v>0</v>
      </c>
      <c r="T129" s="603">
        <f ca="1"/>
        <v>0</v>
      </c>
      <c r="U129" s="603">
        <f ca="1"/>
        <v>0</v>
      </c>
      <c r="V129" s="603">
        <f ca="1"/>
        <v>0</v>
      </c>
      <c r="W129" s="603">
        <f ca="1"/>
        <v>0</v>
      </c>
      <c r="X129" s="603">
        <f ca="1"/>
        <v>0</v>
      </c>
      <c r="Y129" s="2006">
        <f ca="1"/>
        <v>0</v>
      </c>
    </row>
    <row r="130" spans="1:25">
      <c r="A130" s="1995" t="str">
        <f>A$73</f>
        <v>1 mes antes</v>
      </c>
      <c r="B130" s="1991"/>
      <c r="C130" s="1991"/>
      <c r="D130" s="1991"/>
      <c r="E130" s="1991"/>
      <c r="F130" s="1991"/>
      <c r="G130" s="1991"/>
      <c r="H130" s="1991"/>
      <c r="I130" s="1991"/>
      <c r="J130" s="1991"/>
      <c r="K130" s="1991"/>
      <c r="L130" s="1991"/>
      <c r="M130" s="603">
        <f t="array" aca="1" ref="M130:X130" ca="1">B21:M21*Produção!$M$9</f>
        <v>0</v>
      </c>
      <c r="N130" s="603">
        <f ca="1"/>
        <v>0</v>
      </c>
      <c r="O130" s="603">
        <f ca="1"/>
        <v>0</v>
      </c>
      <c r="P130" s="603">
        <f ca="1"/>
        <v>0</v>
      </c>
      <c r="Q130" s="603">
        <f ca="1"/>
        <v>0</v>
      </c>
      <c r="R130" s="603">
        <f ca="1"/>
        <v>0</v>
      </c>
      <c r="S130" s="603">
        <f ca="1"/>
        <v>0</v>
      </c>
      <c r="T130" s="603">
        <f ca="1"/>
        <v>0</v>
      </c>
      <c r="U130" s="603">
        <f ca="1"/>
        <v>0</v>
      </c>
      <c r="V130" s="603">
        <f ca="1"/>
        <v>0</v>
      </c>
      <c r="W130" s="603">
        <f ca="1"/>
        <v>0</v>
      </c>
      <c r="X130" s="603">
        <f ca="1"/>
        <v>0</v>
      </c>
      <c r="Y130" s="2007">
        <f t="array" aca="1" ref="Y130:Y141" ca="1">'Distr CV 3'!M130:M141</f>
        <v>0</v>
      </c>
    </row>
    <row r="131" spans="1:25">
      <c r="A131" s="1995" t="str">
        <f>A$74</f>
        <v>2 meses antes</v>
      </c>
      <c r="B131" s="1991"/>
      <c r="C131" s="1991"/>
      <c r="D131" s="1991"/>
      <c r="E131" s="1991"/>
      <c r="F131" s="1991"/>
      <c r="G131" s="1991"/>
      <c r="H131" s="1991"/>
      <c r="I131" s="1991"/>
      <c r="J131" s="1991"/>
      <c r="K131" s="1991"/>
      <c r="L131" s="603">
        <f t="array" aca="1" ref="L131:W131" ca="1">B21:M21*Produção!$L$9</f>
        <v>0</v>
      </c>
      <c r="M131" s="603">
        <f ca="1"/>
        <v>0</v>
      </c>
      <c r="N131" s="603">
        <f ca="1"/>
        <v>0</v>
      </c>
      <c r="O131" s="603">
        <f ca="1"/>
        <v>0</v>
      </c>
      <c r="P131" s="603">
        <f ca="1"/>
        <v>0</v>
      </c>
      <c r="Q131" s="603">
        <f ca="1"/>
        <v>0</v>
      </c>
      <c r="R131" s="603">
        <f ca="1"/>
        <v>0</v>
      </c>
      <c r="S131" s="603">
        <f ca="1"/>
        <v>0</v>
      </c>
      <c r="T131" s="603">
        <f ca="1"/>
        <v>0</v>
      </c>
      <c r="U131" s="603">
        <f ca="1"/>
        <v>0</v>
      </c>
      <c r="V131" s="603">
        <f ca="1"/>
        <v>0</v>
      </c>
      <c r="W131" s="603">
        <f ca="1"/>
        <v>0</v>
      </c>
      <c r="X131" s="1988">
        <f t="array" aca="1" ref="X131:X141" ca="1">'Distr CV 3'!L131:L141</f>
        <v>0</v>
      </c>
      <c r="Y131" s="2007">
        <f ca="1"/>
        <v>0</v>
      </c>
    </row>
    <row r="132" spans="1:25">
      <c r="A132" s="1995" t="str">
        <f>A$75</f>
        <v>3 meses antes</v>
      </c>
      <c r="B132" s="1991"/>
      <c r="C132" s="1991"/>
      <c r="D132" s="1991"/>
      <c r="E132" s="1991"/>
      <c r="F132" s="1991"/>
      <c r="G132" s="1991"/>
      <c r="H132" s="1991"/>
      <c r="I132" s="1991"/>
      <c r="J132" s="1991"/>
      <c r="K132" s="603">
        <f t="array" aca="1" ref="K132:V132" ca="1">B21:M21*Produção!$K$9</f>
        <v>0</v>
      </c>
      <c r="L132" s="603">
        <f ca="1"/>
        <v>0</v>
      </c>
      <c r="M132" s="603">
        <f ca="1"/>
        <v>0</v>
      </c>
      <c r="N132" s="603">
        <f ca="1"/>
        <v>0</v>
      </c>
      <c r="O132" s="603">
        <f ca="1"/>
        <v>0</v>
      </c>
      <c r="P132" s="603">
        <f ca="1"/>
        <v>0</v>
      </c>
      <c r="Q132" s="603">
        <f ca="1"/>
        <v>0</v>
      </c>
      <c r="R132" s="603">
        <f ca="1"/>
        <v>0</v>
      </c>
      <c r="S132" s="603">
        <f ca="1"/>
        <v>0</v>
      </c>
      <c r="T132" s="603">
        <f ca="1"/>
        <v>0</v>
      </c>
      <c r="U132" s="603">
        <f ca="1"/>
        <v>0</v>
      </c>
      <c r="V132" s="603">
        <f ca="1"/>
        <v>0</v>
      </c>
      <c r="W132" s="1988">
        <f t="array" aca="1" ref="W132:W141" ca="1">'Distr CV 3'!K132:K141</f>
        <v>0</v>
      </c>
      <c r="X132" s="1988">
        <f ca="1"/>
        <v>0</v>
      </c>
      <c r="Y132" s="2007">
        <f ca="1"/>
        <v>0</v>
      </c>
    </row>
    <row r="133" spans="1:25">
      <c r="A133" s="1995" t="str">
        <f>A$76</f>
        <v>4 meses antes</v>
      </c>
      <c r="B133" s="1991"/>
      <c r="C133" s="1991"/>
      <c r="D133" s="1991"/>
      <c r="E133" s="1991"/>
      <c r="F133" s="1991"/>
      <c r="G133" s="1991"/>
      <c r="H133" s="1991"/>
      <c r="I133" s="1991"/>
      <c r="J133" s="603">
        <f t="array" aca="1" ref="J133:U133" ca="1">B21:M21*Produção!$J$9</f>
        <v>0</v>
      </c>
      <c r="K133" s="603">
        <f ca="1"/>
        <v>0</v>
      </c>
      <c r="L133" s="603">
        <f ca="1"/>
        <v>0</v>
      </c>
      <c r="M133" s="603">
        <f ca="1"/>
        <v>0</v>
      </c>
      <c r="N133" s="603">
        <f ca="1"/>
        <v>0</v>
      </c>
      <c r="O133" s="603">
        <f ca="1"/>
        <v>0</v>
      </c>
      <c r="P133" s="603">
        <f ca="1"/>
        <v>0</v>
      </c>
      <c r="Q133" s="603">
        <f ca="1"/>
        <v>0</v>
      </c>
      <c r="R133" s="603">
        <f ca="1"/>
        <v>0</v>
      </c>
      <c r="S133" s="603">
        <f ca="1"/>
        <v>0</v>
      </c>
      <c r="T133" s="603">
        <f ca="1"/>
        <v>0</v>
      </c>
      <c r="U133" s="603">
        <f ca="1"/>
        <v>0</v>
      </c>
      <c r="V133" s="1988">
        <f t="array" aca="1" ref="V133:V141" ca="1">'Distr CV 3'!J133:J141</f>
        <v>0</v>
      </c>
      <c r="W133" s="1988">
        <f ca="1"/>
        <v>0</v>
      </c>
      <c r="X133" s="1988">
        <f ca="1"/>
        <v>0</v>
      </c>
      <c r="Y133" s="2007">
        <f ca="1"/>
        <v>0</v>
      </c>
    </row>
    <row r="134" spans="1:25">
      <c r="A134" s="1995" t="str">
        <f>A$77</f>
        <v>5 meses antes</v>
      </c>
      <c r="B134" s="1991"/>
      <c r="C134" s="1991"/>
      <c r="D134" s="1991"/>
      <c r="E134" s="1991"/>
      <c r="F134" s="1991"/>
      <c r="G134" s="1991"/>
      <c r="H134" s="1991"/>
      <c r="I134" s="603">
        <f t="array" aca="1" ref="I134:T134" ca="1">B21:M21*Produção!$I$9</f>
        <v>0</v>
      </c>
      <c r="J134" s="603">
        <f ca="1"/>
        <v>0</v>
      </c>
      <c r="K134" s="603">
        <f ca="1"/>
        <v>0</v>
      </c>
      <c r="L134" s="603">
        <f ca="1"/>
        <v>0</v>
      </c>
      <c r="M134" s="603">
        <f ca="1"/>
        <v>0</v>
      </c>
      <c r="N134" s="603">
        <f ca="1"/>
        <v>0</v>
      </c>
      <c r="O134" s="603">
        <f ca="1"/>
        <v>0</v>
      </c>
      <c r="P134" s="603">
        <f ca="1"/>
        <v>0</v>
      </c>
      <c r="Q134" s="603">
        <f ca="1"/>
        <v>0</v>
      </c>
      <c r="R134" s="603">
        <f ca="1"/>
        <v>0</v>
      </c>
      <c r="S134" s="603">
        <f ca="1"/>
        <v>0</v>
      </c>
      <c r="T134" s="603">
        <f ca="1"/>
        <v>0</v>
      </c>
      <c r="U134" s="1988">
        <f t="array" aca="1" ref="U134:U141" ca="1">'Distr CV 3'!I134:I141</f>
        <v>0</v>
      </c>
      <c r="V134" s="1988">
        <f ca="1"/>
        <v>0</v>
      </c>
      <c r="W134" s="1988">
        <f ca="1"/>
        <v>0</v>
      </c>
      <c r="X134" s="1988">
        <f ca="1"/>
        <v>0</v>
      </c>
      <c r="Y134" s="2007">
        <f ca="1"/>
        <v>0</v>
      </c>
    </row>
    <row r="135" spans="1:25">
      <c r="A135" s="1995" t="str">
        <f>A$78</f>
        <v>6 meses antes</v>
      </c>
      <c r="B135" s="1991"/>
      <c r="C135" s="1991"/>
      <c r="D135" s="1991"/>
      <c r="E135" s="1991"/>
      <c r="F135" s="1991"/>
      <c r="G135" s="1991"/>
      <c r="H135" s="603">
        <f t="array" aca="1" ref="H135:S135" ca="1">B21:M21*Produção!$H$9</f>
        <v>0</v>
      </c>
      <c r="I135" s="603">
        <f ca="1"/>
        <v>0</v>
      </c>
      <c r="J135" s="603">
        <f ca="1"/>
        <v>0</v>
      </c>
      <c r="K135" s="603">
        <f ca="1"/>
        <v>0</v>
      </c>
      <c r="L135" s="603">
        <f ca="1"/>
        <v>0</v>
      </c>
      <c r="M135" s="603">
        <f ca="1"/>
        <v>0</v>
      </c>
      <c r="N135" s="603">
        <f ca="1"/>
        <v>0</v>
      </c>
      <c r="O135" s="603">
        <f ca="1"/>
        <v>0</v>
      </c>
      <c r="P135" s="603">
        <f ca="1"/>
        <v>0</v>
      </c>
      <c r="Q135" s="603">
        <f ca="1"/>
        <v>0</v>
      </c>
      <c r="R135" s="603">
        <f ca="1"/>
        <v>0</v>
      </c>
      <c r="S135" s="603">
        <f ca="1"/>
        <v>0</v>
      </c>
      <c r="T135" s="1988">
        <f t="array" aca="1" ref="T135:T141" ca="1">'Distr CV 3'!H135:H141</f>
        <v>0</v>
      </c>
      <c r="U135" s="1988">
        <f ca="1"/>
        <v>0</v>
      </c>
      <c r="V135" s="1988">
        <f ca="1"/>
        <v>0</v>
      </c>
      <c r="W135" s="1988">
        <f ca="1"/>
        <v>0</v>
      </c>
      <c r="X135" s="1988">
        <f ca="1"/>
        <v>0</v>
      </c>
      <c r="Y135" s="2007">
        <f ca="1"/>
        <v>0</v>
      </c>
    </row>
    <row r="136" spans="1:25">
      <c r="A136" s="1995" t="str">
        <f>A$79</f>
        <v>7 meses antes</v>
      </c>
      <c r="B136" s="1991"/>
      <c r="C136" s="1991"/>
      <c r="D136" s="1991"/>
      <c r="E136" s="1991"/>
      <c r="F136" s="1991"/>
      <c r="G136" s="603">
        <f t="array" aca="1" ref="G136:R136" ca="1">B21:M21*Produção!$G$9</f>
        <v>0</v>
      </c>
      <c r="H136" s="603">
        <f ca="1"/>
        <v>0</v>
      </c>
      <c r="I136" s="603">
        <f ca="1"/>
        <v>0</v>
      </c>
      <c r="J136" s="603">
        <f ca="1"/>
        <v>0</v>
      </c>
      <c r="K136" s="603">
        <f ca="1"/>
        <v>0</v>
      </c>
      <c r="L136" s="603">
        <f ca="1"/>
        <v>0</v>
      </c>
      <c r="M136" s="603">
        <f ca="1"/>
        <v>0</v>
      </c>
      <c r="N136" s="603">
        <f ca="1"/>
        <v>0</v>
      </c>
      <c r="O136" s="603">
        <f ca="1"/>
        <v>0</v>
      </c>
      <c r="P136" s="603">
        <f ca="1"/>
        <v>0</v>
      </c>
      <c r="Q136" s="603">
        <f ca="1"/>
        <v>0</v>
      </c>
      <c r="R136" s="603">
        <f ca="1"/>
        <v>0</v>
      </c>
      <c r="S136" s="1992">
        <f t="array" aca="1" ref="S136:S141" ca="1">'Distr CV 3'!G136:G141</f>
        <v>0</v>
      </c>
      <c r="T136" s="1992">
        <f ca="1"/>
        <v>0</v>
      </c>
      <c r="U136" s="1992">
        <f ca="1"/>
        <v>0</v>
      </c>
      <c r="V136" s="1992">
        <f ca="1"/>
        <v>0</v>
      </c>
      <c r="W136" s="1992">
        <f ca="1"/>
        <v>0</v>
      </c>
      <c r="X136" s="1992">
        <f ca="1"/>
        <v>0</v>
      </c>
      <c r="Y136" s="2010">
        <f ca="1"/>
        <v>0</v>
      </c>
    </row>
    <row r="137" spans="1:25">
      <c r="A137" s="1995" t="str">
        <f>A$80</f>
        <v>8 meses antes</v>
      </c>
      <c r="B137" s="1991"/>
      <c r="C137" s="1991"/>
      <c r="D137" s="1991"/>
      <c r="E137" s="1991"/>
      <c r="F137" s="603">
        <f t="array" aca="1" ref="F137:Q137" ca="1">B21:M21*Produção!$F$9</f>
        <v>0</v>
      </c>
      <c r="G137" s="603">
        <f ca="1"/>
        <v>0</v>
      </c>
      <c r="H137" s="603">
        <f ca="1"/>
        <v>0</v>
      </c>
      <c r="I137" s="603">
        <f ca="1"/>
        <v>0</v>
      </c>
      <c r="J137" s="603">
        <f ca="1"/>
        <v>0</v>
      </c>
      <c r="K137" s="603">
        <f ca="1"/>
        <v>0</v>
      </c>
      <c r="L137" s="603">
        <f ca="1"/>
        <v>0</v>
      </c>
      <c r="M137" s="603">
        <f ca="1"/>
        <v>0</v>
      </c>
      <c r="N137" s="603">
        <f ca="1"/>
        <v>0</v>
      </c>
      <c r="O137" s="603">
        <f ca="1"/>
        <v>0</v>
      </c>
      <c r="P137" s="603">
        <f ca="1"/>
        <v>0</v>
      </c>
      <c r="Q137" s="603">
        <f ca="1"/>
        <v>0</v>
      </c>
      <c r="R137" s="1992">
        <f t="array" aca="1" ref="R137:R141" ca="1">'Distr CV 3'!F137:F141</f>
        <v>0</v>
      </c>
      <c r="S137" s="1992">
        <f ca="1"/>
        <v>0</v>
      </c>
      <c r="T137" s="1992">
        <f ca="1"/>
        <v>0</v>
      </c>
      <c r="U137" s="1992">
        <f ca="1"/>
        <v>0</v>
      </c>
      <c r="V137" s="1992">
        <f ca="1"/>
        <v>0</v>
      </c>
      <c r="W137" s="1992">
        <f ca="1"/>
        <v>0</v>
      </c>
      <c r="X137" s="1992">
        <f ca="1"/>
        <v>0</v>
      </c>
      <c r="Y137" s="2010">
        <f ca="1"/>
        <v>0</v>
      </c>
    </row>
    <row r="138" spans="1:25">
      <c r="A138" s="1995" t="str">
        <f>A$81</f>
        <v>9 meses antes</v>
      </c>
      <c r="B138" s="1991"/>
      <c r="C138" s="1991"/>
      <c r="D138" s="1991"/>
      <c r="E138" s="603">
        <f t="array" aca="1" ref="E138:P138" ca="1">B21:M21*Produção!$E$9</f>
        <v>0</v>
      </c>
      <c r="F138" s="603">
        <f ca="1"/>
        <v>0</v>
      </c>
      <c r="G138" s="603">
        <f ca="1"/>
        <v>0</v>
      </c>
      <c r="H138" s="603">
        <f ca="1"/>
        <v>0</v>
      </c>
      <c r="I138" s="603">
        <f ca="1"/>
        <v>0</v>
      </c>
      <c r="J138" s="603">
        <f ca="1"/>
        <v>0</v>
      </c>
      <c r="K138" s="603">
        <f ca="1"/>
        <v>0</v>
      </c>
      <c r="L138" s="603">
        <f ca="1"/>
        <v>0</v>
      </c>
      <c r="M138" s="603">
        <f ca="1"/>
        <v>0</v>
      </c>
      <c r="N138" s="603">
        <f ca="1"/>
        <v>0</v>
      </c>
      <c r="O138" s="603">
        <f ca="1"/>
        <v>0</v>
      </c>
      <c r="P138" s="603">
        <f ca="1"/>
        <v>0</v>
      </c>
      <c r="Q138" s="1992">
        <f t="array" aca="1" ref="Q138:Q141" ca="1">'Distr CV 3'!E138:E141</f>
        <v>0</v>
      </c>
      <c r="R138" s="1992">
        <f ca="1"/>
        <v>0</v>
      </c>
      <c r="S138" s="1992">
        <f ca="1"/>
        <v>0</v>
      </c>
      <c r="T138" s="1992">
        <f ca="1"/>
        <v>0</v>
      </c>
      <c r="U138" s="1992">
        <f ca="1"/>
        <v>0</v>
      </c>
      <c r="V138" s="1992">
        <f ca="1"/>
        <v>0</v>
      </c>
      <c r="W138" s="1992">
        <f ca="1"/>
        <v>0</v>
      </c>
      <c r="X138" s="1992">
        <f ca="1"/>
        <v>0</v>
      </c>
      <c r="Y138" s="2010">
        <f ca="1"/>
        <v>0</v>
      </c>
    </row>
    <row r="139" spans="1:25">
      <c r="A139" s="1995" t="str">
        <f>A$82</f>
        <v>10 meses antes</v>
      </c>
      <c r="B139" s="1991"/>
      <c r="C139" s="1991"/>
      <c r="D139" s="603">
        <f t="array" aca="1" ref="D139:O139" ca="1">B21:M21*Produção!$D$9</f>
        <v>0</v>
      </c>
      <c r="E139" s="603">
        <f ca="1"/>
        <v>0</v>
      </c>
      <c r="F139" s="603">
        <f ca="1"/>
        <v>0</v>
      </c>
      <c r="G139" s="603">
        <f ca="1"/>
        <v>0</v>
      </c>
      <c r="H139" s="603">
        <f ca="1"/>
        <v>0</v>
      </c>
      <c r="I139" s="603">
        <f ca="1"/>
        <v>0</v>
      </c>
      <c r="J139" s="603">
        <f ca="1"/>
        <v>0</v>
      </c>
      <c r="K139" s="603">
        <f ca="1"/>
        <v>0</v>
      </c>
      <c r="L139" s="603">
        <f ca="1"/>
        <v>0</v>
      </c>
      <c r="M139" s="603">
        <f ca="1"/>
        <v>0</v>
      </c>
      <c r="N139" s="603">
        <f ca="1"/>
        <v>0</v>
      </c>
      <c r="O139" s="603">
        <f ca="1"/>
        <v>0</v>
      </c>
      <c r="P139" s="1992">
        <f t="array" aca="1" ref="P139:P141" ca="1">'Distr CV 3'!D139:D141</f>
        <v>0</v>
      </c>
      <c r="Q139" s="1992">
        <f ca="1"/>
        <v>0</v>
      </c>
      <c r="R139" s="1992">
        <f ca="1"/>
        <v>0</v>
      </c>
      <c r="S139" s="1992">
        <f ca="1"/>
        <v>0</v>
      </c>
      <c r="T139" s="1992">
        <f ca="1"/>
        <v>0</v>
      </c>
      <c r="U139" s="1992">
        <f ca="1"/>
        <v>0</v>
      </c>
      <c r="V139" s="1992">
        <f ca="1"/>
        <v>0</v>
      </c>
      <c r="W139" s="1992">
        <f ca="1"/>
        <v>0</v>
      </c>
      <c r="X139" s="1992">
        <f ca="1"/>
        <v>0</v>
      </c>
      <c r="Y139" s="2010">
        <f ca="1"/>
        <v>0</v>
      </c>
    </row>
    <row r="140" spans="1:25">
      <c r="A140" s="1995" t="str">
        <f>A$83</f>
        <v>11 meses antes</v>
      </c>
      <c r="B140" s="1991"/>
      <c r="C140" s="603">
        <f t="array" aca="1" ref="C140:N140" ca="1">B21:M21*Produção!$C$9</f>
        <v>0</v>
      </c>
      <c r="D140" s="603">
        <f ca="1"/>
        <v>0</v>
      </c>
      <c r="E140" s="603">
        <f ca="1"/>
        <v>0</v>
      </c>
      <c r="F140" s="603">
        <f ca="1"/>
        <v>0</v>
      </c>
      <c r="G140" s="603">
        <f ca="1"/>
        <v>0</v>
      </c>
      <c r="H140" s="603">
        <f ca="1"/>
        <v>0</v>
      </c>
      <c r="I140" s="603">
        <f ca="1"/>
        <v>0</v>
      </c>
      <c r="J140" s="603">
        <f ca="1"/>
        <v>0</v>
      </c>
      <c r="K140" s="603">
        <f ca="1"/>
        <v>0</v>
      </c>
      <c r="L140" s="603">
        <f ca="1"/>
        <v>0</v>
      </c>
      <c r="M140" s="603">
        <f ca="1"/>
        <v>0</v>
      </c>
      <c r="N140" s="603">
        <f ca="1"/>
        <v>0</v>
      </c>
      <c r="O140" s="1992">
        <f ca="1">'Distr CV 3'!C140</f>
        <v>0</v>
      </c>
      <c r="P140" s="1992">
        <f ca="1"/>
        <v>0</v>
      </c>
      <c r="Q140" s="1992">
        <f ca="1"/>
        <v>0</v>
      </c>
      <c r="R140" s="1992">
        <f ca="1"/>
        <v>0</v>
      </c>
      <c r="S140" s="1992">
        <f ca="1"/>
        <v>0</v>
      </c>
      <c r="T140" s="1992">
        <f ca="1"/>
        <v>0</v>
      </c>
      <c r="U140" s="1992">
        <f ca="1"/>
        <v>0</v>
      </c>
      <c r="V140" s="1992">
        <f ca="1"/>
        <v>0</v>
      </c>
      <c r="W140" s="1992">
        <f ca="1"/>
        <v>0</v>
      </c>
      <c r="X140" s="1992">
        <f ca="1"/>
        <v>0</v>
      </c>
      <c r="Y140" s="2010">
        <f ca="1"/>
        <v>0</v>
      </c>
    </row>
    <row r="141" spans="1:25" ht="13.5" thickBot="1">
      <c r="A141" s="1995" t="str">
        <f>A$84</f>
        <v>12 meses antes</v>
      </c>
      <c r="B141" s="603">
        <f t="array" aca="1" ref="B141:M141" ca="1">B21:M21*Produção!$B$9</f>
        <v>0</v>
      </c>
      <c r="C141" s="603">
        <f ca="1"/>
        <v>0</v>
      </c>
      <c r="D141" s="603">
        <f ca="1"/>
        <v>0</v>
      </c>
      <c r="E141" s="603">
        <f ca="1"/>
        <v>0</v>
      </c>
      <c r="F141" s="603">
        <f ca="1"/>
        <v>0</v>
      </c>
      <c r="G141" s="603">
        <f ca="1"/>
        <v>0</v>
      </c>
      <c r="H141" s="603">
        <f ca="1"/>
        <v>0</v>
      </c>
      <c r="I141" s="603">
        <f ca="1"/>
        <v>0</v>
      </c>
      <c r="J141" s="603">
        <f ca="1"/>
        <v>0</v>
      </c>
      <c r="K141" s="603">
        <f ca="1"/>
        <v>0</v>
      </c>
      <c r="L141" s="603">
        <f ca="1"/>
        <v>0</v>
      </c>
      <c r="M141" s="603">
        <f ca="1"/>
        <v>0</v>
      </c>
      <c r="N141" s="1991">
        <f ca="1">'Distr CV 3'!B141</f>
        <v>0</v>
      </c>
      <c r="O141" s="1992">
        <f ca="1">'Distr CV 3'!C141</f>
        <v>0</v>
      </c>
      <c r="P141" s="1992">
        <f ca="1"/>
        <v>0</v>
      </c>
      <c r="Q141" s="1992">
        <f ca="1"/>
        <v>0</v>
      </c>
      <c r="R141" s="1992">
        <f ca="1"/>
        <v>0</v>
      </c>
      <c r="S141" s="1992">
        <f ca="1"/>
        <v>0</v>
      </c>
      <c r="T141" s="1992">
        <f ca="1"/>
        <v>0</v>
      </c>
      <c r="U141" s="1992">
        <f ca="1"/>
        <v>0</v>
      </c>
      <c r="V141" s="1992">
        <f ca="1"/>
        <v>0</v>
      </c>
      <c r="W141" s="1992">
        <f ca="1"/>
        <v>0</v>
      </c>
      <c r="X141" s="1992">
        <f ca="1"/>
        <v>0</v>
      </c>
      <c r="Y141" s="2010">
        <f ca="1"/>
        <v>0</v>
      </c>
    </row>
    <row r="142" spans="1:25" ht="13.5" thickBot="1">
      <c r="A142" s="105" t="str">
        <f>"Totales CV "&amp;A$9</f>
        <v xml:space="preserve">Totales CV </v>
      </c>
      <c r="B142" s="607">
        <f t="shared" ref="B142:Y142" ca="1" si="12">SUM(B129:B141)</f>
        <v>0</v>
      </c>
      <c r="C142" s="607">
        <f t="shared" ca="1" si="12"/>
        <v>0</v>
      </c>
      <c r="D142" s="607">
        <f t="shared" ca="1" si="12"/>
        <v>0</v>
      </c>
      <c r="E142" s="607">
        <f t="shared" ca="1" si="12"/>
        <v>0</v>
      </c>
      <c r="F142" s="607">
        <f t="shared" ca="1" si="12"/>
        <v>0</v>
      </c>
      <c r="G142" s="607">
        <f t="shared" ca="1" si="12"/>
        <v>0</v>
      </c>
      <c r="H142" s="607">
        <f t="shared" ca="1" si="12"/>
        <v>0</v>
      </c>
      <c r="I142" s="607">
        <f t="shared" ca="1" si="12"/>
        <v>0</v>
      </c>
      <c r="J142" s="607">
        <f t="shared" ca="1" si="12"/>
        <v>0</v>
      </c>
      <c r="K142" s="607">
        <f t="shared" ca="1" si="12"/>
        <v>0</v>
      </c>
      <c r="L142" s="607">
        <f t="shared" ca="1" si="12"/>
        <v>0</v>
      </c>
      <c r="M142" s="607">
        <f t="shared" ca="1" si="12"/>
        <v>0</v>
      </c>
      <c r="N142" s="607">
        <f t="shared" ca="1" si="12"/>
        <v>0</v>
      </c>
      <c r="O142" s="607">
        <f t="shared" ca="1" si="12"/>
        <v>0</v>
      </c>
      <c r="P142" s="607">
        <f t="shared" ca="1" si="12"/>
        <v>0</v>
      </c>
      <c r="Q142" s="607">
        <f t="shared" ca="1" si="12"/>
        <v>0</v>
      </c>
      <c r="R142" s="607">
        <f t="shared" ca="1" si="12"/>
        <v>0</v>
      </c>
      <c r="S142" s="607">
        <f t="shared" ca="1" si="12"/>
        <v>0</v>
      </c>
      <c r="T142" s="607">
        <f t="shared" ca="1" si="12"/>
        <v>0</v>
      </c>
      <c r="U142" s="607">
        <f t="shared" ca="1" si="12"/>
        <v>0</v>
      </c>
      <c r="V142" s="607">
        <f t="shared" ca="1" si="12"/>
        <v>0</v>
      </c>
      <c r="W142" s="607">
        <f t="shared" ca="1" si="12"/>
        <v>0</v>
      </c>
      <c r="X142" s="607">
        <f t="shared" ca="1" si="12"/>
        <v>0</v>
      </c>
      <c r="Y142" s="2008">
        <f t="shared" ca="1" si="12"/>
        <v>0</v>
      </c>
    </row>
    <row r="143" spans="1:25" ht="13.5" thickBot="1">
      <c r="A143" s="105" t="str">
        <f>'Dados Básicos'!A28&amp;" sop. CV "&amp;$A$9</f>
        <v xml:space="preserve">IVA sop. CV </v>
      </c>
      <c r="B143" s="607">
        <f t="array" aca="1" ref="B143:Y143" ca="1">$K$127*B142:Y142</f>
        <v>0</v>
      </c>
      <c r="C143" s="607">
        <f ca="1"/>
        <v>0</v>
      </c>
      <c r="D143" s="607">
        <f ca="1"/>
        <v>0</v>
      </c>
      <c r="E143" s="607">
        <f ca="1"/>
        <v>0</v>
      </c>
      <c r="F143" s="607">
        <f ca="1"/>
        <v>0</v>
      </c>
      <c r="G143" s="607">
        <f ca="1"/>
        <v>0</v>
      </c>
      <c r="H143" s="607">
        <f ca="1"/>
        <v>0</v>
      </c>
      <c r="I143" s="607">
        <f ca="1"/>
        <v>0</v>
      </c>
      <c r="J143" s="607">
        <f ca="1"/>
        <v>0</v>
      </c>
      <c r="K143" s="607">
        <f ca="1"/>
        <v>0</v>
      </c>
      <c r="L143" s="607">
        <f ca="1"/>
        <v>0</v>
      </c>
      <c r="M143" s="607">
        <f ca="1"/>
        <v>0</v>
      </c>
      <c r="N143" s="607">
        <f ca="1"/>
        <v>0</v>
      </c>
      <c r="O143" s="607">
        <f ca="1"/>
        <v>0</v>
      </c>
      <c r="P143" s="607">
        <f ca="1"/>
        <v>0</v>
      </c>
      <c r="Q143" s="607">
        <f ca="1"/>
        <v>0</v>
      </c>
      <c r="R143" s="607">
        <f ca="1"/>
        <v>0</v>
      </c>
      <c r="S143" s="607">
        <f ca="1"/>
        <v>0</v>
      </c>
      <c r="T143" s="607">
        <f ca="1"/>
        <v>0</v>
      </c>
      <c r="U143" s="607">
        <f ca="1"/>
        <v>0</v>
      </c>
      <c r="V143" s="607">
        <f ca="1"/>
        <v>0</v>
      </c>
      <c r="W143" s="607">
        <f ca="1"/>
        <v>0</v>
      </c>
      <c r="X143" s="607">
        <f ca="1"/>
        <v>0</v>
      </c>
      <c r="Y143" s="2008">
        <f ca="1"/>
        <v>0</v>
      </c>
    </row>
    <row r="145" spans="1:25" ht="18.75" thickBot="1">
      <c r="A145" s="1993" t="str">
        <f>'Distr CV 0'!A145</f>
        <v xml:space="preserve">Compras / custos de producción por meses de </v>
      </c>
      <c r="I145" s="1993" t="str">
        <f>$I$109</f>
        <v>IVA NÃO incluido</v>
      </c>
      <c r="K145" s="2005">
        <f>Parametros!$F$26</f>
        <v>0.21</v>
      </c>
    </row>
    <row r="146" spans="1:25" ht="30" customHeight="1" thickBot="1">
      <c r="A146" s="457" t="str">
        <f>'Distr CV 0'!A146</f>
        <v>mes de compra / custo</v>
      </c>
      <c r="B146" s="2011" t="str">
        <f t="array" ref="B146:Y146">B$71:Y$71</f>
        <v>janeiro 
2027</v>
      </c>
      <c r="C146" s="2011" t="str">
        <v>fevereiro 
2027</v>
      </c>
      <c r="D146" s="2011" t="str">
        <v>março 
2027</v>
      </c>
      <c r="E146" s="2011" t="str">
        <v>abril 
2027</v>
      </c>
      <c r="F146" s="2011" t="str">
        <v>maio 
2027</v>
      </c>
      <c r="G146" s="2011" t="str">
        <v>junho 
2027</v>
      </c>
      <c r="H146" s="2011" t="str">
        <v>julho 
2027</v>
      </c>
      <c r="I146" s="2011" t="str">
        <v>agosto 
2027</v>
      </c>
      <c r="J146" s="2011" t="str">
        <v>setembro 
2027</v>
      </c>
      <c r="K146" s="2011" t="str">
        <v>outubro 
2027</v>
      </c>
      <c r="L146" s="2011" t="str">
        <v>novembro 
2027</v>
      </c>
      <c r="M146" s="2011" t="str">
        <v>dezembro 
2027</v>
      </c>
      <c r="N146" s="2734" t="str">
        <v>janeiro 
2028</v>
      </c>
      <c r="O146" s="2735" t="str">
        <v>fevereiro 
2028</v>
      </c>
      <c r="P146" s="2735" t="str">
        <v>março 
2028</v>
      </c>
      <c r="Q146" s="2735" t="str">
        <v>abril 
2028</v>
      </c>
      <c r="R146" s="2735" t="str">
        <v>maio 
2028</v>
      </c>
      <c r="S146" s="2735" t="str">
        <v>junho 
2028</v>
      </c>
      <c r="T146" s="2735" t="str">
        <v>julho 
2028</v>
      </c>
      <c r="U146" s="2735" t="str">
        <v>agosto 
2028</v>
      </c>
      <c r="V146" s="2735" t="str">
        <v>setembro 
2028</v>
      </c>
      <c r="W146" s="2735" t="str">
        <v>outubro 
2028</v>
      </c>
      <c r="X146" s="2735" t="str">
        <v>novembro 
2028</v>
      </c>
      <c r="Y146" s="2736" t="str">
        <v>dezembro 
2028</v>
      </c>
    </row>
    <row r="147" spans="1:25">
      <c r="A147" s="1994" t="str">
        <f>A$72</f>
        <v>mismo mes</v>
      </c>
      <c r="B147" s="1991"/>
      <c r="C147" s="1991"/>
      <c r="D147" s="1991"/>
      <c r="E147" s="1991"/>
      <c r="F147" s="1991"/>
      <c r="G147" s="1991"/>
      <c r="H147" s="1991"/>
      <c r="I147" s="1991"/>
      <c r="J147" s="1991"/>
      <c r="K147" s="1991"/>
      <c r="L147" s="1991"/>
      <c r="M147" s="1991"/>
      <c r="N147" s="603">
        <f t="array" aca="1" ref="N147:Y147" ca="1">B22:M22*Produção!$N$10</f>
        <v>0</v>
      </c>
      <c r="O147" s="603">
        <f ca="1"/>
        <v>0</v>
      </c>
      <c r="P147" s="603">
        <f ca="1"/>
        <v>0</v>
      </c>
      <c r="Q147" s="603">
        <f ca="1"/>
        <v>0</v>
      </c>
      <c r="R147" s="603">
        <f ca="1"/>
        <v>0</v>
      </c>
      <c r="S147" s="603">
        <f ca="1"/>
        <v>0</v>
      </c>
      <c r="T147" s="603">
        <f ca="1"/>
        <v>0</v>
      </c>
      <c r="U147" s="603">
        <f ca="1"/>
        <v>0</v>
      </c>
      <c r="V147" s="603">
        <f ca="1"/>
        <v>0</v>
      </c>
      <c r="W147" s="603">
        <f ca="1"/>
        <v>0</v>
      </c>
      <c r="X147" s="603">
        <f ca="1"/>
        <v>0</v>
      </c>
      <c r="Y147" s="2006">
        <f ca="1"/>
        <v>0</v>
      </c>
    </row>
    <row r="148" spans="1:25">
      <c r="A148" s="1995" t="str">
        <f>A$73</f>
        <v>1 mes antes</v>
      </c>
      <c r="B148" s="1991"/>
      <c r="C148" s="1991"/>
      <c r="D148" s="1991"/>
      <c r="E148" s="1991"/>
      <c r="F148" s="1991"/>
      <c r="G148" s="1991"/>
      <c r="H148" s="1991"/>
      <c r="I148" s="1991"/>
      <c r="J148" s="1991"/>
      <c r="K148" s="1991"/>
      <c r="L148" s="1991"/>
      <c r="M148" s="603">
        <f t="array" aca="1" ref="M148:X148" ca="1">B22:M22*Produção!$M$10</f>
        <v>0</v>
      </c>
      <c r="N148" s="603">
        <f ca="1"/>
        <v>0</v>
      </c>
      <c r="O148" s="603">
        <f ca="1"/>
        <v>0</v>
      </c>
      <c r="P148" s="603">
        <f ca="1"/>
        <v>0</v>
      </c>
      <c r="Q148" s="603">
        <f ca="1"/>
        <v>0</v>
      </c>
      <c r="R148" s="603">
        <f ca="1"/>
        <v>0</v>
      </c>
      <c r="S148" s="603">
        <f ca="1"/>
        <v>0</v>
      </c>
      <c r="T148" s="603">
        <f ca="1"/>
        <v>0</v>
      </c>
      <c r="U148" s="603">
        <f ca="1"/>
        <v>0</v>
      </c>
      <c r="V148" s="603">
        <f ca="1"/>
        <v>0</v>
      </c>
      <c r="W148" s="603">
        <f ca="1"/>
        <v>0</v>
      </c>
      <c r="X148" s="603">
        <f ca="1"/>
        <v>0</v>
      </c>
      <c r="Y148" s="2007">
        <f t="array" aca="1" ref="Y148:Y159" ca="1">'Distr CV 3'!M148:M159</f>
        <v>0</v>
      </c>
    </row>
    <row r="149" spans="1:25">
      <c r="A149" s="1995" t="str">
        <f>A$74</f>
        <v>2 meses antes</v>
      </c>
      <c r="B149" s="1991"/>
      <c r="C149" s="1991"/>
      <c r="D149" s="1991"/>
      <c r="E149" s="1991"/>
      <c r="F149" s="1991"/>
      <c r="G149" s="1991"/>
      <c r="H149" s="1991"/>
      <c r="I149" s="1991"/>
      <c r="J149" s="1991"/>
      <c r="K149" s="1991"/>
      <c r="L149" s="603">
        <f t="array" aca="1" ref="L149:W149" ca="1">B22:M22*Produção!$L$10</f>
        <v>0</v>
      </c>
      <c r="M149" s="603">
        <f ca="1"/>
        <v>0</v>
      </c>
      <c r="N149" s="603">
        <f ca="1"/>
        <v>0</v>
      </c>
      <c r="O149" s="603">
        <f ca="1"/>
        <v>0</v>
      </c>
      <c r="P149" s="603">
        <f ca="1"/>
        <v>0</v>
      </c>
      <c r="Q149" s="603">
        <f ca="1"/>
        <v>0</v>
      </c>
      <c r="R149" s="603">
        <f ca="1"/>
        <v>0</v>
      </c>
      <c r="S149" s="603">
        <f ca="1"/>
        <v>0</v>
      </c>
      <c r="T149" s="603">
        <f ca="1"/>
        <v>0</v>
      </c>
      <c r="U149" s="603">
        <f ca="1"/>
        <v>0</v>
      </c>
      <c r="V149" s="603">
        <f ca="1"/>
        <v>0</v>
      </c>
      <c r="W149" s="603">
        <f ca="1"/>
        <v>0</v>
      </c>
      <c r="X149" s="1988">
        <f t="array" aca="1" ref="X149:X159" ca="1">'Distr CV 3'!L149:L159</f>
        <v>0</v>
      </c>
      <c r="Y149" s="2007">
        <f ca="1"/>
        <v>0</v>
      </c>
    </row>
    <row r="150" spans="1:25">
      <c r="A150" s="1995" t="str">
        <f>A$75</f>
        <v>3 meses antes</v>
      </c>
      <c r="B150" s="1991"/>
      <c r="C150" s="1991"/>
      <c r="D150" s="1991"/>
      <c r="E150" s="1991"/>
      <c r="F150" s="1991"/>
      <c r="G150" s="1991"/>
      <c r="H150" s="1991"/>
      <c r="I150" s="1991"/>
      <c r="J150" s="1991"/>
      <c r="K150" s="603">
        <f t="array" aca="1" ref="K150:V150" ca="1">B22:M22*Produção!$K$10</f>
        <v>0</v>
      </c>
      <c r="L150" s="603">
        <f ca="1"/>
        <v>0</v>
      </c>
      <c r="M150" s="603">
        <f ca="1"/>
        <v>0</v>
      </c>
      <c r="N150" s="603">
        <f ca="1"/>
        <v>0</v>
      </c>
      <c r="O150" s="603">
        <f ca="1"/>
        <v>0</v>
      </c>
      <c r="P150" s="603">
        <f ca="1"/>
        <v>0</v>
      </c>
      <c r="Q150" s="603">
        <f ca="1"/>
        <v>0</v>
      </c>
      <c r="R150" s="603">
        <f ca="1"/>
        <v>0</v>
      </c>
      <c r="S150" s="603">
        <f ca="1"/>
        <v>0</v>
      </c>
      <c r="T150" s="603">
        <f ca="1"/>
        <v>0</v>
      </c>
      <c r="U150" s="603">
        <f ca="1"/>
        <v>0</v>
      </c>
      <c r="V150" s="603">
        <f ca="1"/>
        <v>0</v>
      </c>
      <c r="W150" s="1988">
        <f t="array" aca="1" ref="W150:W159" ca="1">'Distr CV 3'!K150:K159</f>
        <v>0</v>
      </c>
      <c r="X150" s="1988">
        <f ca="1"/>
        <v>0</v>
      </c>
      <c r="Y150" s="2007">
        <f ca="1"/>
        <v>0</v>
      </c>
    </row>
    <row r="151" spans="1:25">
      <c r="A151" s="1995" t="str">
        <f>A$76</f>
        <v>4 meses antes</v>
      </c>
      <c r="B151" s="1991"/>
      <c r="C151" s="1991"/>
      <c r="D151" s="1991"/>
      <c r="E151" s="1991"/>
      <c r="F151" s="1991"/>
      <c r="G151" s="1991"/>
      <c r="H151" s="1991"/>
      <c r="I151" s="1991"/>
      <c r="J151" s="603">
        <f t="array" aca="1" ref="J151:U151" ca="1">B22:M22*Produção!$J$10</f>
        <v>0</v>
      </c>
      <c r="K151" s="603">
        <f ca="1"/>
        <v>0</v>
      </c>
      <c r="L151" s="603">
        <f ca="1"/>
        <v>0</v>
      </c>
      <c r="M151" s="603">
        <f ca="1"/>
        <v>0</v>
      </c>
      <c r="N151" s="603">
        <f ca="1"/>
        <v>0</v>
      </c>
      <c r="O151" s="603">
        <f ca="1"/>
        <v>0</v>
      </c>
      <c r="P151" s="603">
        <f ca="1"/>
        <v>0</v>
      </c>
      <c r="Q151" s="603">
        <f ca="1"/>
        <v>0</v>
      </c>
      <c r="R151" s="603">
        <f ca="1"/>
        <v>0</v>
      </c>
      <c r="S151" s="603">
        <f ca="1"/>
        <v>0</v>
      </c>
      <c r="T151" s="603">
        <f ca="1"/>
        <v>0</v>
      </c>
      <c r="U151" s="603">
        <f ca="1"/>
        <v>0</v>
      </c>
      <c r="V151" s="1988">
        <f t="array" aca="1" ref="V151:V159" ca="1">'Distr CV 3'!J151:J159</f>
        <v>0</v>
      </c>
      <c r="W151" s="1988">
        <f ca="1"/>
        <v>0</v>
      </c>
      <c r="X151" s="1988">
        <f ca="1"/>
        <v>0</v>
      </c>
      <c r="Y151" s="2007">
        <f ca="1"/>
        <v>0</v>
      </c>
    </row>
    <row r="152" spans="1:25">
      <c r="A152" s="1995" t="str">
        <f>A$77</f>
        <v>5 meses antes</v>
      </c>
      <c r="B152" s="1991"/>
      <c r="C152" s="1991"/>
      <c r="D152" s="1991"/>
      <c r="E152" s="1991"/>
      <c r="F152" s="1991"/>
      <c r="G152" s="1991"/>
      <c r="H152" s="1991"/>
      <c r="I152" s="603">
        <f t="array" aca="1" ref="I152:T152" ca="1">B22:M22*Produção!$I$10</f>
        <v>0</v>
      </c>
      <c r="J152" s="603">
        <f ca="1"/>
        <v>0</v>
      </c>
      <c r="K152" s="603">
        <f ca="1"/>
        <v>0</v>
      </c>
      <c r="L152" s="603">
        <f ca="1"/>
        <v>0</v>
      </c>
      <c r="M152" s="603">
        <f ca="1"/>
        <v>0</v>
      </c>
      <c r="N152" s="603">
        <f ca="1"/>
        <v>0</v>
      </c>
      <c r="O152" s="603">
        <f ca="1"/>
        <v>0</v>
      </c>
      <c r="P152" s="603">
        <f ca="1"/>
        <v>0</v>
      </c>
      <c r="Q152" s="603">
        <f ca="1"/>
        <v>0</v>
      </c>
      <c r="R152" s="603">
        <f ca="1"/>
        <v>0</v>
      </c>
      <c r="S152" s="603">
        <f ca="1"/>
        <v>0</v>
      </c>
      <c r="T152" s="603">
        <f ca="1"/>
        <v>0</v>
      </c>
      <c r="U152" s="1988">
        <f t="array" aca="1" ref="U152:U159" ca="1">'Distr CV 3'!I152:I159</f>
        <v>0</v>
      </c>
      <c r="V152" s="1988">
        <f ca="1"/>
        <v>0</v>
      </c>
      <c r="W152" s="1988">
        <f ca="1"/>
        <v>0</v>
      </c>
      <c r="X152" s="1988">
        <f ca="1"/>
        <v>0</v>
      </c>
      <c r="Y152" s="2007">
        <f ca="1"/>
        <v>0</v>
      </c>
    </row>
    <row r="153" spans="1:25">
      <c r="A153" s="1995" t="str">
        <f>A$78</f>
        <v>6 meses antes</v>
      </c>
      <c r="B153" s="1991"/>
      <c r="C153" s="1991"/>
      <c r="D153" s="1991"/>
      <c r="E153" s="1991"/>
      <c r="F153" s="1991"/>
      <c r="G153" s="1991"/>
      <c r="H153" s="603">
        <f t="array" aca="1" ref="H153:S153" ca="1">B22:M22*Produção!$H$10</f>
        <v>0</v>
      </c>
      <c r="I153" s="603">
        <f ca="1"/>
        <v>0</v>
      </c>
      <c r="J153" s="603">
        <f ca="1"/>
        <v>0</v>
      </c>
      <c r="K153" s="603">
        <f ca="1"/>
        <v>0</v>
      </c>
      <c r="L153" s="603">
        <f ca="1"/>
        <v>0</v>
      </c>
      <c r="M153" s="603">
        <f ca="1"/>
        <v>0</v>
      </c>
      <c r="N153" s="603">
        <f ca="1"/>
        <v>0</v>
      </c>
      <c r="O153" s="603">
        <f ca="1"/>
        <v>0</v>
      </c>
      <c r="P153" s="603">
        <f ca="1"/>
        <v>0</v>
      </c>
      <c r="Q153" s="603">
        <f ca="1"/>
        <v>0</v>
      </c>
      <c r="R153" s="603">
        <f ca="1"/>
        <v>0</v>
      </c>
      <c r="S153" s="603">
        <f ca="1"/>
        <v>0</v>
      </c>
      <c r="T153" s="1988">
        <f t="array" aca="1" ref="T153:T159" ca="1">'Distr CV 3'!H153:H159</f>
        <v>0</v>
      </c>
      <c r="U153" s="1988">
        <f ca="1"/>
        <v>0</v>
      </c>
      <c r="V153" s="1988">
        <f ca="1"/>
        <v>0</v>
      </c>
      <c r="W153" s="1988">
        <f ca="1"/>
        <v>0</v>
      </c>
      <c r="X153" s="1988">
        <f ca="1"/>
        <v>0</v>
      </c>
      <c r="Y153" s="2007">
        <f ca="1"/>
        <v>0</v>
      </c>
    </row>
    <row r="154" spans="1:25">
      <c r="A154" s="1995" t="str">
        <f>A$79</f>
        <v>7 meses antes</v>
      </c>
      <c r="B154" s="1991"/>
      <c r="C154" s="1991"/>
      <c r="D154" s="1991"/>
      <c r="E154" s="1991"/>
      <c r="F154" s="1991"/>
      <c r="G154" s="603">
        <f t="array" aca="1" ref="G154:R154" ca="1">B22:M22*Produção!$G$10</f>
        <v>0</v>
      </c>
      <c r="H154" s="603">
        <f ca="1"/>
        <v>0</v>
      </c>
      <c r="I154" s="603">
        <f ca="1"/>
        <v>0</v>
      </c>
      <c r="J154" s="603">
        <f ca="1"/>
        <v>0</v>
      </c>
      <c r="K154" s="603">
        <f ca="1"/>
        <v>0</v>
      </c>
      <c r="L154" s="603">
        <f ca="1"/>
        <v>0</v>
      </c>
      <c r="M154" s="603">
        <f ca="1"/>
        <v>0</v>
      </c>
      <c r="N154" s="603">
        <f ca="1"/>
        <v>0</v>
      </c>
      <c r="O154" s="603">
        <f ca="1"/>
        <v>0</v>
      </c>
      <c r="P154" s="603">
        <f ca="1"/>
        <v>0</v>
      </c>
      <c r="Q154" s="603">
        <f ca="1"/>
        <v>0</v>
      </c>
      <c r="R154" s="603">
        <f ca="1"/>
        <v>0</v>
      </c>
      <c r="S154" s="1992">
        <f t="array" aca="1" ref="S154:S159" ca="1">'Distr CV 3'!G154:G159</f>
        <v>0</v>
      </c>
      <c r="T154" s="1992">
        <f ca="1"/>
        <v>0</v>
      </c>
      <c r="U154" s="1992">
        <f ca="1"/>
        <v>0</v>
      </c>
      <c r="V154" s="1992">
        <f ca="1"/>
        <v>0</v>
      </c>
      <c r="W154" s="1992">
        <f ca="1"/>
        <v>0</v>
      </c>
      <c r="X154" s="1992">
        <f ca="1"/>
        <v>0</v>
      </c>
      <c r="Y154" s="2010">
        <f ca="1"/>
        <v>0</v>
      </c>
    </row>
    <row r="155" spans="1:25">
      <c r="A155" s="1995" t="str">
        <f>A$80</f>
        <v>8 meses antes</v>
      </c>
      <c r="B155" s="1991"/>
      <c r="C155" s="1991"/>
      <c r="D155" s="1991"/>
      <c r="E155" s="1991"/>
      <c r="F155" s="603">
        <f t="array" aca="1" ref="F155:Q155" ca="1">B22:M22*Produção!$F$10</f>
        <v>0</v>
      </c>
      <c r="G155" s="603">
        <f ca="1"/>
        <v>0</v>
      </c>
      <c r="H155" s="603">
        <f ca="1"/>
        <v>0</v>
      </c>
      <c r="I155" s="603">
        <f ca="1"/>
        <v>0</v>
      </c>
      <c r="J155" s="603">
        <f ca="1"/>
        <v>0</v>
      </c>
      <c r="K155" s="603">
        <f ca="1"/>
        <v>0</v>
      </c>
      <c r="L155" s="603">
        <f ca="1"/>
        <v>0</v>
      </c>
      <c r="M155" s="603">
        <f ca="1"/>
        <v>0</v>
      </c>
      <c r="N155" s="603">
        <f ca="1"/>
        <v>0</v>
      </c>
      <c r="O155" s="603">
        <f ca="1"/>
        <v>0</v>
      </c>
      <c r="P155" s="603">
        <f ca="1"/>
        <v>0</v>
      </c>
      <c r="Q155" s="603">
        <f ca="1"/>
        <v>0</v>
      </c>
      <c r="R155" s="1992">
        <f t="array" aca="1" ref="R155:R159" ca="1">'Distr CV 3'!F155:F159</f>
        <v>0</v>
      </c>
      <c r="S155" s="1992">
        <f ca="1"/>
        <v>0</v>
      </c>
      <c r="T155" s="1992">
        <f ca="1"/>
        <v>0</v>
      </c>
      <c r="U155" s="1992">
        <f ca="1"/>
        <v>0</v>
      </c>
      <c r="V155" s="1992">
        <f ca="1"/>
        <v>0</v>
      </c>
      <c r="W155" s="1992">
        <f ca="1"/>
        <v>0</v>
      </c>
      <c r="X155" s="1992">
        <f ca="1"/>
        <v>0</v>
      </c>
      <c r="Y155" s="2010">
        <f ca="1"/>
        <v>0</v>
      </c>
    </row>
    <row r="156" spans="1:25">
      <c r="A156" s="1995" t="str">
        <f>A$81</f>
        <v>9 meses antes</v>
      </c>
      <c r="B156" s="1991"/>
      <c r="C156" s="1991"/>
      <c r="D156" s="1991"/>
      <c r="E156" s="603">
        <f t="array" aca="1" ref="E156:P156" ca="1">B22:M22*Produção!$E$10</f>
        <v>0</v>
      </c>
      <c r="F156" s="603">
        <f ca="1"/>
        <v>0</v>
      </c>
      <c r="G156" s="603">
        <f ca="1"/>
        <v>0</v>
      </c>
      <c r="H156" s="603">
        <f ca="1"/>
        <v>0</v>
      </c>
      <c r="I156" s="603">
        <f ca="1"/>
        <v>0</v>
      </c>
      <c r="J156" s="603">
        <f ca="1"/>
        <v>0</v>
      </c>
      <c r="K156" s="603">
        <f ca="1"/>
        <v>0</v>
      </c>
      <c r="L156" s="603">
        <f ca="1"/>
        <v>0</v>
      </c>
      <c r="M156" s="603">
        <f ca="1"/>
        <v>0</v>
      </c>
      <c r="N156" s="603">
        <f ca="1"/>
        <v>0</v>
      </c>
      <c r="O156" s="603">
        <f ca="1"/>
        <v>0</v>
      </c>
      <c r="P156" s="603">
        <f ca="1"/>
        <v>0</v>
      </c>
      <c r="Q156" s="1992">
        <f t="array" aca="1" ref="Q156:Q159" ca="1">'Distr CV 3'!E156:E159</f>
        <v>0</v>
      </c>
      <c r="R156" s="1992">
        <f ca="1"/>
        <v>0</v>
      </c>
      <c r="S156" s="1992">
        <f ca="1"/>
        <v>0</v>
      </c>
      <c r="T156" s="1992">
        <f ca="1"/>
        <v>0</v>
      </c>
      <c r="U156" s="1992">
        <f ca="1"/>
        <v>0</v>
      </c>
      <c r="V156" s="1992">
        <f ca="1"/>
        <v>0</v>
      </c>
      <c r="W156" s="1992">
        <f ca="1"/>
        <v>0</v>
      </c>
      <c r="X156" s="1992">
        <f ca="1"/>
        <v>0</v>
      </c>
      <c r="Y156" s="2010">
        <f ca="1"/>
        <v>0</v>
      </c>
    </row>
    <row r="157" spans="1:25">
      <c r="A157" s="1995" t="str">
        <f>A$82</f>
        <v>10 meses antes</v>
      </c>
      <c r="B157" s="1991"/>
      <c r="C157" s="1991"/>
      <c r="D157" s="603">
        <f t="array" aca="1" ref="D157:O157" ca="1">B22:M22*Produção!$D$10</f>
        <v>0</v>
      </c>
      <c r="E157" s="603">
        <f ca="1"/>
        <v>0</v>
      </c>
      <c r="F157" s="603">
        <f ca="1"/>
        <v>0</v>
      </c>
      <c r="G157" s="603">
        <f ca="1"/>
        <v>0</v>
      </c>
      <c r="H157" s="603">
        <f ca="1"/>
        <v>0</v>
      </c>
      <c r="I157" s="603">
        <f ca="1"/>
        <v>0</v>
      </c>
      <c r="J157" s="603">
        <f ca="1"/>
        <v>0</v>
      </c>
      <c r="K157" s="603">
        <f ca="1"/>
        <v>0</v>
      </c>
      <c r="L157" s="603">
        <f ca="1"/>
        <v>0</v>
      </c>
      <c r="M157" s="603">
        <f ca="1"/>
        <v>0</v>
      </c>
      <c r="N157" s="603">
        <f ca="1"/>
        <v>0</v>
      </c>
      <c r="O157" s="603">
        <f ca="1"/>
        <v>0</v>
      </c>
      <c r="P157" s="1992">
        <f t="array" aca="1" ref="P157:P159" ca="1">'Distr CV 3'!D157:D159</f>
        <v>0</v>
      </c>
      <c r="Q157" s="1992">
        <f ca="1"/>
        <v>0</v>
      </c>
      <c r="R157" s="1992">
        <f ca="1"/>
        <v>0</v>
      </c>
      <c r="S157" s="1992">
        <f ca="1"/>
        <v>0</v>
      </c>
      <c r="T157" s="1992">
        <f ca="1"/>
        <v>0</v>
      </c>
      <c r="U157" s="1992">
        <f ca="1"/>
        <v>0</v>
      </c>
      <c r="V157" s="1992">
        <f ca="1"/>
        <v>0</v>
      </c>
      <c r="W157" s="1992">
        <f ca="1"/>
        <v>0</v>
      </c>
      <c r="X157" s="1992">
        <f ca="1"/>
        <v>0</v>
      </c>
      <c r="Y157" s="2010">
        <f ca="1"/>
        <v>0</v>
      </c>
    </row>
    <row r="158" spans="1:25">
      <c r="A158" s="1995" t="str">
        <f>A$83</f>
        <v>11 meses antes</v>
      </c>
      <c r="B158" s="1991"/>
      <c r="C158" s="603">
        <f t="array" aca="1" ref="C158:N158" ca="1">B22:M22*Produção!$C$10</f>
        <v>0</v>
      </c>
      <c r="D158" s="603">
        <f ca="1"/>
        <v>0</v>
      </c>
      <c r="E158" s="603">
        <f ca="1"/>
        <v>0</v>
      </c>
      <c r="F158" s="603">
        <f ca="1"/>
        <v>0</v>
      </c>
      <c r="G158" s="603">
        <f ca="1"/>
        <v>0</v>
      </c>
      <c r="H158" s="603">
        <f ca="1"/>
        <v>0</v>
      </c>
      <c r="I158" s="603">
        <f ca="1"/>
        <v>0</v>
      </c>
      <c r="J158" s="603">
        <f ca="1"/>
        <v>0</v>
      </c>
      <c r="K158" s="603">
        <f ca="1"/>
        <v>0</v>
      </c>
      <c r="L158" s="603">
        <f ca="1"/>
        <v>0</v>
      </c>
      <c r="M158" s="603">
        <f ca="1"/>
        <v>0</v>
      </c>
      <c r="N158" s="603">
        <f ca="1"/>
        <v>0</v>
      </c>
      <c r="O158" s="1992">
        <f ca="1">'Distr CV 3'!C158</f>
        <v>0</v>
      </c>
      <c r="P158" s="1992">
        <f ca="1"/>
        <v>0</v>
      </c>
      <c r="Q158" s="1992">
        <f ca="1"/>
        <v>0</v>
      </c>
      <c r="R158" s="1992">
        <f ca="1"/>
        <v>0</v>
      </c>
      <c r="S158" s="1992">
        <f ca="1"/>
        <v>0</v>
      </c>
      <c r="T158" s="1992">
        <f ca="1"/>
        <v>0</v>
      </c>
      <c r="U158" s="1992">
        <f ca="1"/>
        <v>0</v>
      </c>
      <c r="V158" s="1992">
        <f ca="1"/>
        <v>0</v>
      </c>
      <c r="W158" s="1992">
        <f ca="1"/>
        <v>0</v>
      </c>
      <c r="X158" s="1992">
        <f ca="1"/>
        <v>0</v>
      </c>
      <c r="Y158" s="2010">
        <f ca="1"/>
        <v>0</v>
      </c>
    </row>
    <row r="159" spans="1:25" ht="13.5" thickBot="1">
      <c r="A159" s="1995" t="str">
        <f>A$84</f>
        <v>12 meses antes</v>
      </c>
      <c r="B159" s="603">
        <f t="array" aca="1" ref="B159:M159" ca="1">B22:M22*Produção!$B$10</f>
        <v>0</v>
      </c>
      <c r="C159" s="603">
        <f ca="1"/>
        <v>0</v>
      </c>
      <c r="D159" s="603">
        <f ca="1"/>
        <v>0</v>
      </c>
      <c r="E159" s="603">
        <f ca="1"/>
        <v>0</v>
      </c>
      <c r="F159" s="603">
        <f ca="1"/>
        <v>0</v>
      </c>
      <c r="G159" s="603">
        <f ca="1"/>
        <v>0</v>
      </c>
      <c r="H159" s="603">
        <f ca="1"/>
        <v>0</v>
      </c>
      <c r="I159" s="603">
        <f ca="1"/>
        <v>0</v>
      </c>
      <c r="J159" s="603">
        <f ca="1"/>
        <v>0</v>
      </c>
      <c r="K159" s="603">
        <f ca="1"/>
        <v>0</v>
      </c>
      <c r="L159" s="603">
        <f ca="1"/>
        <v>0</v>
      </c>
      <c r="M159" s="603">
        <f ca="1"/>
        <v>0</v>
      </c>
      <c r="N159" s="1991">
        <f ca="1">'Distr CV 3'!B159</f>
        <v>0</v>
      </c>
      <c r="O159" s="1992">
        <f ca="1">'Distr CV 3'!C159</f>
        <v>0</v>
      </c>
      <c r="P159" s="1992">
        <f ca="1"/>
        <v>0</v>
      </c>
      <c r="Q159" s="1992">
        <f ca="1"/>
        <v>0</v>
      </c>
      <c r="R159" s="1992">
        <f ca="1"/>
        <v>0</v>
      </c>
      <c r="S159" s="1992">
        <f ca="1"/>
        <v>0</v>
      </c>
      <c r="T159" s="1992">
        <f ca="1"/>
        <v>0</v>
      </c>
      <c r="U159" s="1992">
        <f ca="1"/>
        <v>0</v>
      </c>
      <c r="V159" s="1992">
        <f ca="1"/>
        <v>0</v>
      </c>
      <c r="W159" s="1992">
        <f ca="1"/>
        <v>0</v>
      </c>
      <c r="X159" s="1992">
        <f ca="1"/>
        <v>0</v>
      </c>
      <c r="Y159" s="2010">
        <f ca="1"/>
        <v>0</v>
      </c>
    </row>
    <row r="160" spans="1:25" ht="13.5" thickBot="1">
      <c r="A160" s="105" t="str">
        <f>"Totales CV "&amp;A$10</f>
        <v xml:space="preserve">Totales CV </v>
      </c>
      <c r="B160" s="607">
        <f t="shared" ref="B160:Y160" ca="1" si="13">SUM(B147:B159)</f>
        <v>0</v>
      </c>
      <c r="C160" s="607">
        <f t="shared" ca="1" si="13"/>
        <v>0</v>
      </c>
      <c r="D160" s="607">
        <f t="shared" ca="1" si="13"/>
        <v>0</v>
      </c>
      <c r="E160" s="607">
        <f t="shared" ca="1" si="13"/>
        <v>0</v>
      </c>
      <c r="F160" s="607">
        <f t="shared" ca="1" si="13"/>
        <v>0</v>
      </c>
      <c r="G160" s="607">
        <f t="shared" ca="1" si="13"/>
        <v>0</v>
      </c>
      <c r="H160" s="607">
        <f t="shared" ca="1" si="13"/>
        <v>0</v>
      </c>
      <c r="I160" s="607">
        <f t="shared" ca="1" si="13"/>
        <v>0</v>
      </c>
      <c r="J160" s="607">
        <f t="shared" ca="1" si="13"/>
        <v>0</v>
      </c>
      <c r="K160" s="607">
        <f t="shared" ca="1" si="13"/>
        <v>0</v>
      </c>
      <c r="L160" s="607">
        <f t="shared" ca="1" si="13"/>
        <v>0</v>
      </c>
      <c r="M160" s="607">
        <f t="shared" ca="1" si="13"/>
        <v>0</v>
      </c>
      <c r="N160" s="607">
        <f t="shared" ca="1" si="13"/>
        <v>0</v>
      </c>
      <c r="O160" s="607">
        <f t="shared" ca="1" si="13"/>
        <v>0</v>
      </c>
      <c r="P160" s="607">
        <f t="shared" ca="1" si="13"/>
        <v>0</v>
      </c>
      <c r="Q160" s="607">
        <f t="shared" ca="1" si="13"/>
        <v>0</v>
      </c>
      <c r="R160" s="607">
        <f t="shared" ca="1" si="13"/>
        <v>0</v>
      </c>
      <c r="S160" s="607">
        <f t="shared" ca="1" si="13"/>
        <v>0</v>
      </c>
      <c r="T160" s="607">
        <f t="shared" ca="1" si="13"/>
        <v>0</v>
      </c>
      <c r="U160" s="607">
        <f t="shared" ca="1" si="13"/>
        <v>0</v>
      </c>
      <c r="V160" s="607">
        <f t="shared" ca="1" si="13"/>
        <v>0</v>
      </c>
      <c r="W160" s="607">
        <f t="shared" ca="1" si="13"/>
        <v>0</v>
      </c>
      <c r="X160" s="607">
        <f t="shared" ca="1" si="13"/>
        <v>0</v>
      </c>
      <c r="Y160" s="2008">
        <f t="shared" ca="1" si="13"/>
        <v>0</v>
      </c>
    </row>
    <row r="161" spans="1:25" ht="13.5" thickBot="1">
      <c r="A161" s="105" t="str">
        <f>'Dados Básicos'!A28&amp;" sop. CV "&amp;$A$10</f>
        <v xml:space="preserve">IVA sop. CV </v>
      </c>
      <c r="B161" s="607">
        <f t="array" aca="1" ref="B161:Y161" ca="1">$K$145*B160:Y160</f>
        <v>0</v>
      </c>
      <c r="C161" s="607">
        <f ca="1"/>
        <v>0</v>
      </c>
      <c r="D161" s="607">
        <f ca="1"/>
        <v>0</v>
      </c>
      <c r="E161" s="607">
        <f ca="1"/>
        <v>0</v>
      </c>
      <c r="F161" s="607">
        <f ca="1"/>
        <v>0</v>
      </c>
      <c r="G161" s="607">
        <f ca="1"/>
        <v>0</v>
      </c>
      <c r="H161" s="607">
        <f ca="1"/>
        <v>0</v>
      </c>
      <c r="I161" s="607">
        <f ca="1"/>
        <v>0</v>
      </c>
      <c r="J161" s="607">
        <f ca="1"/>
        <v>0</v>
      </c>
      <c r="K161" s="607">
        <f ca="1"/>
        <v>0</v>
      </c>
      <c r="L161" s="607">
        <f ca="1"/>
        <v>0</v>
      </c>
      <c r="M161" s="607">
        <f ca="1"/>
        <v>0</v>
      </c>
      <c r="N161" s="607">
        <f ca="1"/>
        <v>0</v>
      </c>
      <c r="O161" s="607">
        <f ca="1"/>
        <v>0</v>
      </c>
      <c r="P161" s="607">
        <f ca="1"/>
        <v>0</v>
      </c>
      <c r="Q161" s="607">
        <f ca="1"/>
        <v>0</v>
      </c>
      <c r="R161" s="607">
        <f ca="1"/>
        <v>0</v>
      </c>
      <c r="S161" s="607">
        <f ca="1"/>
        <v>0</v>
      </c>
      <c r="T161" s="607">
        <f ca="1"/>
        <v>0</v>
      </c>
      <c r="U161" s="607">
        <f ca="1"/>
        <v>0</v>
      </c>
      <c r="V161" s="607">
        <f ca="1"/>
        <v>0</v>
      </c>
      <c r="W161" s="607">
        <f ca="1"/>
        <v>0</v>
      </c>
      <c r="X161" s="607">
        <f ca="1"/>
        <v>0</v>
      </c>
      <c r="Y161" s="2008">
        <f ca="1"/>
        <v>0</v>
      </c>
    </row>
    <row r="163" spans="1:25" ht="18.75" thickBot="1">
      <c r="A163" s="1993" t="str">
        <f>'Distr CV 0'!A163</f>
        <v xml:space="preserve">Compras / custos de producción por meses de </v>
      </c>
      <c r="I163" s="1993" t="str">
        <f>$I$109</f>
        <v>IVA NÃO incluido</v>
      </c>
      <c r="K163" s="2005">
        <f>Parametros!$F$27</f>
        <v>0.21</v>
      </c>
    </row>
    <row r="164" spans="1:25" ht="30" customHeight="1" thickBot="1">
      <c r="A164" s="457" t="str">
        <f>'Distr CV 0'!A164</f>
        <v>mes de compra / custo</v>
      </c>
      <c r="B164" s="2011" t="str">
        <f t="array" ref="B164:Y164">B$71:Y$71</f>
        <v>janeiro 
2027</v>
      </c>
      <c r="C164" s="2011" t="str">
        <v>fevereiro 
2027</v>
      </c>
      <c r="D164" s="2011" t="str">
        <v>março 
2027</v>
      </c>
      <c r="E164" s="2011" t="str">
        <v>abril 
2027</v>
      </c>
      <c r="F164" s="2011" t="str">
        <v>maio 
2027</v>
      </c>
      <c r="G164" s="2011" t="str">
        <v>junho 
2027</v>
      </c>
      <c r="H164" s="2011" t="str">
        <v>julho 
2027</v>
      </c>
      <c r="I164" s="2011" t="str">
        <v>agosto 
2027</v>
      </c>
      <c r="J164" s="2011" t="str">
        <v>setembro 
2027</v>
      </c>
      <c r="K164" s="2011" t="str">
        <v>outubro 
2027</v>
      </c>
      <c r="L164" s="2011" t="str">
        <v>novembro 
2027</v>
      </c>
      <c r="M164" s="2011" t="str">
        <v>dezembro 
2027</v>
      </c>
      <c r="N164" s="2734" t="str">
        <v>janeiro 
2028</v>
      </c>
      <c r="O164" s="2735" t="str">
        <v>fevereiro 
2028</v>
      </c>
      <c r="P164" s="2735" t="str">
        <v>março 
2028</v>
      </c>
      <c r="Q164" s="2735" t="str">
        <v>abril 
2028</v>
      </c>
      <c r="R164" s="2735" t="str">
        <v>maio 
2028</v>
      </c>
      <c r="S164" s="2735" t="str">
        <v>junho 
2028</v>
      </c>
      <c r="T164" s="2735" t="str">
        <v>julho 
2028</v>
      </c>
      <c r="U164" s="2735" t="str">
        <v>agosto 
2028</v>
      </c>
      <c r="V164" s="2735" t="str">
        <v>setembro 
2028</v>
      </c>
      <c r="W164" s="2735" t="str">
        <v>outubro 
2028</v>
      </c>
      <c r="X164" s="2735" t="str">
        <v>novembro 
2028</v>
      </c>
      <c r="Y164" s="2736" t="str">
        <v>dezembro 
2028</v>
      </c>
    </row>
    <row r="165" spans="1:25">
      <c r="A165" s="1994" t="str">
        <f>A$72</f>
        <v>mismo mes</v>
      </c>
      <c r="B165" s="1991"/>
      <c r="C165" s="1991"/>
      <c r="D165" s="1991"/>
      <c r="E165" s="1991"/>
      <c r="F165" s="1991"/>
      <c r="G165" s="1991"/>
      <c r="H165" s="1991"/>
      <c r="I165" s="1991"/>
      <c r="J165" s="1991"/>
      <c r="K165" s="1991"/>
      <c r="L165" s="1991"/>
      <c r="M165" s="1991"/>
      <c r="N165" s="603">
        <f t="array" aca="1" ref="N165:Y165" ca="1">B23:M23*Produção!$N$11</f>
        <v>0</v>
      </c>
      <c r="O165" s="603">
        <f ca="1"/>
        <v>0</v>
      </c>
      <c r="P165" s="603">
        <f ca="1"/>
        <v>0</v>
      </c>
      <c r="Q165" s="603">
        <f ca="1"/>
        <v>0</v>
      </c>
      <c r="R165" s="603">
        <f ca="1"/>
        <v>0</v>
      </c>
      <c r="S165" s="603">
        <f ca="1"/>
        <v>0</v>
      </c>
      <c r="T165" s="603">
        <f ca="1"/>
        <v>0</v>
      </c>
      <c r="U165" s="603">
        <f ca="1"/>
        <v>0</v>
      </c>
      <c r="V165" s="603">
        <f ca="1"/>
        <v>0</v>
      </c>
      <c r="W165" s="603">
        <f ca="1"/>
        <v>0</v>
      </c>
      <c r="X165" s="603">
        <f ca="1"/>
        <v>0</v>
      </c>
      <c r="Y165" s="2006">
        <f ca="1"/>
        <v>0</v>
      </c>
    </row>
    <row r="166" spans="1:25">
      <c r="A166" s="1995" t="str">
        <f>A$73</f>
        <v>1 mes antes</v>
      </c>
      <c r="B166" s="1991"/>
      <c r="C166" s="1991"/>
      <c r="D166" s="1991"/>
      <c r="E166" s="1991"/>
      <c r="F166" s="1991"/>
      <c r="G166" s="1991"/>
      <c r="H166" s="1991"/>
      <c r="I166" s="1991"/>
      <c r="J166" s="1991"/>
      <c r="K166" s="1991"/>
      <c r="L166" s="1991"/>
      <c r="M166" s="603">
        <f t="array" aca="1" ref="M166:X166" ca="1">B23:M23*Produção!$M$11</f>
        <v>0</v>
      </c>
      <c r="N166" s="603">
        <f ca="1"/>
        <v>0</v>
      </c>
      <c r="O166" s="603">
        <f ca="1"/>
        <v>0</v>
      </c>
      <c r="P166" s="603">
        <f ca="1"/>
        <v>0</v>
      </c>
      <c r="Q166" s="603">
        <f ca="1"/>
        <v>0</v>
      </c>
      <c r="R166" s="603">
        <f ca="1"/>
        <v>0</v>
      </c>
      <c r="S166" s="603">
        <f ca="1"/>
        <v>0</v>
      </c>
      <c r="T166" s="603">
        <f ca="1"/>
        <v>0</v>
      </c>
      <c r="U166" s="603">
        <f ca="1"/>
        <v>0</v>
      </c>
      <c r="V166" s="603">
        <f ca="1"/>
        <v>0</v>
      </c>
      <c r="W166" s="603">
        <f ca="1"/>
        <v>0</v>
      </c>
      <c r="X166" s="603">
        <f ca="1"/>
        <v>0</v>
      </c>
      <c r="Y166" s="2007">
        <f t="array" aca="1" ref="Y166:Y177" ca="1">'Distr CV 3'!M166:M177</f>
        <v>0</v>
      </c>
    </row>
    <row r="167" spans="1:25">
      <c r="A167" s="1995" t="str">
        <f>A$74</f>
        <v>2 meses antes</v>
      </c>
      <c r="B167" s="1991"/>
      <c r="C167" s="1991"/>
      <c r="D167" s="1991"/>
      <c r="E167" s="1991"/>
      <c r="F167" s="1991"/>
      <c r="G167" s="1991"/>
      <c r="H167" s="1991"/>
      <c r="I167" s="1991"/>
      <c r="J167" s="1991"/>
      <c r="K167" s="1991"/>
      <c r="L167" s="603">
        <f t="array" aca="1" ref="L167:W167" ca="1">B23:M23*Produção!$L$11</f>
        <v>0</v>
      </c>
      <c r="M167" s="603">
        <f ca="1"/>
        <v>0</v>
      </c>
      <c r="N167" s="603">
        <f ca="1"/>
        <v>0</v>
      </c>
      <c r="O167" s="603">
        <f ca="1"/>
        <v>0</v>
      </c>
      <c r="P167" s="603">
        <f ca="1"/>
        <v>0</v>
      </c>
      <c r="Q167" s="603">
        <f ca="1"/>
        <v>0</v>
      </c>
      <c r="R167" s="603">
        <f ca="1"/>
        <v>0</v>
      </c>
      <c r="S167" s="603">
        <f ca="1"/>
        <v>0</v>
      </c>
      <c r="T167" s="603">
        <f ca="1"/>
        <v>0</v>
      </c>
      <c r="U167" s="603">
        <f ca="1"/>
        <v>0</v>
      </c>
      <c r="V167" s="603">
        <f ca="1"/>
        <v>0</v>
      </c>
      <c r="W167" s="603">
        <f ca="1"/>
        <v>0</v>
      </c>
      <c r="X167" s="1988">
        <f t="array" aca="1" ref="X167:X177" ca="1">'Distr CV 3'!L167:L177</f>
        <v>0</v>
      </c>
      <c r="Y167" s="2007">
        <f ca="1"/>
        <v>0</v>
      </c>
    </row>
    <row r="168" spans="1:25">
      <c r="A168" s="1995" t="str">
        <f>A$75</f>
        <v>3 meses antes</v>
      </c>
      <c r="B168" s="1991"/>
      <c r="C168" s="1991"/>
      <c r="D168" s="1991"/>
      <c r="E168" s="1991"/>
      <c r="F168" s="1991"/>
      <c r="G168" s="1991"/>
      <c r="H168" s="1991"/>
      <c r="I168" s="1991"/>
      <c r="J168" s="1991"/>
      <c r="K168" s="603">
        <f t="array" aca="1" ref="K168:V168" ca="1">B23:M23*Produção!$K$11</f>
        <v>0</v>
      </c>
      <c r="L168" s="603">
        <f ca="1"/>
        <v>0</v>
      </c>
      <c r="M168" s="603">
        <f ca="1"/>
        <v>0</v>
      </c>
      <c r="N168" s="603">
        <f ca="1"/>
        <v>0</v>
      </c>
      <c r="O168" s="603">
        <f ca="1"/>
        <v>0</v>
      </c>
      <c r="P168" s="603">
        <f ca="1"/>
        <v>0</v>
      </c>
      <c r="Q168" s="603">
        <f ca="1"/>
        <v>0</v>
      </c>
      <c r="R168" s="603">
        <f ca="1"/>
        <v>0</v>
      </c>
      <c r="S168" s="603">
        <f ca="1"/>
        <v>0</v>
      </c>
      <c r="T168" s="603">
        <f ca="1"/>
        <v>0</v>
      </c>
      <c r="U168" s="603">
        <f ca="1"/>
        <v>0</v>
      </c>
      <c r="V168" s="603">
        <f ca="1"/>
        <v>0</v>
      </c>
      <c r="W168" s="1988">
        <f t="array" aca="1" ref="W168:W177" ca="1">'Distr CV 3'!K168:K177</f>
        <v>0</v>
      </c>
      <c r="X168" s="1988">
        <f ca="1"/>
        <v>0</v>
      </c>
      <c r="Y168" s="2007">
        <f ca="1"/>
        <v>0</v>
      </c>
    </row>
    <row r="169" spans="1:25">
      <c r="A169" s="1995" t="str">
        <f>A$76</f>
        <v>4 meses antes</v>
      </c>
      <c r="B169" s="1991"/>
      <c r="C169" s="1991"/>
      <c r="D169" s="1991"/>
      <c r="E169" s="1991"/>
      <c r="F169" s="1991"/>
      <c r="G169" s="1991"/>
      <c r="H169" s="1991"/>
      <c r="I169" s="1991"/>
      <c r="J169" s="603">
        <f t="array" aca="1" ref="J169:U169" ca="1">B23:M23*Produção!$J$11</f>
        <v>0</v>
      </c>
      <c r="K169" s="603">
        <f ca="1"/>
        <v>0</v>
      </c>
      <c r="L169" s="603">
        <f ca="1"/>
        <v>0</v>
      </c>
      <c r="M169" s="603">
        <f ca="1"/>
        <v>0</v>
      </c>
      <c r="N169" s="603">
        <f ca="1"/>
        <v>0</v>
      </c>
      <c r="O169" s="603">
        <f ca="1"/>
        <v>0</v>
      </c>
      <c r="P169" s="603">
        <f ca="1"/>
        <v>0</v>
      </c>
      <c r="Q169" s="603">
        <f ca="1"/>
        <v>0</v>
      </c>
      <c r="R169" s="603">
        <f ca="1"/>
        <v>0</v>
      </c>
      <c r="S169" s="603">
        <f ca="1"/>
        <v>0</v>
      </c>
      <c r="T169" s="603">
        <f ca="1"/>
        <v>0</v>
      </c>
      <c r="U169" s="603">
        <f ca="1"/>
        <v>0</v>
      </c>
      <c r="V169" s="1988">
        <f t="array" aca="1" ref="V169:V177" ca="1">'Distr CV 3'!J169:J177</f>
        <v>0</v>
      </c>
      <c r="W169" s="1988">
        <f ca="1"/>
        <v>0</v>
      </c>
      <c r="X169" s="1988">
        <f ca="1"/>
        <v>0</v>
      </c>
      <c r="Y169" s="2007">
        <f ca="1"/>
        <v>0</v>
      </c>
    </row>
    <row r="170" spans="1:25">
      <c r="A170" s="1995" t="str">
        <f>A$77</f>
        <v>5 meses antes</v>
      </c>
      <c r="B170" s="1991"/>
      <c r="C170" s="1991"/>
      <c r="D170" s="1991"/>
      <c r="E170" s="1991"/>
      <c r="F170" s="1991"/>
      <c r="G170" s="1991"/>
      <c r="H170" s="1991"/>
      <c r="I170" s="603">
        <f t="array" aca="1" ref="I170:T170" ca="1">B23:M23*Produção!$I$11</f>
        <v>0</v>
      </c>
      <c r="J170" s="603">
        <f ca="1"/>
        <v>0</v>
      </c>
      <c r="K170" s="603">
        <f ca="1"/>
        <v>0</v>
      </c>
      <c r="L170" s="603">
        <f ca="1"/>
        <v>0</v>
      </c>
      <c r="M170" s="603">
        <f ca="1"/>
        <v>0</v>
      </c>
      <c r="N170" s="603">
        <f ca="1"/>
        <v>0</v>
      </c>
      <c r="O170" s="603">
        <f ca="1"/>
        <v>0</v>
      </c>
      <c r="P170" s="603">
        <f ca="1"/>
        <v>0</v>
      </c>
      <c r="Q170" s="603">
        <f ca="1"/>
        <v>0</v>
      </c>
      <c r="R170" s="603">
        <f ca="1"/>
        <v>0</v>
      </c>
      <c r="S170" s="603">
        <f ca="1"/>
        <v>0</v>
      </c>
      <c r="T170" s="603">
        <f ca="1"/>
        <v>0</v>
      </c>
      <c r="U170" s="1988">
        <f t="array" aca="1" ref="U170:U177" ca="1">'Distr CV 3'!I170:I177</f>
        <v>0</v>
      </c>
      <c r="V170" s="1988">
        <f ca="1"/>
        <v>0</v>
      </c>
      <c r="W170" s="1988">
        <f ca="1"/>
        <v>0</v>
      </c>
      <c r="X170" s="1988">
        <f ca="1"/>
        <v>0</v>
      </c>
      <c r="Y170" s="2007">
        <f ca="1"/>
        <v>0</v>
      </c>
    </row>
    <row r="171" spans="1:25">
      <c r="A171" s="1995" t="str">
        <f>A$78</f>
        <v>6 meses antes</v>
      </c>
      <c r="B171" s="1991"/>
      <c r="C171" s="1991"/>
      <c r="D171" s="1991"/>
      <c r="E171" s="1991"/>
      <c r="F171" s="1991"/>
      <c r="G171" s="1991"/>
      <c r="H171" s="603">
        <f t="array" aca="1" ref="H171:S171" ca="1">B23:M23*Produção!$H$11</f>
        <v>0</v>
      </c>
      <c r="I171" s="603">
        <f ca="1"/>
        <v>0</v>
      </c>
      <c r="J171" s="603">
        <f ca="1"/>
        <v>0</v>
      </c>
      <c r="K171" s="603">
        <f ca="1"/>
        <v>0</v>
      </c>
      <c r="L171" s="603">
        <f ca="1"/>
        <v>0</v>
      </c>
      <c r="M171" s="603">
        <f ca="1"/>
        <v>0</v>
      </c>
      <c r="N171" s="603">
        <f ca="1"/>
        <v>0</v>
      </c>
      <c r="O171" s="603">
        <f ca="1"/>
        <v>0</v>
      </c>
      <c r="P171" s="603">
        <f ca="1"/>
        <v>0</v>
      </c>
      <c r="Q171" s="603">
        <f ca="1"/>
        <v>0</v>
      </c>
      <c r="R171" s="603">
        <f ca="1"/>
        <v>0</v>
      </c>
      <c r="S171" s="603">
        <f ca="1"/>
        <v>0</v>
      </c>
      <c r="T171" s="1988">
        <f t="array" aca="1" ref="T171:T177" ca="1">'Distr CV 3'!H171:H177</f>
        <v>0</v>
      </c>
      <c r="U171" s="1988">
        <f ca="1"/>
        <v>0</v>
      </c>
      <c r="V171" s="1988">
        <f ca="1"/>
        <v>0</v>
      </c>
      <c r="W171" s="1988">
        <f ca="1"/>
        <v>0</v>
      </c>
      <c r="X171" s="1988">
        <f ca="1"/>
        <v>0</v>
      </c>
      <c r="Y171" s="2007">
        <f ca="1"/>
        <v>0</v>
      </c>
    </row>
    <row r="172" spans="1:25">
      <c r="A172" s="1995" t="str">
        <f>A$79</f>
        <v>7 meses antes</v>
      </c>
      <c r="B172" s="1991"/>
      <c r="C172" s="1991"/>
      <c r="D172" s="1991"/>
      <c r="E172" s="1991"/>
      <c r="F172" s="1991"/>
      <c r="G172" s="603">
        <f t="array" aca="1" ref="G172:R172" ca="1">B23:M23*Produção!$G$11</f>
        <v>0</v>
      </c>
      <c r="H172" s="603">
        <f ca="1"/>
        <v>0</v>
      </c>
      <c r="I172" s="603">
        <f ca="1"/>
        <v>0</v>
      </c>
      <c r="J172" s="603">
        <f ca="1"/>
        <v>0</v>
      </c>
      <c r="K172" s="603">
        <f ca="1"/>
        <v>0</v>
      </c>
      <c r="L172" s="603">
        <f ca="1"/>
        <v>0</v>
      </c>
      <c r="M172" s="603">
        <f ca="1"/>
        <v>0</v>
      </c>
      <c r="N172" s="603">
        <f ca="1"/>
        <v>0</v>
      </c>
      <c r="O172" s="603">
        <f ca="1"/>
        <v>0</v>
      </c>
      <c r="P172" s="603">
        <f ca="1"/>
        <v>0</v>
      </c>
      <c r="Q172" s="603">
        <f ca="1"/>
        <v>0</v>
      </c>
      <c r="R172" s="603">
        <f ca="1"/>
        <v>0</v>
      </c>
      <c r="S172" s="1992">
        <f t="array" aca="1" ref="S172:S177" ca="1">'Distr CV 3'!G172:G177</f>
        <v>0</v>
      </c>
      <c r="T172" s="1992">
        <f ca="1"/>
        <v>0</v>
      </c>
      <c r="U172" s="1992">
        <f ca="1"/>
        <v>0</v>
      </c>
      <c r="V172" s="1992">
        <f ca="1"/>
        <v>0</v>
      </c>
      <c r="W172" s="1992">
        <f ca="1"/>
        <v>0</v>
      </c>
      <c r="X172" s="1992">
        <f ca="1"/>
        <v>0</v>
      </c>
      <c r="Y172" s="2010">
        <f ca="1"/>
        <v>0</v>
      </c>
    </row>
    <row r="173" spans="1:25">
      <c r="A173" s="1995" t="str">
        <f>A$80</f>
        <v>8 meses antes</v>
      </c>
      <c r="B173" s="1991"/>
      <c r="C173" s="1991"/>
      <c r="D173" s="1991"/>
      <c r="E173" s="1991"/>
      <c r="F173" s="603">
        <f t="array" aca="1" ref="F173:Q173" ca="1">B23:M23*Produção!$F$11</f>
        <v>0</v>
      </c>
      <c r="G173" s="603">
        <f ca="1"/>
        <v>0</v>
      </c>
      <c r="H173" s="603">
        <f ca="1"/>
        <v>0</v>
      </c>
      <c r="I173" s="603">
        <f ca="1"/>
        <v>0</v>
      </c>
      <c r="J173" s="603">
        <f ca="1"/>
        <v>0</v>
      </c>
      <c r="K173" s="603">
        <f ca="1"/>
        <v>0</v>
      </c>
      <c r="L173" s="603">
        <f ca="1"/>
        <v>0</v>
      </c>
      <c r="M173" s="603">
        <f ca="1"/>
        <v>0</v>
      </c>
      <c r="N173" s="603">
        <f ca="1"/>
        <v>0</v>
      </c>
      <c r="O173" s="603">
        <f ca="1"/>
        <v>0</v>
      </c>
      <c r="P173" s="603">
        <f ca="1"/>
        <v>0</v>
      </c>
      <c r="Q173" s="603">
        <f ca="1"/>
        <v>0</v>
      </c>
      <c r="R173" s="1992">
        <f t="array" aca="1" ref="R173:R177" ca="1">'Distr CV 3'!F173:F177</f>
        <v>0</v>
      </c>
      <c r="S173" s="1992">
        <f ca="1"/>
        <v>0</v>
      </c>
      <c r="T173" s="1992">
        <f ca="1"/>
        <v>0</v>
      </c>
      <c r="U173" s="1992">
        <f ca="1"/>
        <v>0</v>
      </c>
      <c r="V173" s="1992">
        <f ca="1"/>
        <v>0</v>
      </c>
      <c r="W173" s="1992">
        <f ca="1"/>
        <v>0</v>
      </c>
      <c r="X173" s="1992">
        <f ca="1"/>
        <v>0</v>
      </c>
      <c r="Y173" s="2010">
        <f ca="1"/>
        <v>0</v>
      </c>
    </row>
    <row r="174" spans="1:25">
      <c r="A174" s="1995" t="str">
        <f>A$81</f>
        <v>9 meses antes</v>
      </c>
      <c r="B174" s="1991"/>
      <c r="C174" s="1991"/>
      <c r="D174" s="1991"/>
      <c r="E174" s="603">
        <f t="array" aca="1" ref="E174:P174" ca="1">B23:M23*Produção!$E$11</f>
        <v>0</v>
      </c>
      <c r="F174" s="603">
        <f ca="1"/>
        <v>0</v>
      </c>
      <c r="G174" s="603">
        <f ca="1"/>
        <v>0</v>
      </c>
      <c r="H174" s="603">
        <f ca="1"/>
        <v>0</v>
      </c>
      <c r="I174" s="603">
        <f ca="1"/>
        <v>0</v>
      </c>
      <c r="J174" s="603">
        <f ca="1"/>
        <v>0</v>
      </c>
      <c r="K174" s="603">
        <f ca="1"/>
        <v>0</v>
      </c>
      <c r="L174" s="603">
        <f ca="1"/>
        <v>0</v>
      </c>
      <c r="M174" s="603">
        <f ca="1"/>
        <v>0</v>
      </c>
      <c r="N174" s="603">
        <f ca="1"/>
        <v>0</v>
      </c>
      <c r="O174" s="603">
        <f ca="1"/>
        <v>0</v>
      </c>
      <c r="P174" s="603">
        <f ca="1"/>
        <v>0</v>
      </c>
      <c r="Q174" s="1992">
        <f t="array" aca="1" ref="Q174:Q177" ca="1">'Distr CV 3'!E174:E177</f>
        <v>0</v>
      </c>
      <c r="R174" s="1992">
        <f ca="1"/>
        <v>0</v>
      </c>
      <c r="S174" s="1992">
        <f ca="1"/>
        <v>0</v>
      </c>
      <c r="T174" s="1992">
        <f ca="1"/>
        <v>0</v>
      </c>
      <c r="U174" s="1992">
        <f ca="1"/>
        <v>0</v>
      </c>
      <c r="V174" s="1992">
        <f ca="1"/>
        <v>0</v>
      </c>
      <c r="W174" s="1992">
        <f ca="1"/>
        <v>0</v>
      </c>
      <c r="X174" s="1992">
        <f ca="1"/>
        <v>0</v>
      </c>
      <c r="Y174" s="2010">
        <f ca="1"/>
        <v>0</v>
      </c>
    </row>
    <row r="175" spans="1:25">
      <c r="A175" s="1995" t="str">
        <f>A$82</f>
        <v>10 meses antes</v>
      </c>
      <c r="B175" s="1991"/>
      <c r="C175" s="1991"/>
      <c r="D175" s="603">
        <f t="array" aca="1" ref="D175:O175" ca="1">B23:M23*Produção!$D$11</f>
        <v>0</v>
      </c>
      <c r="E175" s="603">
        <f ca="1"/>
        <v>0</v>
      </c>
      <c r="F175" s="603">
        <f ca="1"/>
        <v>0</v>
      </c>
      <c r="G175" s="603">
        <f ca="1"/>
        <v>0</v>
      </c>
      <c r="H175" s="603">
        <f ca="1"/>
        <v>0</v>
      </c>
      <c r="I175" s="603">
        <f ca="1"/>
        <v>0</v>
      </c>
      <c r="J175" s="603">
        <f ca="1"/>
        <v>0</v>
      </c>
      <c r="K175" s="603">
        <f ca="1"/>
        <v>0</v>
      </c>
      <c r="L175" s="603">
        <f ca="1"/>
        <v>0</v>
      </c>
      <c r="M175" s="603">
        <f ca="1"/>
        <v>0</v>
      </c>
      <c r="N175" s="603">
        <f ca="1"/>
        <v>0</v>
      </c>
      <c r="O175" s="603">
        <f ca="1"/>
        <v>0</v>
      </c>
      <c r="P175" s="1992">
        <f t="array" aca="1" ref="P175:P177" ca="1">'Distr CV 3'!D175:D177</f>
        <v>0</v>
      </c>
      <c r="Q175" s="1992">
        <f ca="1"/>
        <v>0</v>
      </c>
      <c r="R175" s="1992">
        <f ca="1"/>
        <v>0</v>
      </c>
      <c r="S175" s="1992">
        <f ca="1"/>
        <v>0</v>
      </c>
      <c r="T175" s="1992">
        <f ca="1"/>
        <v>0</v>
      </c>
      <c r="U175" s="1992">
        <f ca="1"/>
        <v>0</v>
      </c>
      <c r="V175" s="1992">
        <f ca="1"/>
        <v>0</v>
      </c>
      <c r="W175" s="1992">
        <f ca="1"/>
        <v>0</v>
      </c>
      <c r="X175" s="1992">
        <f ca="1"/>
        <v>0</v>
      </c>
      <c r="Y175" s="2010">
        <f ca="1"/>
        <v>0</v>
      </c>
    </row>
    <row r="176" spans="1:25">
      <c r="A176" s="1995" t="str">
        <f>A$83</f>
        <v>11 meses antes</v>
      </c>
      <c r="B176" s="1991"/>
      <c r="C176" s="603">
        <f t="array" aca="1" ref="C176:N176" ca="1">B23:M23*Produção!$C$11</f>
        <v>0</v>
      </c>
      <c r="D176" s="603">
        <f ca="1"/>
        <v>0</v>
      </c>
      <c r="E176" s="603">
        <f ca="1"/>
        <v>0</v>
      </c>
      <c r="F176" s="603">
        <f ca="1"/>
        <v>0</v>
      </c>
      <c r="G176" s="603">
        <f ca="1"/>
        <v>0</v>
      </c>
      <c r="H176" s="603">
        <f ca="1"/>
        <v>0</v>
      </c>
      <c r="I176" s="603">
        <f ca="1"/>
        <v>0</v>
      </c>
      <c r="J176" s="603">
        <f ca="1"/>
        <v>0</v>
      </c>
      <c r="K176" s="603">
        <f ca="1"/>
        <v>0</v>
      </c>
      <c r="L176" s="603">
        <f ca="1"/>
        <v>0</v>
      </c>
      <c r="M176" s="603">
        <f ca="1"/>
        <v>0</v>
      </c>
      <c r="N176" s="603">
        <f ca="1"/>
        <v>0</v>
      </c>
      <c r="O176" s="1992">
        <f ca="1">'Distr CV 3'!C176</f>
        <v>0</v>
      </c>
      <c r="P176" s="1992">
        <f ca="1"/>
        <v>0</v>
      </c>
      <c r="Q176" s="1992">
        <f ca="1"/>
        <v>0</v>
      </c>
      <c r="R176" s="1992">
        <f ca="1"/>
        <v>0</v>
      </c>
      <c r="S176" s="1992">
        <f ca="1"/>
        <v>0</v>
      </c>
      <c r="T176" s="1992">
        <f ca="1"/>
        <v>0</v>
      </c>
      <c r="U176" s="1992">
        <f ca="1"/>
        <v>0</v>
      </c>
      <c r="V176" s="1992">
        <f ca="1"/>
        <v>0</v>
      </c>
      <c r="W176" s="1992">
        <f ca="1"/>
        <v>0</v>
      </c>
      <c r="X176" s="1992">
        <f ca="1"/>
        <v>0</v>
      </c>
      <c r="Y176" s="2010">
        <f ca="1"/>
        <v>0</v>
      </c>
    </row>
    <row r="177" spans="1:25" ht="13.5" thickBot="1">
      <c r="A177" s="1995" t="str">
        <f>A$84</f>
        <v>12 meses antes</v>
      </c>
      <c r="B177" s="603">
        <f t="array" aca="1" ref="B177:M177" ca="1">B23:M23*Produção!$B$11</f>
        <v>0</v>
      </c>
      <c r="C177" s="603">
        <f ca="1"/>
        <v>0</v>
      </c>
      <c r="D177" s="603">
        <f ca="1"/>
        <v>0</v>
      </c>
      <c r="E177" s="603">
        <f ca="1"/>
        <v>0</v>
      </c>
      <c r="F177" s="603">
        <f ca="1"/>
        <v>0</v>
      </c>
      <c r="G177" s="603">
        <f ca="1"/>
        <v>0</v>
      </c>
      <c r="H177" s="603">
        <f ca="1"/>
        <v>0</v>
      </c>
      <c r="I177" s="603">
        <f ca="1"/>
        <v>0</v>
      </c>
      <c r="J177" s="603">
        <f ca="1"/>
        <v>0</v>
      </c>
      <c r="K177" s="603">
        <f ca="1"/>
        <v>0</v>
      </c>
      <c r="L177" s="603">
        <f ca="1"/>
        <v>0</v>
      </c>
      <c r="M177" s="603">
        <f ca="1"/>
        <v>0</v>
      </c>
      <c r="N177" s="1991">
        <f ca="1">'Distr CV 3'!B177</f>
        <v>0</v>
      </c>
      <c r="O177" s="1992">
        <f ca="1">'Distr CV 3'!C177</f>
        <v>0</v>
      </c>
      <c r="P177" s="1992">
        <f ca="1"/>
        <v>0</v>
      </c>
      <c r="Q177" s="1992">
        <f ca="1"/>
        <v>0</v>
      </c>
      <c r="R177" s="1992">
        <f ca="1"/>
        <v>0</v>
      </c>
      <c r="S177" s="1992">
        <f ca="1"/>
        <v>0</v>
      </c>
      <c r="T177" s="1992">
        <f ca="1"/>
        <v>0</v>
      </c>
      <c r="U177" s="1992">
        <f ca="1"/>
        <v>0</v>
      </c>
      <c r="V177" s="1992">
        <f ca="1"/>
        <v>0</v>
      </c>
      <c r="W177" s="1992">
        <f ca="1"/>
        <v>0</v>
      </c>
      <c r="X177" s="1992">
        <f ca="1"/>
        <v>0</v>
      </c>
      <c r="Y177" s="2010">
        <f ca="1"/>
        <v>0</v>
      </c>
    </row>
    <row r="178" spans="1:25" ht="13.5" thickBot="1">
      <c r="A178" s="105" t="str">
        <f>"Totales CV "&amp;A$11</f>
        <v xml:space="preserve">Totales CV </v>
      </c>
      <c r="B178" s="607">
        <f t="shared" ref="B178:Y178" ca="1" si="14">SUM(B165:B177)</f>
        <v>0</v>
      </c>
      <c r="C178" s="607">
        <f t="shared" ca="1" si="14"/>
        <v>0</v>
      </c>
      <c r="D178" s="607">
        <f t="shared" ca="1" si="14"/>
        <v>0</v>
      </c>
      <c r="E178" s="607">
        <f t="shared" ca="1" si="14"/>
        <v>0</v>
      </c>
      <c r="F178" s="607">
        <f t="shared" ca="1" si="14"/>
        <v>0</v>
      </c>
      <c r="G178" s="607">
        <f t="shared" ca="1" si="14"/>
        <v>0</v>
      </c>
      <c r="H178" s="607">
        <f t="shared" ca="1" si="14"/>
        <v>0</v>
      </c>
      <c r="I178" s="607">
        <f t="shared" ca="1" si="14"/>
        <v>0</v>
      </c>
      <c r="J178" s="607">
        <f t="shared" ca="1" si="14"/>
        <v>0</v>
      </c>
      <c r="K178" s="607">
        <f t="shared" ca="1" si="14"/>
        <v>0</v>
      </c>
      <c r="L178" s="607">
        <f t="shared" ca="1" si="14"/>
        <v>0</v>
      </c>
      <c r="M178" s="607">
        <f t="shared" ca="1" si="14"/>
        <v>0</v>
      </c>
      <c r="N178" s="607">
        <f t="shared" ca="1" si="14"/>
        <v>0</v>
      </c>
      <c r="O178" s="607">
        <f t="shared" ca="1" si="14"/>
        <v>0</v>
      </c>
      <c r="P178" s="607">
        <f t="shared" ca="1" si="14"/>
        <v>0</v>
      </c>
      <c r="Q178" s="607">
        <f t="shared" ca="1" si="14"/>
        <v>0</v>
      </c>
      <c r="R178" s="607">
        <f t="shared" ca="1" si="14"/>
        <v>0</v>
      </c>
      <c r="S178" s="607">
        <f t="shared" ca="1" si="14"/>
        <v>0</v>
      </c>
      <c r="T178" s="607">
        <f t="shared" ca="1" si="14"/>
        <v>0</v>
      </c>
      <c r="U178" s="607">
        <f t="shared" ca="1" si="14"/>
        <v>0</v>
      </c>
      <c r="V178" s="607">
        <f t="shared" ca="1" si="14"/>
        <v>0</v>
      </c>
      <c r="W178" s="607">
        <f t="shared" ca="1" si="14"/>
        <v>0</v>
      </c>
      <c r="X178" s="607">
        <f t="shared" ca="1" si="14"/>
        <v>0</v>
      </c>
      <c r="Y178" s="2008">
        <f t="shared" ca="1" si="14"/>
        <v>0</v>
      </c>
    </row>
    <row r="179" spans="1:25" ht="13.5" thickBot="1">
      <c r="A179" s="105" t="str">
        <f>'Dados Básicos'!A28&amp;" sop. CV "&amp;$A$11</f>
        <v xml:space="preserve">IVA sop. CV </v>
      </c>
      <c r="B179" s="607">
        <f t="array" aca="1" ref="B179:Y179" ca="1">$K$163*B178:Y178</f>
        <v>0</v>
      </c>
      <c r="C179" s="607">
        <f ca="1"/>
        <v>0</v>
      </c>
      <c r="D179" s="607">
        <f ca="1"/>
        <v>0</v>
      </c>
      <c r="E179" s="607">
        <f ca="1"/>
        <v>0</v>
      </c>
      <c r="F179" s="607">
        <f ca="1"/>
        <v>0</v>
      </c>
      <c r="G179" s="607">
        <f ca="1"/>
        <v>0</v>
      </c>
      <c r="H179" s="607">
        <f ca="1"/>
        <v>0</v>
      </c>
      <c r="I179" s="607">
        <f ca="1"/>
        <v>0</v>
      </c>
      <c r="J179" s="607">
        <f ca="1"/>
        <v>0</v>
      </c>
      <c r="K179" s="607">
        <f ca="1"/>
        <v>0</v>
      </c>
      <c r="L179" s="607">
        <f ca="1"/>
        <v>0</v>
      </c>
      <c r="M179" s="607">
        <f ca="1"/>
        <v>0</v>
      </c>
      <c r="N179" s="607">
        <f ca="1"/>
        <v>0</v>
      </c>
      <c r="O179" s="607">
        <f ca="1"/>
        <v>0</v>
      </c>
      <c r="P179" s="607">
        <f ca="1"/>
        <v>0</v>
      </c>
      <c r="Q179" s="607">
        <f ca="1"/>
        <v>0</v>
      </c>
      <c r="R179" s="607">
        <f ca="1"/>
        <v>0</v>
      </c>
      <c r="S179" s="607">
        <f ca="1"/>
        <v>0</v>
      </c>
      <c r="T179" s="607">
        <f ca="1"/>
        <v>0</v>
      </c>
      <c r="U179" s="607">
        <f ca="1"/>
        <v>0</v>
      </c>
      <c r="V179" s="607">
        <f ca="1"/>
        <v>0</v>
      </c>
      <c r="W179" s="607">
        <f ca="1"/>
        <v>0</v>
      </c>
      <c r="X179" s="607">
        <f ca="1"/>
        <v>0</v>
      </c>
      <c r="Y179" s="2008">
        <f ca="1"/>
        <v>0</v>
      </c>
    </row>
    <row r="181" spans="1:25" ht="18.75" thickBot="1">
      <c r="A181" s="1993" t="str">
        <f>'Distr CV 0'!A181</f>
        <v xml:space="preserve">Compras / custos de producción por meses de </v>
      </c>
      <c r="I181" s="1993" t="str">
        <f>$I$109</f>
        <v>IVA NÃO incluido</v>
      </c>
      <c r="K181" s="2005">
        <f>Parametros!$F$28</f>
        <v>0.21</v>
      </c>
    </row>
    <row r="182" spans="1:25" ht="31.5" customHeight="1" thickBot="1">
      <c r="A182" s="457" t="str">
        <f>'Distr CV 0'!A182</f>
        <v>mes de compra / custo</v>
      </c>
      <c r="B182" s="2011" t="str">
        <f t="array" ref="B182:Y182">B$71:Y$71</f>
        <v>janeiro 
2027</v>
      </c>
      <c r="C182" s="2011" t="str">
        <v>fevereiro 
2027</v>
      </c>
      <c r="D182" s="2011" t="str">
        <v>março 
2027</v>
      </c>
      <c r="E182" s="2011" t="str">
        <v>abril 
2027</v>
      </c>
      <c r="F182" s="2011" t="str">
        <v>maio 
2027</v>
      </c>
      <c r="G182" s="2011" t="str">
        <v>junho 
2027</v>
      </c>
      <c r="H182" s="2011" t="str">
        <v>julho 
2027</v>
      </c>
      <c r="I182" s="2011" t="str">
        <v>agosto 
2027</v>
      </c>
      <c r="J182" s="2011" t="str">
        <v>setembro 
2027</v>
      </c>
      <c r="K182" s="2011" t="str">
        <v>outubro 
2027</v>
      </c>
      <c r="L182" s="2011" t="str">
        <v>novembro 
2027</v>
      </c>
      <c r="M182" s="2011" t="str">
        <v>dezembro 
2027</v>
      </c>
      <c r="N182" s="2734" t="str">
        <v>janeiro 
2028</v>
      </c>
      <c r="O182" s="2735" t="str">
        <v>fevereiro 
2028</v>
      </c>
      <c r="P182" s="2735" t="str">
        <v>março 
2028</v>
      </c>
      <c r="Q182" s="2735" t="str">
        <v>abril 
2028</v>
      </c>
      <c r="R182" s="2735" t="str">
        <v>maio 
2028</v>
      </c>
      <c r="S182" s="2735" t="str">
        <v>junho 
2028</v>
      </c>
      <c r="T182" s="2735" t="str">
        <v>julho 
2028</v>
      </c>
      <c r="U182" s="2735" t="str">
        <v>agosto 
2028</v>
      </c>
      <c r="V182" s="2735" t="str">
        <v>setembro 
2028</v>
      </c>
      <c r="W182" s="2735" t="str">
        <v>outubro 
2028</v>
      </c>
      <c r="X182" s="2735" t="str">
        <v>novembro 
2028</v>
      </c>
      <c r="Y182" s="2736" t="str">
        <v>dezembro 
2028</v>
      </c>
    </row>
    <row r="183" spans="1:25">
      <c r="A183" s="1994" t="str">
        <f>A$72</f>
        <v>mismo mes</v>
      </c>
      <c r="B183" s="1991"/>
      <c r="C183" s="1991"/>
      <c r="D183" s="1991"/>
      <c r="E183" s="1991"/>
      <c r="F183" s="1991"/>
      <c r="G183" s="1991"/>
      <c r="H183" s="1991"/>
      <c r="I183" s="1991"/>
      <c r="J183" s="1991"/>
      <c r="K183" s="1991"/>
      <c r="L183" s="1991"/>
      <c r="M183" s="1991"/>
      <c r="N183" s="603">
        <f t="array" aca="1" ref="N183:Y183" ca="1">B24:M24*Produção!$N$12</f>
        <v>0</v>
      </c>
      <c r="O183" s="603">
        <f ca="1"/>
        <v>0</v>
      </c>
      <c r="P183" s="603">
        <f ca="1"/>
        <v>0</v>
      </c>
      <c r="Q183" s="603">
        <f ca="1"/>
        <v>0</v>
      </c>
      <c r="R183" s="603">
        <f ca="1"/>
        <v>0</v>
      </c>
      <c r="S183" s="603">
        <f ca="1"/>
        <v>0</v>
      </c>
      <c r="T183" s="603">
        <f ca="1"/>
        <v>0</v>
      </c>
      <c r="U183" s="603">
        <f ca="1"/>
        <v>0</v>
      </c>
      <c r="V183" s="603">
        <f ca="1"/>
        <v>0</v>
      </c>
      <c r="W183" s="603">
        <f ca="1"/>
        <v>0</v>
      </c>
      <c r="X183" s="603">
        <f ca="1"/>
        <v>0</v>
      </c>
      <c r="Y183" s="2006">
        <f ca="1"/>
        <v>0</v>
      </c>
    </row>
    <row r="184" spans="1:25">
      <c r="A184" s="1995" t="str">
        <f>A$73</f>
        <v>1 mes antes</v>
      </c>
      <c r="B184" s="1991"/>
      <c r="C184" s="1991"/>
      <c r="D184" s="1991"/>
      <c r="E184" s="1991"/>
      <c r="F184" s="1991"/>
      <c r="G184" s="1991"/>
      <c r="H184" s="1991"/>
      <c r="I184" s="1991"/>
      <c r="J184" s="1991"/>
      <c r="K184" s="1991"/>
      <c r="L184" s="1991"/>
      <c r="M184" s="603">
        <f t="array" aca="1" ref="M184:X184" ca="1">B24:M24*Produção!$M$12</f>
        <v>0</v>
      </c>
      <c r="N184" s="603">
        <f ca="1"/>
        <v>0</v>
      </c>
      <c r="O184" s="603">
        <f ca="1"/>
        <v>0</v>
      </c>
      <c r="P184" s="603">
        <f ca="1"/>
        <v>0</v>
      </c>
      <c r="Q184" s="603">
        <f ca="1"/>
        <v>0</v>
      </c>
      <c r="R184" s="603">
        <f ca="1"/>
        <v>0</v>
      </c>
      <c r="S184" s="603">
        <f ca="1"/>
        <v>0</v>
      </c>
      <c r="T184" s="603">
        <f ca="1"/>
        <v>0</v>
      </c>
      <c r="U184" s="603">
        <f ca="1"/>
        <v>0</v>
      </c>
      <c r="V184" s="603">
        <f ca="1"/>
        <v>0</v>
      </c>
      <c r="W184" s="603">
        <f ca="1"/>
        <v>0</v>
      </c>
      <c r="X184" s="603">
        <f ca="1"/>
        <v>0</v>
      </c>
      <c r="Y184" s="2007">
        <f t="array" aca="1" ref="Y184:Y195" ca="1">'Distr CV 3'!M184:M195</f>
        <v>0</v>
      </c>
    </row>
    <row r="185" spans="1:25">
      <c r="A185" s="1995" t="str">
        <f>A$74</f>
        <v>2 meses antes</v>
      </c>
      <c r="B185" s="1991"/>
      <c r="C185" s="1991"/>
      <c r="D185" s="1991"/>
      <c r="E185" s="1991"/>
      <c r="F185" s="1991"/>
      <c r="G185" s="1991"/>
      <c r="H185" s="1991"/>
      <c r="I185" s="1991"/>
      <c r="J185" s="1991"/>
      <c r="K185" s="1991"/>
      <c r="L185" s="603">
        <f t="array" aca="1" ref="L185:W185" ca="1">B24:M24*Produção!$L$12</f>
        <v>0</v>
      </c>
      <c r="M185" s="603">
        <f ca="1"/>
        <v>0</v>
      </c>
      <c r="N185" s="603">
        <f ca="1"/>
        <v>0</v>
      </c>
      <c r="O185" s="603">
        <f ca="1"/>
        <v>0</v>
      </c>
      <c r="P185" s="603">
        <f ca="1"/>
        <v>0</v>
      </c>
      <c r="Q185" s="603">
        <f ca="1"/>
        <v>0</v>
      </c>
      <c r="R185" s="603">
        <f ca="1"/>
        <v>0</v>
      </c>
      <c r="S185" s="603">
        <f ca="1"/>
        <v>0</v>
      </c>
      <c r="T185" s="603">
        <f ca="1"/>
        <v>0</v>
      </c>
      <c r="U185" s="603">
        <f ca="1"/>
        <v>0</v>
      </c>
      <c r="V185" s="603">
        <f ca="1"/>
        <v>0</v>
      </c>
      <c r="W185" s="603">
        <f ca="1"/>
        <v>0</v>
      </c>
      <c r="X185" s="1988">
        <f t="array" aca="1" ref="X185:X195" ca="1">'Distr CV 3'!L185:L195</f>
        <v>0</v>
      </c>
      <c r="Y185" s="2007">
        <f ca="1"/>
        <v>0</v>
      </c>
    </row>
    <row r="186" spans="1:25">
      <c r="A186" s="1995" t="str">
        <f>A$75</f>
        <v>3 meses antes</v>
      </c>
      <c r="B186" s="1991"/>
      <c r="C186" s="1991"/>
      <c r="D186" s="1991"/>
      <c r="E186" s="1991"/>
      <c r="F186" s="1991"/>
      <c r="G186" s="1991"/>
      <c r="H186" s="1991"/>
      <c r="I186" s="1991"/>
      <c r="J186" s="1991"/>
      <c r="K186" s="603">
        <f t="array" aca="1" ref="K186:V186" ca="1">B24:M24*Produção!$K$12</f>
        <v>0</v>
      </c>
      <c r="L186" s="603">
        <f ca="1"/>
        <v>0</v>
      </c>
      <c r="M186" s="603">
        <f ca="1"/>
        <v>0</v>
      </c>
      <c r="N186" s="603">
        <f ca="1"/>
        <v>0</v>
      </c>
      <c r="O186" s="603">
        <f ca="1"/>
        <v>0</v>
      </c>
      <c r="P186" s="603">
        <f ca="1"/>
        <v>0</v>
      </c>
      <c r="Q186" s="603">
        <f ca="1"/>
        <v>0</v>
      </c>
      <c r="R186" s="603">
        <f ca="1"/>
        <v>0</v>
      </c>
      <c r="S186" s="603">
        <f ca="1"/>
        <v>0</v>
      </c>
      <c r="T186" s="603">
        <f ca="1"/>
        <v>0</v>
      </c>
      <c r="U186" s="603">
        <f ca="1"/>
        <v>0</v>
      </c>
      <c r="V186" s="603">
        <f ca="1"/>
        <v>0</v>
      </c>
      <c r="W186" s="1988">
        <f t="array" aca="1" ref="W186:W195" ca="1">'Distr CV 3'!K186:K195</f>
        <v>0</v>
      </c>
      <c r="X186" s="1988">
        <f ca="1"/>
        <v>0</v>
      </c>
      <c r="Y186" s="2007">
        <f ca="1"/>
        <v>0</v>
      </c>
    </row>
    <row r="187" spans="1:25">
      <c r="A187" s="1995" t="str">
        <f>A$76</f>
        <v>4 meses antes</v>
      </c>
      <c r="B187" s="1991"/>
      <c r="C187" s="1991"/>
      <c r="D187" s="1991"/>
      <c r="E187" s="1991"/>
      <c r="F187" s="1991"/>
      <c r="G187" s="1991"/>
      <c r="H187" s="1991"/>
      <c r="I187" s="1991"/>
      <c r="J187" s="603">
        <f t="array" aca="1" ref="J187:U187" ca="1">B24:M24*Produção!$J$12</f>
        <v>0</v>
      </c>
      <c r="K187" s="603">
        <f ca="1"/>
        <v>0</v>
      </c>
      <c r="L187" s="603">
        <f ca="1"/>
        <v>0</v>
      </c>
      <c r="M187" s="603">
        <f ca="1"/>
        <v>0</v>
      </c>
      <c r="N187" s="603">
        <f ca="1"/>
        <v>0</v>
      </c>
      <c r="O187" s="603">
        <f ca="1"/>
        <v>0</v>
      </c>
      <c r="P187" s="603">
        <f ca="1"/>
        <v>0</v>
      </c>
      <c r="Q187" s="603">
        <f ca="1"/>
        <v>0</v>
      </c>
      <c r="R187" s="603">
        <f ca="1"/>
        <v>0</v>
      </c>
      <c r="S187" s="603">
        <f ca="1"/>
        <v>0</v>
      </c>
      <c r="T187" s="603">
        <f ca="1"/>
        <v>0</v>
      </c>
      <c r="U187" s="603">
        <f ca="1"/>
        <v>0</v>
      </c>
      <c r="V187" s="1988">
        <f t="array" aca="1" ref="V187:V195" ca="1">'Distr CV 3'!J187:J195</f>
        <v>0</v>
      </c>
      <c r="W187" s="1988">
        <f ca="1"/>
        <v>0</v>
      </c>
      <c r="X187" s="1988">
        <f ca="1"/>
        <v>0</v>
      </c>
      <c r="Y187" s="2007">
        <f ca="1"/>
        <v>0</v>
      </c>
    </row>
    <row r="188" spans="1:25">
      <c r="A188" s="1995" t="str">
        <f>A$77</f>
        <v>5 meses antes</v>
      </c>
      <c r="B188" s="1991"/>
      <c r="C188" s="1991"/>
      <c r="D188" s="1991"/>
      <c r="E188" s="1991"/>
      <c r="F188" s="1991"/>
      <c r="G188" s="1991"/>
      <c r="H188" s="1991"/>
      <c r="I188" s="603">
        <f t="array" aca="1" ref="I188:T188" ca="1">B24:M24*Produção!$I$12</f>
        <v>0</v>
      </c>
      <c r="J188" s="603">
        <f ca="1"/>
        <v>0</v>
      </c>
      <c r="K188" s="603">
        <f ca="1"/>
        <v>0</v>
      </c>
      <c r="L188" s="603">
        <f ca="1"/>
        <v>0</v>
      </c>
      <c r="M188" s="603">
        <f ca="1"/>
        <v>0</v>
      </c>
      <c r="N188" s="603">
        <f ca="1"/>
        <v>0</v>
      </c>
      <c r="O188" s="603">
        <f ca="1"/>
        <v>0</v>
      </c>
      <c r="P188" s="603">
        <f ca="1"/>
        <v>0</v>
      </c>
      <c r="Q188" s="603">
        <f ca="1"/>
        <v>0</v>
      </c>
      <c r="R188" s="603">
        <f ca="1"/>
        <v>0</v>
      </c>
      <c r="S188" s="603">
        <f ca="1"/>
        <v>0</v>
      </c>
      <c r="T188" s="603">
        <f ca="1"/>
        <v>0</v>
      </c>
      <c r="U188" s="1988">
        <f t="array" aca="1" ref="U188:U195" ca="1">'Distr CV 3'!I188:I195</f>
        <v>0</v>
      </c>
      <c r="V188" s="1988">
        <f ca="1"/>
        <v>0</v>
      </c>
      <c r="W188" s="1988">
        <f ca="1"/>
        <v>0</v>
      </c>
      <c r="X188" s="1988">
        <f ca="1"/>
        <v>0</v>
      </c>
      <c r="Y188" s="2007">
        <f ca="1"/>
        <v>0</v>
      </c>
    </row>
    <row r="189" spans="1:25">
      <c r="A189" s="1995" t="str">
        <f>A$78</f>
        <v>6 meses antes</v>
      </c>
      <c r="B189" s="1991"/>
      <c r="C189" s="1991"/>
      <c r="D189" s="1991"/>
      <c r="E189" s="1991"/>
      <c r="F189" s="1991"/>
      <c r="G189" s="1991"/>
      <c r="H189" s="603">
        <f t="array" aca="1" ref="H189:S189" ca="1">B24:M24*Produção!$H$12</f>
        <v>0</v>
      </c>
      <c r="I189" s="603">
        <f ca="1"/>
        <v>0</v>
      </c>
      <c r="J189" s="603">
        <f ca="1"/>
        <v>0</v>
      </c>
      <c r="K189" s="603">
        <f ca="1"/>
        <v>0</v>
      </c>
      <c r="L189" s="603">
        <f ca="1"/>
        <v>0</v>
      </c>
      <c r="M189" s="603">
        <f ca="1"/>
        <v>0</v>
      </c>
      <c r="N189" s="603">
        <f ca="1"/>
        <v>0</v>
      </c>
      <c r="O189" s="603">
        <f ca="1"/>
        <v>0</v>
      </c>
      <c r="P189" s="603">
        <f ca="1"/>
        <v>0</v>
      </c>
      <c r="Q189" s="603">
        <f ca="1"/>
        <v>0</v>
      </c>
      <c r="R189" s="603">
        <f ca="1"/>
        <v>0</v>
      </c>
      <c r="S189" s="603">
        <f ca="1"/>
        <v>0</v>
      </c>
      <c r="T189" s="1988">
        <f t="array" aca="1" ref="T189:T195" ca="1">'Distr CV 3'!H189:H195</f>
        <v>0</v>
      </c>
      <c r="U189" s="1988">
        <f ca="1"/>
        <v>0</v>
      </c>
      <c r="V189" s="1988">
        <f ca="1"/>
        <v>0</v>
      </c>
      <c r="W189" s="1988">
        <f ca="1"/>
        <v>0</v>
      </c>
      <c r="X189" s="1988">
        <f ca="1"/>
        <v>0</v>
      </c>
      <c r="Y189" s="2007">
        <f ca="1"/>
        <v>0</v>
      </c>
    </row>
    <row r="190" spans="1:25">
      <c r="A190" s="1995" t="str">
        <f>A$79</f>
        <v>7 meses antes</v>
      </c>
      <c r="B190" s="1991"/>
      <c r="C190" s="1991"/>
      <c r="D190" s="1991"/>
      <c r="E190" s="1991"/>
      <c r="F190" s="1991"/>
      <c r="G190" s="603">
        <f t="array" aca="1" ref="G190:R190" ca="1">B24:M24*Produção!$G$12</f>
        <v>0</v>
      </c>
      <c r="H190" s="603">
        <f ca="1"/>
        <v>0</v>
      </c>
      <c r="I190" s="603">
        <f ca="1"/>
        <v>0</v>
      </c>
      <c r="J190" s="603">
        <f ca="1"/>
        <v>0</v>
      </c>
      <c r="K190" s="603">
        <f ca="1"/>
        <v>0</v>
      </c>
      <c r="L190" s="603">
        <f ca="1"/>
        <v>0</v>
      </c>
      <c r="M190" s="603">
        <f ca="1"/>
        <v>0</v>
      </c>
      <c r="N190" s="603">
        <f ca="1"/>
        <v>0</v>
      </c>
      <c r="O190" s="603">
        <f ca="1"/>
        <v>0</v>
      </c>
      <c r="P190" s="603">
        <f ca="1"/>
        <v>0</v>
      </c>
      <c r="Q190" s="603">
        <f ca="1"/>
        <v>0</v>
      </c>
      <c r="R190" s="603">
        <f ca="1"/>
        <v>0</v>
      </c>
      <c r="S190" s="1992">
        <f t="array" aca="1" ref="S190:S195" ca="1">'Distr CV 3'!G190:G195</f>
        <v>0</v>
      </c>
      <c r="T190" s="1992">
        <f ca="1"/>
        <v>0</v>
      </c>
      <c r="U190" s="1992">
        <f ca="1"/>
        <v>0</v>
      </c>
      <c r="V190" s="1992">
        <f ca="1"/>
        <v>0</v>
      </c>
      <c r="W190" s="1992">
        <f ca="1"/>
        <v>0</v>
      </c>
      <c r="X190" s="1992">
        <f ca="1"/>
        <v>0</v>
      </c>
      <c r="Y190" s="2010">
        <f ca="1"/>
        <v>0</v>
      </c>
    </row>
    <row r="191" spans="1:25">
      <c r="A191" s="1995" t="str">
        <f>A$80</f>
        <v>8 meses antes</v>
      </c>
      <c r="B191" s="1991"/>
      <c r="C191" s="1991"/>
      <c r="D191" s="1991"/>
      <c r="E191" s="1991"/>
      <c r="F191" s="603">
        <f t="array" aca="1" ref="F191:Q191" ca="1">B24:M24*Produção!$F$12</f>
        <v>0</v>
      </c>
      <c r="G191" s="603">
        <f ca="1"/>
        <v>0</v>
      </c>
      <c r="H191" s="603">
        <f ca="1"/>
        <v>0</v>
      </c>
      <c r="I191" s="603">
        <f ca="1"/>
        <v>0</v>
      </c>
      <c r="J191" s="603">
        <f ca="1"/>
        <v>0</v>
      </c>
      <c r="K191" s="603">
        <f ca="1"/>
        <v>0</v>
      </c>
      <c r="L191" s="603">
        <f ca="1"/>
        <v>0</v>
      </c>
      <c r="M191" s="603">
        <f ca="1"/>
        <v>0</v>
      </c>
      <c r="N191" s="603">
        <f ca="1"/>
        <v>0</v>
      </c>
      <c r="O191" s="603">
        <f ca="1"/>
        <v>0</v>
      </c>
      <c r="P191" s="603">
        <f ca="1"/>
        <v>0</v>
      </c>
      <c r="Q191" s="603">
        <f ca="1"/>
        <v>0</v>
      </c>
      <c r="R191" s="1992">
        <f t="array" aca="1" ref="R191:R195" ca="1">'Distr CV 3'!F191:F195</f>
        <v>0</v>
      </c>
      <c r="S191" s="1992">
        <f ca="1"/>
        <v>0</v>
      </c>
      <c r="T191" s="1992">
        <f ca="1"/>
        <v>0</v>
      </c>
      <c r="U191" s="1992">
        <f ca="1"/>
        <v>0</v>
      </c>
      <c r="V191" s="1992">
        <f ca="1"/>
        <v>0</v>
      </c>
      <c r="W191" s="1992">
        <f ca="1"/>
        <v>0</v>
      </c>
      <c r="X191" s="1992">
        <f ca="1"/>
        <v>0</v>
      </c>
      <c r="Y191" s="2010">
        <f ca="1"/>
        <v>0</v>
      </c>
    </row>
    <row r="192" spans="1:25">
      <c r="A192" s="1995" t="str">
        <f>A$81</f>
        <v>9 meses antes</v>
      </c>
      <c r="B192" s="1991"/>
      <c r="C192" s="1991"/>
      <c r="D192" s="1991"/>
      <c r="E192" s="603">
        <f t="array" aca="1" ref="E192:P192" ca="1">B24:M24*Produção!$E$12</f>
        <v>0</v>
      </c>
      <c r="F192" s="603">
        <f ca="1"/>
        <v>0</v>
      </c>
      <c r="G192" s="603">
        <f ca="1"/>
        <v>0</v>
      </c>
      <c r="H192" s="603">
        <f ca="1"/>
        <v>0</v>
      </c>
      <c r="I192" s="603">
        <f ca="1"/>
        <v>0</v>
      </c>
      <c r="J192" s="603">
        <f ca="1"/>
        <v>0</v>
      </c>
      <c r="K192" s="603">
        <f ca="1"/>
        <v>0</v>
      </c>
      <c r="L192" s="603">
        <f ca="1"/>
        <v>0</v>
      </c>
      <c r="M192" s="603">
        <f ca="1"/>
        <v>0</v>
      </c>
      <c r="N192" s="603">
        <f ca="1"/>
        <v>0</v>
      </c>
      <c r="O192" s="603">
        <f ca="1"/>
        <v>0</v>
      </c>
      <c r="P192" s="603">
        <f ca="1"/>
        <v>0</v>
      </c>
      <c r="Q192" s="1992">
        <f t="array" aca="1" ref="Q192:Q195" ca="1">'Distr CV 3'!E192:E195</f>
        <v>0</v>
      </c>
      <c r="R192" s="1992">
        <f ca="1"/>
        <v>0</v>
      </c>
      <c r="S192" s="1992">
        <f ca="1"/>
        <v>0</v>
      </c>
      <c r="T192" s="1992">
        <f ca="1"/>
        <v>0</v>
      </c>
      <c r="U192" s="1992">
        <f ca="1"/>
        <v>0</v>
      </c>
      <c r="V192" s="1992">
        <f ca="1"/>
        <v>0</v>
      </c>
      <c r="W192" s="1992">
        <f ca="1"/>
        <v>0</v>
      </c>
      <c r="X192" s="1992">
        <f ca="1"/>
        <v>0</v>
      </c>
      <c r="Y192" s="2010">
        <f ca="1"/>
        <v>0</v>
      </c>
    </row>
    <row r="193" spans="1:25">
      <c r="A193" s="1995" t="str">
        <f>A$82</f>
        <v>10 meses antes</v>
      </c>
      <c r="B193" s="1991"/>
      <c r="C193" s="1991"/>
      <c r="D193" s="603">
        <f t="array" aca="1" ref="D193:O193" ca="1">B24:M24*Produção!$D$12</f>
        <v>0</v>
      </c>
      <c r="E193" s="603">
        <f ca="1"/>
        <v>0</v>
      </c>
      <c r="F193" s="603">
        <f ca="1"/>
        <v>0</v>
      </c>
      <c r="G193" s="603">
        <f ca="1"/>
        <v>0</v>
      </c>
      <c r="H193" s="603">
        <f ca="1"/>
        <v>0</v>
      </c>
      <c r="I193" s="603">
        <f ca="1"/>
        <v>0</v>
      </c>
      <c r="J193" s="603">
        <f ca="1"/>
        <v>0</v>
      </c>
      <c r="K193" s="603">
        <f ca="1"/>
        <v>0</v>
      </c>
      <c r="L193" s="603">
        <f ca="1"/>
        <v>0</v>
      </c>
      <c r="M193" s="603">
        <f ca="1"/>
        <v>0</v>
      </c>
      <c r="N193" s="603">
        <f ca="1"/>
        <v>0</v>
      </c>
      <c r="O193" s="603">
        <f ca="1"/>
        <v>0</v>
      </c>
      <c r="P193" s="1992">
        <f t="array" aca="1" ref="P193:P195" ca="1">'Distr CV 3'!D193:D195</f>
        <v>0</v>
      </c>
      <c r="Q193" s="1992">
        <f ca="1"/>
        <v>0</v>
      </c>
      <c r="R193" s="1992">
        <f ca="1"/>
        <v>0</v>
      </c>
      <c r="S193" s="1992">
        <f ca="1"/>
        <v>0</v>
      </c>
      <c r="T193" s="1992">
        <f ca="1"/>
        <v>0</v>
      </c>
      <c r="U193" s="1992">
        <f ca="1"/>
        <v>0</v>
      </c>
      <c r="V193" s="1992">
        <f ca="1"/>
        <v>0</v>
      </c>
      <c r="W193" s="1992">
        <f ca="1"/>
        <v>0</v>
      </c>
      <c r="X193" s="1992">
        <f ca="1"/>
        <v>0</v>
      </c>
      <c r="Y193" s="2010">
        <f ca="1"/>
        <v>0</v>
      </c>
    </row>
    <row r="194" spans="1:25">
      <c r="A194" s="1995" t="str">
        <f>A$83</f>
        <v>11 meses antes</v>
      </c>
      <c r="B194" s="1991"/>
      <c r="C194" s="603">
        <f t="array" aca="1" ref="C194:N194" ca="1">B24:M24*Produção!$C$12</f>
        <v>0</v>
      </c>
      <c r="D194" s="603">
        <f ca="1"/>
        <v>0</v>
      </c>
      <c r="E194" s="603">
        <f ca="1"/>
        <v>0</v>
      </c>
      <c r="F194" s="603">
        <f ca="1"/>
        <v>0</v>
      </c>
      <c r="G194" s="603">
        <f ca="1"/>
        <v>0</v>
      </c>
      <c r="H194" s="603">
        <f ca="1"/>
        <v>0</v>
      </c>
      <c r="I194" s="603">
        <f ca="1"/>
        <v>0</v>
      </c>
      <c r="J194" s="603">
        <f ca="1"/>
        <v>0</v>
      </c>
      <c r="K194" s="603">
        <f ca="1"/>
        <v>0</v>
      </c>
      <c r="L194" s="603">
        <f ca="1"/>
        <v>0</v>
      </c>
      <c r="M194" s="603">
        <f ca="1"/>
        <v>0</v>
      </c>
      <c r="N194" s="603">
        <f ca="1"/>
        <v>0</v>
      </c>
      <c r="O194" s="1992">
        <f ca="1">'Distr CV 3'!C194</f>
        <v>0</v>
      </c>
      <c r="P194" s="1992">
        <f ca="1"/>
        <v>0</v>
      </c>
      <c r="Q194" s="1992">
        <f ca="1"/>
        <v>0</v>
      </c>
      <c r="R194" s="1992">
        <f ca="1"/>
        <v>0</v>
      </c>
      <c r="S194" s="1992">
        <f ca="1"/>
        <v>0</v>
      </c>
      <c r="T194" s="1992">
        <f ca="1"/>
        <v>0</v>
      </c>
      <c r="U194" s="1992">
        <f ca="1"/>
        <v>0</v>
      </c>
      <c r="V194" s="1992">
        <f ca="1"/>
        <v>0</v>
      </c>
      <c r="W194" s="1992">
        <f ca="1"/>
        <v>0</v>
      </c>
      <c r="X194" s="1992">
        <f ca="1"/>
        <v>0</v>
      </c>
      <c r="Y194" s="2010">
        <f ca="1"/>
        <v>0</v>
      </c>
    </row>
    <row r="195" spans="1:25" ht="13.5" thickBot="1">
      <c r="A195" s="1995" t="str">
        <f>A$84</f>
        <v>12 meses antes</v>
      </c>
      <c r="B195" s="603">
        <f t="array" aca="1" ref="B195:M195" ca="1">B24:M24*Produção!$B$12</f>
        <v>0</v>
      </c>
      <c r="C195" s="603">
        <f ca="1"/>
        <v>0</v>
      </c>
      <c r="D195" s="603">
        <f ca="1"/>
        <v>0</v>
      </c>
      <c r="E195" s="603">
        <f ca="1"/>
        <v>0</v>
      </c>
      <c r="F195" s="603">
        <f ca="1"/>
        <v>0</v>
      </c>
      <c r="G195" s="603">
        <f ca="1"/>
        <v>0</v>
      </c>
      <c r="H195" s="603">
        <f ca="1"/>
        <v>0</v>
      </c>
      <c r="I195" s="603">
        <f ca="1"/>
        <v>0</v>
      </c>
      <c r="J195" s="603">
        <f ca="1"/>
        <v>0</v>
      </c>
      <c r="K195" s="603">
        <f ca="1"/>
        <v>0</v>
      </c>
      <c r="L195" s="603">
        <f ca="1"/>
        <v>0</v>
      </c>
      <c r="M195" s="603">
        <f ca="1"/>
        <v>0</v>
      </c>
      <c r="N195" s="1991">
        <f ca="1">'Distr CV 3'!B195</f>
        <v>0</v>
      </c>
      <c r="O195" s="1992">
        <f ca="1">'Distr CV 3'!C195</f>
        <v>0</v>
      </c>
      <c r="P195" s="1992">
        <f ca="1"/>
        <v>0</v>
      </c>
      <c r="Q195" s="1992">
        <f ca="1"/>
        <v>0</v>
      </c>
      <c r="R195" s="1992">
        <f ca="1"/>
        <v>0</v>
      </c>
      <c r="S195" s="1992">
        <f ca="1"/>
        <v>0</v>
      </c>
      <c r="T195" s="1992">
        <f ca="1"/>
        <v>0</v>
      </c>
      <c r="U195" s="1992">
        <f ca="1"/>
        <v>0</v>
      </c>
      <c r="V195" s="1992">
        <f ca="1"/>
        <v>0</v>
      </c>
      <c r="W195" s="1992">
        <f ca="1"/>
        <v>0</v>
      </c>
      <c r="X195" s="1992">
        <f ca="1"/>
        <v>0</v>
      </c>
      <c r="Y195" s="2010">
        <f ca="1"/>
        <v>0</v>
      </c>
    </row>
    <row r="196" spans="1:25" ht="13.5" thickBot="1">
      <c r="A196" s="105" t="str">
        <f>"Totales CV "&amp;A$12</f>
        <v xml:space="preserve">Totales CV </v>
      </c>
      <c r="B196" s="607">
        <f t="shared" ref="B196:Y196" ca="1" si="15">SUM(B183:B195)</f>
        <v>0</v>
      </c>
      <c r="C196" s="607">
        <f t="shared" ca="1" si="15"/>
        <v>0</v>
      </c>
      <c r="D196" s="607">
        <f t="shared" ca="1" si="15"/>
        <v>0</v>
      </c>
      <c r="E196" s="607">
        <f t="shared" ca="1" si="15"/>
        <v>0</v>
      </c>
      <c r="F196" s="607">
        <f t="shared" ca="1" si="15"/>
        <v>0</v>
      </c>
      <c r="G196" s="607">
        <f t="shared" ca="1" si="15"/>
        <v>0</v>
      </c>
      <c r="H196" s="607">
        <f t="shared" ca="1" si="15"/>
        <v>0</v>
      </c>
      <c r="I196" s="607">
        <f t="shared" ca="1" si="15"/>
        <v>0</v>
      </c>
      <c r="J196" s="607">
        <f t="shared" ca="1" si="15"/>
        <v>0</v>
      </c>
      <c r="K196" s="607">
        <f t="shared" ca="1" si="15"/>
        <v>0</v>
      </c>
      <c r="L196" s="607">
        <f t="shared" ca="1" si="15"/>
        <v>0</v>
      </c>
      <c r="M196" s="607">
        <f t="shared" ca="1" si="15"/>
        <v>0</v>
      </c>
      <c r="N196" s="607">
        <f t="shared" ca="1" si="15"/>
        <v>0</v>
      </c>
      <c r="O196" s="607">
        <f t="shared" ca="1" si="15"/>
        <v>0</v>
      </c>
      <c r="P196" s="607">
        <f t="shared" ca="1" si="15"/>
        <v>0</v>
      </c>
      <c r="Q196" s="607">
        <f t="shared" ca="1" si="15"/>
        <v>0</v>
      </c>
      <c r="R196" s="607">
        <f t="shared" ca="1" si="15"/>
        <v>0</v>
      </c>
      <c r="S196" s="607">
        <f t="shared" ca="1" si="15"/>
        <v>0</v>
      </c>
      <c r="T196" s="607">
        <f t="shared" ca="1" si="15"/>
        <v>0</v>
      </c>
      <c r="U196" s="607">
        <f t="shared" ca="1" si="15"/>
        <v>0</v>
      </c>
      <c r="V196" s="607">
        <f t="shared" ca="1" si="15"/>
        <v>0</v>
      </c>
      <c r="W196" s="607">
        <f t="shared" ca="1" si="15"/>
        <v>0</v>
      </c>
      <c r="X196" s="607">
        <f t="shared" ca="1" si="15"/>
        <v>0</v>
      </c>
      <c r="Y196" s="2008">
        <f t="shared" ca="1" si="15"/>
        <v>0</v>
      </c>
    </row>
    <row r="197" spans="1:25" ht="13.5" thickBot="1">
      <c r="A197" s="105" t="str">
        <f>'Dados Básicos'!A28&amp;" sop. CV "&amp;$A$12</f>
        <v xml:space="preserve">IVA sop. CV </v>
      </c>
      <c r="B197" s="607">
        <f t="array" aca="1" ref="B197:Y197" ca="1">$K$181*B196:Y196</f>
        <v>0</v>
      </c>
      <c r="C197" s="607">
        <f ca="1"/>
        <v>0</v>
      </c>
      <c r="D197" s="607">
        <f ca="1"/>
        <v>0</v>
      </c>
      <c r="E197" s="607">
        <f ca="1"/>
        <v>0</v>
      </c>
      <c r="F197" s="607">
        <f ca="1"/>
        <v>0</v>
      </c>
      <c r="G197" s="607">
        <f ca="1"/>
        <v>0</v>
      </c>
      <c r="H197" s="607">
        <f ca="1"/>
        <v>0</v>
      </c>
      <c r="I197" s="607">
        <f ca="1"/>
        <v>0</v>
      </c>
      <c r="J197" s="607">
        <f ca="1"/>
        <v>0</v>
      </c>
      <c r="K197" s="607">
        <f ca="1"/>
        <v>0</v>
      </c>
      <c r="L197" s="607">
        <f ca="1"/>
        <v>0</v>
      </c>
      <c r="M197" s="607">
        <f ca="1"/>
        <v>0</v>
      </c>
      <c r="N197" s="607">
        <f ca="1"/>
        <v>0</v>
      </c>
      <c r="O197" s="607">
        <f ca="1"/>
        <v>0</v>
      </c>
      <c r="P197" s="607">
        <f ca="1"/>
        <v>0</v>
      </c>
      <c r="Q197" s="607">
        <f ca="1"/>
        <v>0</v>
      </c>
      <c r="R197" s="607">
        <f ca="1"/>
        <v>0</v>
      </c>
      <c r="S197" s="607">
        <f ca="1"/>
        <v>0</v>
      </c>
      <c r="T197" s="607">
        <f ca="1"/>
        <v>0</v>
      </c>
      <c r="U197" s="607">
        <f ca="1"/>
        <v>0</v>
      </c>
      <c r="V197" s="607">
        <f ca="1"/>
        <v>0</v>
      </c>
      <c r="W197" s="607">
        <f ca="1"/>
        <v>0</v>
      </c>
      <c r="X197" s="607">
        <f ca="1"/>
        <v>0</v>
      </c>
      <c r="Y197" s="2008">
        <f ca="1"/>
        <v>0</v>
      </c>
    </row>
    <row r="199" spans="1:25" ht="18.75" thickBot="1">
      <c r="A199" s="1993" t="str">
        <f>'Distr CV 0'!A199</f>
        <v xml:space="preserve">Compras / custos de producción por meses de </v>
      </c>
      <c r="I199" s="1993" t="str">
        <f>$I$109</f>
        <v>IVA NÃO incluido</v>
      </c>
      <c r="K199" s="2005">
        <f>Parametros!$F$29</f>
        <v>0.21</v>
      </c>
    </row>
    <row r="200" spans="1:25" ht="33" customHeight="1" thickBot="1">
      <c r="A200" s="457" t="str">
        <f>'Distr CV 0'!A200</f>
        <v>mes de compra / custo</v>
      </c>
      <c r="B200" s="2011" t="str">
        <f t="array" ref="B200:Y200">B$71:Y$71</f>
        <v>janeiro 
2027</v>
      </c>
      <c r="C200" s="2011" t="str">
        <v>fevereiro 
2027</v>
      </c>
      <c r="D200" s="2011" t="str">
        <v>março 
2027</v>
      </c>
      <c r="E200" s="2011" t="str">
        <v>abril 
2027</v>
      </c>
      <c r="F200" s="2011" t="str">
        <v>maio 
2027</v>
      </c>
      <c r="G200" s="2011" t="str">
        <v>junho 
2027</v>
      </c>
      <c r="H200" s="2011" t="str">
        <v>julho 
2027</v>
      </c>
      <c r="I200" s="2011" t="str">
        <v>agosto 
2027</v>
      </c>
      <c r="J200" s="2011" t="str">
        <v>setembro 
2027</v>
      </c>
      <c r="K200" s="2011" t="str">
        <v>outubro 
2027</v>
      </c>
      <c r="L200" s="2011" t="str">
        <v>novembro 
2027</v>
      </c>
      <c r="M200" s="2011" t="str">
        <v>dezembro 
2027</v>
      </c>
      <c r="N200" s="2734" t="str">
        <v>janeiro 
2028</v>
      </c>
      <c r="O200" s="2735" t="str">
        <v>fevereiro 
2028</v>
      </c>
      <c r="P200" s="2735" t="str">
        <v>março 
2028</v>
      </c>
      <c r="Q200" s="2735" t="str">
        <v>abril 
2028</v>
      </c>
      <c r="R200" s="2735" t="str">
        <v>maio 
2028</v>
      </c>
      <c r="S200" s="2735" t="str">
        <v>junho 
2028</v>
      </c>
      <c r="T200" s="2735" t="str">
        <v>julho 
2028</v>
      </c>
      <c r="U200" s="2735" t="str">
        <v>agosto 
2028</v>
      </c>
      <c r="V200" s="2735" t="str">
        <v>setembro 
2028</v>
      </c>
      <c r="W200" s="2735" t="str">
        <v>outubro 
2028</v>
      </c>
      <c r="X200" s="2735" t="str">
        <v>novembro 
2028</v>
      </c>
      <c r="Y200" s="2736" t="str">
        <v>dezembro 
2028</v>
      </c>
    </row>
    <row r="201" spans="1:25">
      <c r="A201" s="1994" t="str">
        <f>A$72</f>
        <v>mismo mes</v>
      </c>
      <c r="B201" s="1991"/>
      <c r="C201" s="1991"/>
      <c r="D201" s="1991"/>
      <c r="E201" s="1991"/>
      <c r="F201" s="1991"/>
      <c r="G201" s="1991"/>
      <c r="H201" s="1991"/>
      <c r="I201" s="1991"/>
      <c r="J201" s="1991"/>
      <c r="K201" s="1991"/>
      <c r="L201" s="1991"/>
      <c r="M201" s="1991"/>
      <c r="N201" s="603">
        <f t="array" aca="1" ref="N201:Y201" ca="1">B25:M25*Produção!$N$13</f>
        <v>0</v>
      </c>
      <c r="O201" s="603">
        <f ca="1"/>
        <v>0</v>
      </c>
      <c r="P201" s="603">
        <f ca="1"/>
        <v>0</v>
      </c>
      <c r="Q201" s="603">
        <f ca="1"/>
        <v>0</v>
      </c>
      <c r="R201" s="603">
        <f ca="1"/>
        <v>0</v>
      </c>
      <c r="S201" s="603">
        <f ca="1"/>
        <v>0</v>
      </c>
      <c r="T201" s="603">
        <f ca="1"/>
        <v>0</v>
      </c>
      <c r="U201" s="603">
        <f ca="1"/>
        <v>0</v>
      </c>
      <c r="V201" s="603">
        <f ca="1"/>
        <v>0</v>
      </c>
      <c r="W201" s="603">
        <f ca="1"/>
        <v>0</v>
      </c>
      <c r="X201" s="603">
        <f ca="1"/>
        <v>0</v>
      </c>
      <c r="Y201" s="2006">
        <f ca="1"/>
        <v>0</v>
      </c>
    </row>
    <row r="202" spans="1:25">
      <c r="A202" s="1995" t="str">
        <f>A$73</f>
        <v>1 mes antes</v>
      </c>
      <c r="B202" s="1991"/>
      <c r="C202" s="1991"/>
      <c r="D202" s="1991"/>
      <c r="E202" s="1991"/>
      <c r="F202" s="1991"/>
      <c r="G202" s="1991"/>
      <c r="H202" s="1991"/>
      <c r="I202" s="1991"/>
      <c r="J202" s="1991"/>
      <c r="K202" s="1991"/>
      <c r="L202" s="1991"/>
      <c r="M202" s="603">
        <f t="array" aca="1" ref="M202:X202" ca="1">B25:M25*Produção!$M$13</f>
        <v>0</v>
      </c>
      <c r="N202" s="603">
        <f ca="1"/>
        <v>0</v>
      </c>
      <c r="O202" s="603">
        <f ca="1"/>
        <v>0</v>
      </c>
      <c r="P202" s="603">
        <f ca="1"/>
        <v>0</v>
      </c>
      <c r="Q202" s="603">
        <f ca="1"/>
        <v>0</v>
      </c>
      <c r="R202" s="603">
        <f ca="1"/>
        <v>0</v>
      </c>
      <c r="S202" s="603">
        <f ca="1"/>
        <v>0</v>
      </c>
      <c r="T202" s="603">
        <f ca="1"/>
        <v>0</v>
      </c>
      <c r="U202" s="603">
        <f ca="1"/>
        <v>0</v>
      </c>
      <c r="V202" s="603">
        <f ca="1"/>
        <v>0</v>
      </c>
      <c r="W202" s="603">
        <f ca="1"/>
        <v>0</v>
      </c>
      <c r="X202" s="603">
        <f ca="1"/>
        <v>0</v>
      </c>
      <c r="Y202" s="2007">
        <f t="array" aca="1" ref="Y202:Y213" ca="1">'Distr CV 3'!M202:M213</f>
        <v>0</v>
      </c>
    </row>
    <row r="203" spans="1:25">
      <c r="A203" s="1995" t="str">
        <f>A$74</f>
        <v>2 meses antes</v>
      </c>
      <c r="B203" s="1991"/>
      <c r="C203" s="1991"/>
      <c r="D203" s="1991"/>
      <c r="E203" s="1991"/>
      <c r="F203" s="1991"/>
      <c r="G203" s="1991"/>
      <c r="H203" s="1991"/>
      <c r="I203" s="1991"/>
      <c r="J203" s="1991"/>
      <c r="K203" s="1991"/>
      <c r="L203" s="603">
        <f t="array" aca="1" ref="L203:W203" ca="1">B25:M25*Produção!$L$13</f>
        <v>0</v>
      </c>
      <c r="M203" s="603">
        <f ca="1"/>
        <v>0</v>
      </c>
      <c r="N203" s="603">
        <f ca="1"/>
        <v>0</v>
      </c>
      <c r="O203" s="603">
        <f ca="1"/>
        <v>0</v>
      </c>
      <c r="P203" s="603">
        <f ca="1"/>
        <v>0</v>
      </c>
      <c r="Q203" s="603">
        <f ca="1"/>
        <v>0</v>
      </c>
      <c r="R203" s="603">
        <f ca="1"/>
        <v>0</v>
      </c>
      <c r="S203" s="603">
        <f ca="1"/>
        <v>0</v>
      </c>
      <c r="T203" s="603">
        <f ca="1"/>
        <v>0</v>
      </c>
      <c r="U203" s="603">
        <f ca="1"/>
        <v>0</v>
      </c>
      <c r="V203" s="603">
        <f ca="1"/>
        <v>0</v>
      </c>
      <c r="W203" s="603">
        <f ca="1"/>
        <v>0</v>
      </c>
      <c r="X203" s="1988">
        <f t="array" aca="1" ref="X203:X213" ca="1">'Distr CV 3'!L203:L213</f>
        <v>0</v>
      </c>
      <c r="Y203" s="2007">
        <f ca="1"/>
        <v>0</v>
      </c>
    </row>
    <row r="204" spans="1:25">
      <c r="A204" s="1995" t="str">
        <f>A$75</f>
        <v>3 meses antes</v>
      </c>
      <c r="B204" s="1991"/>
      <c r="C204" s="1991"/>
      <c r="D204" s="1991"/>
      <c r="E204" s="1991"/>
      <c r="F204" s="1991"/>
      <c r="G204" s="1991"/>
      <c r="H204" s="1991"/>
      <c r="I204" s="1991"/>
      <c r="J204" s="1991"/>
      <c r="K204" s="603">
        <f t="array" aca="1" ref="K204:V204" ca="1">B25:M25*Produção!$K$13</f>
        <v>0</v>
      </c>
      <c r="L204" s="603">
        <f ca="1"/>
        <v>0</v>
      </c>
      <c r="M204" s="603">
        <f ca="1"/>
        <v>0</v>
      </c>
      <c r="N204" s="603">
        <f ca="1"/>
        <v>0</v>
      </c>
      <c r="O204" s="603">
        <f ca="1"/>
        <v>0</v>
      </c>
      <c r="P204" s="603">
        <f ca="1"/>
        <v>0</v>
      </c>
      <c r="Q204" s="603">
        <f ca="1"/>
        <v>0</v>
      </c>
      <c r="R204" s="603">
        <f ca="1"/>
        <v>0</v>
      </c>
      <c r="S204" s="603">
        <f ca="1"/>
        <v>0</v>
      </c>
      <c r="T204" s="603">
        <f ca="1"/>
        <v>0</v>
      </c>
      <c r="U204" s="603">
        <f ca="1"/>
        <v>0</v>
      </c>
      <c r="V204" s="603">
        <f ca="1"/>
        <v>0</v>
      </c>
      <c r="W204" s="1988">
        <f t="array" aca="1" ref="W204:W213" ca="1">'Distr CV 3'!K204:K213</f>
        <v>0</v>
      </c>
      <c r="X204" s="1988">
        <f ca="1"/>
        <v>0</v>
      </c>
      <c r="Y204" s="2007">
        <f ca="1"/>
        <v>0</v>
      </c>
    </row>
    <row r="205" spans="1:25">
      <c r="A205" s="1995" t="str">
        <f>A$76</f>
        <v>4 meses antes</v>
      </c>
      <c r="B205" s="1991"/>
      <c r="C205" s="1991"/>
      <c r="D205" s="1991"/>
      <c r="E205" s="1991"/>
      <c r="F205" s="1991"/>
      <c r="G205" s="1991"/>
      <c r="H205" s="1991"/>
      <c r="I205" s="1991"/>
      <c r="J205" s="603">
        <f t="array" aca="1" ref="J205:U205" ca="1">B25:M25*Produção!$J$13</f>
        <v>0</v>
      </c>
      <c r="K205" s="603">
        <f ca="1"/>
        <v>0</v>
      </c>
      <c r="L205" s="603">
        <f ca="1"/>
        <v>0</v>
      </c>
      <c r="M205" s="603">
        <f ca="1"/>
        <v>0</v>
      </c>
      <c r="N205" s="603">
        <f ca="1"/>
        <v>0</v>
      </c>
      <c r="O205" s="603">
        <f ca="1"/>
        <v>0</v>
      </c>
      <c r="P205" s="603">
        <f ca="1"/>
        <v>0</v>
      </c>
      <c r="Q205" s="603">
        <f ca="1"/>
        <v>0</v>
      </c>
      <c r="R205" s="603">
        <f ca="1"/>
        <v>0</v>
      </c>
      <c r="S205" s="603">
        <f ca="1"/>
        <v>0</v>
      </c>
      <c r="T205" s="603">
        <f ca="1"/>
        <v>0</v>
      </c>
      <c r="U205" s="603">
        <f ca="1"/>
        <v>0</v>
      </c>
      <c r="V205" s="1988">
        <f t="array" aca="1" ref="V205:V213" ca="1">'Distr CV 3'!J205:J213</f>
        <v>0</v>
      </c>
      <c r="W205" s="1988">
        <f ca="1"/>
        <v>0</v>
      </c>
      <c r="X205" s="1988">
        <f ca="1"/>
        <v>0</v>
      </c>
      <c r="Y205" s="2007">
        <f ca="1"/>
        <v>0</v>
      </c>
    </row>
    <row r="206" spans="1:25">
      <c r="A206" s="1995" t="str">
        <f>A$77</f>
        <v>5 meses antes</v>
      </c>
      <c r="B206" s="1991"/>
      <c r="C206" s="1991"/>
      <c r="D206" s="1991"/>
      <c r="E206" s="1991"/>
      <c r="F206" s="1991"/>
      <c r="G206" s="1991"/>
      <c r="H206" s="1991"/>
      <c r="I206" s="603">
        <f t="array" aca="1" ref="I206:T206" ca="1">B25:M25*Produção!$I$13</f>
        <v>0</v>
      </c>
      <c r="J206" s="603">
        <f ca="1"/>
        <v>0</v>
      </c>
      <c r="K206" s="603">
        <f ca="1"/>
        <v>0</v>
      </c>
      <c r="L206" s="603">
        <f ca="1"/>
        <v>0</v>
      </c>
      <c r="M206" s="603">
        <f ca="1"/>
        <v>0</v>
      </c>
      <c r="N206" s="603">
        <f ca="1"/>
        <v>0</v>
      </c>
      <c r="O206" s="603">
        <f ca="1"/>
        <v>0</v>
      </c>
      <c r="P206" s="603">
        <f ca="1"/>
        <v>0</v>
      </c>
      <c r="Q206" s="603">
        <f ca="1"/>
        <v>0</v>
      </c>
      <c r="R206" s="603">
        <f ca="1"/>
        <v>0</v>
      </c>
      <c r="S206" s="603">
        <f ca="1"/>
        <v>0</v>
      </c>
      <c r="T206" s="603">
        <f ca="1"/>
        <v>0</v>
      </c>
      <c r="U206" s="1988">
        <f t="array" aca="1" ref="U206:U213" ca="1">'Distr CV 3'!I206:I213</f>
        <v>0</v>
      </c>
      <c r="V206" s="1988">
        <f ca="1"/>
        <v>0</v>
      </c>
      <c r="W206" s="1988">
        <f ca="1"/>
        <v>0</v>
      </c>
      <c r="X206" s="1988">
        <f ca="1"/>
        <v>0</v>
      </c>
      <c r="Y206" s="2007">
        <f ca="1"/>
        <v>0</v>
      </c>
    </row>
    <row r="207" spans="1:25">
      <c r="A207" s="1995" t="str">
        <f>A$78</f>
        <v>6 meses antes</v>
      </c>
      <c r="B207" s="1991"/>
      <c r="C207" s="1991"/>
      <c r="D207" s="1991"/>
      <c r="E207" s="1991"/>
      <c r="F207" s="1991"/>
      <c r="G207" s="1991"/>
      <c r="H207" s="603">
        <f t="array" aca="1" ref="H207:S207" ca="1">B25:M25*Produção!$H$13</f>
        <v>0</v>
      </c>
      <c r="I207" s="603">
        <f ca="1"/>
        <v>0</v>
      </c>
      <c r="J207" s="603">
        <f ca="1"/>
        <v>0</v>
      </c>
      <c r="K207" s="603">
        <f ca="1"/>
        <v>0</v>
      </c>
      <c r="L207" s="603">
        <f ca="1"/>
        <v>0</v>
      </c>
      <c r="M207" s="603">
        <f ca="1"/>
        <v>0</v>
      </c>
      <c r="N207" s="603">
        <f ca="1"/>
        <v>0</v>
      </c>
      <c r="O207" s="603">
        <f ca="1"/>
        <v>0</v>
      </c>
      <c r="P207" s="603">
        <f ca="1"/>
        <v>0</v>
      </c>
      <c r="Q207" s="603">
        <f ca="1"/>
        <v>0</v>
      </c>
      <c r="R207" s="603">
        <f ca="1"/>
        <v>0</v>
      </c>
      <c r="S207" s="603">
        <f ca="1"/>
        <v>0</v>
      </c>
      <c r="T207" s="1988">
        <f t="array" aca="1" ref="T207:T213" ca="1">'Distr CV 3'!H207:H213</f>
        <v>0</v>
      </c>
      <c r="U207" s="1988">
        <f ca="1"/>
        <v>0</v>
      </c>
      <c r="V207" s="1988">
        <f ca="1"/>
        <v>0</v>
      </c>
      <c r="W207" s="1988">
        <f ca="1"/>
        <v>0</v>
      </c>
      <c r="X207" s="1988">
        <f ca="1"/>
        <v>0</v>
      </c>
      <c r="Y207" s="2007">
        <f ca="1"/>
        <v>0</v>
      </c>
    </row>
    <row r="208" spans="1:25">
      <c r="A208" s="1995" t="str">
        <f>A$79</f>
        <v>7 meses antes</v>
      </c>
      <c r="B208" s="1991"/>
      <c r="C208" s="1991"/>
      <c r="D208" s="1991"/>
      <c r="E208" s="1991"/>
      <c r="F208" s="1991"/>
      <c r="G208" s="603">
        <f t="array" aca="1" ref="G208:R208" ca="1">B25:M25*Produção!$G$13</f>
        <v>0</v>
      </c>
      <c r="H208" s="603">
        <f ca="1"/>
        <v>0</v>
      </c>
      <c r="I208" s="603">
        <f ca="1"/>
        <v>0</v>
      </c>
      <c r="J208" s="603">
        <f ca="1"/>
        <v>0</v>
      </c>
      <c r="K208" s="603">
        <f ca="1"/>
        <v>0</v>
      </c>
      <c r="L208" s="603">
        <f ca="1"/>
        <v>0</v>
      </c>
      <c r="M208" s="603">
        <f ca="1"/>
        <v>0</v>
      </c>
      <c r="N208" s="603">
        <f ca="1"/>
        <v>0</v>
      </c>
      <c r="O208" s="603">
        <f ca="1"/>
        <v>0</v>
      </c>
      <c r="P208" s="603">
        <f ca="1"/>
        <v>0</v>
      </c>
      <c r="Q208" s="603">
        <f ca="1"/>
        <v>0</v>
      </c>
      <c r="R208" s="603">
        <f ca="1"/>
        <v>0</v>
      </c>
      <c r="S208" s="1992">
        <f t="array" aca="1" ref="S208:S213" ca="1">'Distr CV 3'!G208:G213</f>
        <v>0</v>
      </c>
      <c r="T208" s="1992">
        <f ca="1"/>
        <v>0</v>
      </c>
      <c r="U208" s="1992">
        <f ca="1"/>
        <v>0</v>
      </c>
      <c r="V208" s="1992">
        <f ca="1"/>
        <v>0</v>
      </c>
      <c r="W208" s="1992">
        <f ca="1"/>
        <v>0</v>
      </c>
      <c r="X208" s="1992">
        <f ca="1"/>
        <v>0</v>
      </c>
      <c r="Y208" s="2010">
        <f ca="1"/>
        <v>0</v>
      </c>
    </row>
    <row r="209" spans="1:25">
      <c r="A209" s="1995" t="str">
        <f>A$80</f>
        <v>8 meses antes</v>
      </c>
      <c r="B209" s="1991"/>
      <c r="C209" s="1991"/>
      <c r="D209" s="1991"/>
      <c r="E209" s="1991"/>
      <c r="F209" s="603">
        <f t="array" aca="1" ref="F209:Q209" ca="1">B25:M25*Produção!$F$13</f>
        <v>0</v>
      </c>
      <c r="G209" s="603">
        <f ca="1"/>
        <v>0</v>
      </c>
      <c r="H209" s="603">
        <f ca="1"/>
        <v>0</v>
      </c>
      <c r="I209" s="603">
        <f ca="1"/>
        <v>0</v>
      </c>
      <c r="J209" s="603">
        <f ca="1"/>
        <v>0</v>
      </c>
      <c r="K209" s="603">
        <f ca="1"/>
        <v>0</v>
      </c>
      <c r="L209" s="603">
        <f ca="1"/>
        <v>0</v>
      </c>
      <c r="M209" s="603">
        <f ca="1"/>
        <v>0</v>
      </c>
      <c r="N209" s="603">
        <f ca="1"/>
        <v>0</v>
      </c>
      <c r="O209" s="603">
        <f ca="1"/>
        <v>0</v>
      </c>
      <c r="P209" s="603">
        <f ca="1"/>
        <v>0</v>
      </c>
      <c r="Q209" s="603">
        <f ca="1"/>
        <v>0</v>
      </c>
      <c r="R209" s="1992">
        <f t="array" aca="1" ref="R209:R213" ca="1">'Distr CV 3'!F209:F213</f>
        <v>0</v>
      </c>
      <c r="S209" s="1992">
        <f ca="1"/>
        <v>0</v>
      </c>
      <c r="T209" s="1992">
        <f ca="1"/>
        <v>0</v>
      </c>
      <c r="U209" s="1992">
        <f ca="1"/>
        <v>0</v>
      </c>
      <c r="V209" s="1992">
        <f ca="1"/>
        <v>0</v>
      </c>
      <c r="W209" s="1992">
        <f ca="1"/>
        <v>0</v>
      </c>
      <c r="X209" s="1992">
        <f ca="1"/>
        <v>0</v>
      </c>
      <c r="Y209" s="2010">
        <f ca="1"/>
        <v>0</v>
      </c>
    </row>
    <row r="210" spans="1:25">
      <c r="A210" s="1995" t="str">
        <f>A$81</f>
        <v>9 meses antes</v>
      </c>
      <c r="B210" s="1991"/>
      <c r="C210" s="1991"/>
      <c r="D210" s="1991"/>
      <c r="E210" s="603">
        <f t="array" aca="1" ref="E210:P210" ca="1">B25:M25*Produção!$E$13</f>
        <v>0</v>
      </c>
      <c r="F210" s="603">
        <f ca="1"/>
        <v>0</v>
      </c>
      <c r="G210" s="603">
        <f ca="1"/>
        <v>0</v>
      </c>
      <c r="H210" s="603">
        <f ca="1"/>
        <v>0</v>
      </c>
      <c r="I210" s="603">
        <f ca="1"/>
        <v>0</v>
      </c>
      <c r="J210" s="603">
        <f ca="1"/>
        <v>0</v>
      </c>
      <c r="K210" s="603">
        <f ca="1"/>
        <v>0</v>
      </c>
      <c r="L210" s="603">
        <f ca="1"/>
        <v>0</v>
      </c>
      <c r="M210" s="603">
        <f ca="1"/>
        <v>0</v>
      </c>
      <c r="N210" s="603">
        <f ca="1"/>
        <v>0</v>
      </c>
      <c r="O210" s="603">
        <f ca="1"/>
        <v>0</v>
      </c>
      <c r="P210" s="603">
        <f ca="1"/>
        <v>0</v>
      </c>
      <c r="Q210" s="1992">
        <f t="array" aca="1" ref="Q210:Q213" ca="1">'Distr CV 3'!E210:E213</f>
        <v>0</v>
      </c>
      <c r="R210" s="1992">
        <f ca="1"/>
        <v>0</v>
      </c>
      <c r="S210" s="1992">
        <f ca="1"/>
        <v>0</v>
      </c>
      <c r="T210" s="1992">
        <f ca="1"/>
        <v>0</v>
      </c>
      <c r="U210" s="1992">
        <f ca="1"/>
        <v>0</v>
      </c>
      <c r="V210" s="1992">
        <f ca="1"/>
        <v>0</v>
      </c>
      <c r="W210" s="1992">
        <f ca="1"/>
        <v>0</v>
      </c>
      <c r="X210" s="1992">
        <f ca="1"/>
        <v>0</v>
      </c>
      <c r="Y210" s="2010">
        <f ca="1"/>
        <v>0</v>
      </c>
    </row>
    <row r="211" spans="1:25">
      <c r="A211" s="1995" t="str">
        <f>A$82</f>
        <v>10 meses antes</v>
      </c>
      <c r="B211" s="1991"/>
      <c r="C211" s="1991"/>
      <c r="D211" s="603">
        <f t="array" aca="1" ref="D211:O211" ca="1">B25:M25*Produção!$D$13</f>
        <v>0</v>
      </c>
      <c r="E211" s="603">
        <f ca="1"/>
        <v>0</v>
      </c>
      <c r="F211" s="603">
        <f ca="1"/>
        <v>0</v>
      </c>
      <c r="G211" s="603">
        <f ca="1"/>
        <v>0</v>
      </c>
      <c r="H211" s="603">
        <f ca="1"/>
        <v>0</v>
      </c>
      <c r="I211" s="603">
        <f ca="1"/>
        <v>0</v>
      </c>
      <c r="J211" s="603">
        <f ca="1"/>
        <v>0</v>
      </c>
      <c r="K211" s="603">
        <f ca="1"/>
        <v>0</v>
      </c>
      <c r="L211" s="603">
        <f ca="1"/>
        <v>0</v>
      </c>
      <c r="M211" s="603">
        <f ca="1"/>
        <v>0</v>
      </c>
      <c r="N211" s="603">
        <f ca="1"/>
        <v>0</v>
      </c>
      <c r="O211" s="603">
        <f ca="1"/>
        <v>0</v>
      </c>
      <c r="P211" s="1992">
        <f t="array" aca="1" ref="P211:P213" ca="1">'Distr CV 3'!D211:D213</f>
        <v>0</v>
      </c>
      <c r="Q211" s="1992">
        <f ca="1"/>
        <v>0</v>
      </c>
      <c r="R211" s="1992">
        <f ca="1"/>
        <v>0</v>
      </c>
      <c r="S211" s="1992">
        <f ca="1"/>
        <v>0</v>
      </c>
      <c r="T211" s="1992">
        <f ca="1"/>
        <v>0</v>
      </c>
      <c r="U211" s="1992">
        <f ca="1"/>
        <v>0</v>
      </c>
      <c r="V211" s="1992">
        <f ca="1"/>
        <v>0</v>
      </c>
      <c r="W211" s="1992">
        <f ca="1"/>
        <v>0</v>
      </c>
      <c r="X211" s="1992">
        <f ca="1"/>
        <v>0</v>
      </c>
      <c r="Y211" s="2010">
        <f ca="1"/>
        <v>0</v>
      </c>
    </row>
    <row r="212" spans="1:25">
      <c r="A212" s="1995" t="str">
        <f>A$83</f>
        <v>11 meses antes</v>
      </c>
      <c r="B212" s="1991"/>
      <c r="C212" s="603">
        <f t="array" aca="1" ref="C212:N212" ca="1">B25:M25*Produção!$C$13</f>
        <v>0</v>
      </c>
      <c r="D212" s="603">
        <f ca="1"/>
        <v>0</v>
      </c>
      <c r="E212" s="603">
        <f ca="1"/>
        <v>0</v>
      </c>
      <c r="F212" s="603">
        <f ca="1"/>
        <v>0</v>
      </c>
      <c r="G212" s="603">
        <f ca="1"/>
        <v>0</v>
      </c>
      <c r="H212" s="603">
        <f ca="1"/>
        <v>0</v>
      </c>
      <c r="I212" s="603">
        <f ca="1"/>
        <v>0</v>
      </c>
      <c r="J212" s="603">
        <f ca="1"/>
        <v>0</v>
      </c>
      <c r="K212" s="603">
        <f ca="1"/>
        <v>0</v>
      </c>
      <c r="L212" s="603">
        <f ca="1"/>
        <v>0</v>
      </c>
      <c r="M212" s="603">
        <f ca="1"/>
        <v>0</v>
      </c>
      <c r="N212" s="603">
        <f ca="1"/>
        <v>0</v>
      </c>
      <c r="O212" s="1992">
        <f ca="1">'Distr CV 3'!C212</f>
        <v>0</v>
      </c>
      <c r="P212" s="1992">
        <f ca="1"/>
        <v>0</v>
      </c>
      <c r="Q212" s="1992">
        <f ca="1"/>
        <v>0</v>
      </c>
      <c r="R212" s="1992">
        <f ca="1"/>
        <v>0</v>
      </c>
      <c r="S212" s="1992">
        <f ca="1"/>
        <v>0</v>
      </c>
      <c r="T212" s="1992">
        <f ca="1"/>
        <v>0</v>
      </c>
      <c r="U212" s="1992">
        <f ca="1"/>
        <v>0</v>
      </c>
      <c r="V212" s="1992">
        <f ca="1"/>
        <v>0</v>
      </c>
      <c r="W212" s="1992">
        <f ca="1"/>
        <v>0</v>
      </c>
      <c r="X212" s="1992">
        <f ca="1"/>
        <v>0</v>
      </c>
      <c r="Y212" s="2010">
        <f ca="1"/>
        <v>0</v>
      </c>
    </row>
    <row r="213" spans="1:25" ht="13.5" thickBot="1">
      <c r="A213" s="1995" t="str">
        <f>A$84</f>
        <v>12 meses antes</v>
      </c>
      <c r="B213" s="603">
        <f t="array" aca="1" ref="B213:M213" ca="1">B25:M25*Produção!$B$13</f>
        <v>0</v>
      </c>
      <c r="C213" s="603">
        <f ca="1"/>
        <v>0</v>
      </c>
      <c r="D213" s="603">
        <f ca="1"/>
        <v>0</v>
      </c>
      <c r="E213" s="603">
        <f ca="1"/>
        <v>0</v>
      </c>
      <c r="F213" s="603">
        <f ca="1"/>
        <v>0</v>
      </c>
      <c r="G213" s="603">
        <f ca="1"/>
        <v>0</v>
      </c>
      <c r="H213" s="603">
        <f ca="1"/>
        <v>0</v>
      </c>
      <c r="I213" s="603">
        <f ca="1"/>
        <v>0</v>
      </c>
      <c r="J213" s="603">
        <f ca="1"/>
        <v>0</v>
      </c>
      <c r="K213" s="603">
        <f ca="1"/>
        <v>0</v>
      </c>
      <c r="L213" s="603">
        <f ca="1"/>
        <v>0</v>
      </c>
      <c r="M213" s="603">
        <f ca="1"/>
        <v>0</v>
      </c>
      <c r="N213" s="1991">
        <f ca="1">'Distr CV 3'!B213</f>
        <v>0</v>
      </c>
      <c r="O213" s="1992">
        <f ca="1">'Distr CV 3'!C213</f>
        <v>0</v>
      </c>
      <c r="P213" s="1992">
        <f ca="1"/>
        <v>0</v>
      </c>
      <c r="Q213" s="1992">
        <f ca="1"/>
        <v>0</v>
      </c>
      <c r="R213" s="1992">
        <f ca="1"/>
        <v>0</v>
      </c>
      <c r="S213" s="1992">
        <f ca="1"/>
        <v>0</v>
      </c>
      <c r="T213" s="1992">
        <f ca="1"/>
        <v>0</v>
      </c>
      <c r="U213" s="1992">
        <f ca="1"/>
        <v>0</v>
      </c>
      <c r="V213" s="1992">
        <f ca="1"/>
        <v>0</v>
      </c>
      <c r="W213" s="1992">
        <f ca="1"/>
        <v>0</v>
      </c>
      <c r="X213" s="1992">
        <f ca="1"/>
        <v>0</v>
      </c>
      <c r="Y213" s="2010">
        <f ca="1"/>
        <v>0</v>
      </c>
    </row>
    <row r="214" spans="1:25" ht="13.5" thickBot="1">
      <c r="A214" s="105" t="str">
        <f>"Totales CV "&amp;A$13</f>
        <v xml:space="preserve">Totales CV </v>
      </c>
      <c r="B214" s="607">
        <f t="shared" ref="B214:Y214" ca="1" si="16">SUM(B201:B213)</f>
        <v>0</v>
      </c>
      <c r="C214" s="607">
        <f t="shared" ca="1" si="16"/>
        <v>0</v>
      </c>
      <c r="D214" s="607">
        <f t="shared" ca="1" si="16"/>
        <v>0</v>
      </c>
      <c r="E214" s="607">
        <f t="shared" ca="1" si="16"/>
        <v>0</v>
      </c>
      <c r="F214" s="607">
        <f t="shared" ca="1" si="16"/>
        <v>0</v>
      </c>
      <c r="G214" s="607">
        <f t="shared" ca="1" si="16"/>
        <v>0</v>
      </c>
      <c r="H214" s="607">
        <f t="shared" ca="1" si="16"/>
        <v>0</v>
      </c>
      <c r="I214" s="607">
        <f t="shared" ca="1" si="16"/>
        <v>0</v>
      </c>
      <c r="J214" s="607">
        <f t="shared" ca="1" si="16"/>
        <v>0</v>
      </c>
      <c r="K214" s="607">
        <f t="shared" ca="1" si="16"/>
        <v>0</v>
      </c>
      <c r="L214" s="607">
        <f t="shared" ca="1" si="16"/>
        <v>0</v>
      </c>
      <c r="M214" s="607">
        <f t="shared" ca="1" si="16"/>
        <v>0</v>
      </c>
      <c r="N214" s="607">
        <f t="shared" ca="1" si="16"/>
        <v>0</v>
      </c>
      <c r="O214" s="607">
        <f t="shared" ca="1" si="16"/>
        <v>0</v>
      </c>
      <c r="P214" s="607">
        <f t="shared" ca="1" si="16"/>
        <v>0</v>
      </c>
      <c r="Q214" s="607">
        <f t="shared" ca="1" si="16"/>
        <v>0</v>
      </c>
      <c r="R214" s="607">
        <f t="shared" ca="1" si="16"/>
        <v>0</v>
      </c>
      <c r="S214" s="607">
        <f t="shared" ca="1" si="16"/>
        <v>0</v>
      </c>
      <c r="T214" s="607">
        <f t="shared" ca="1" si="16"/>
        <v>0</v>
      </c>
      <c r="U214" s="607">
        <f t="shared" ca="1" si="16"/>
        <v>0</v>
      </c>
      <c r="V214" s="607">
        <f t="shared" ca="1" si="16"/>
        <v>0</v>
      </c>
      <c r="W214" s="607">
        <f t="shared" ca="1" si="16"/>
        <v>0</v>
      </c>
      <c r="X214" s="607">
        <f t="shared" ca="1" si="16"/>
        <v>0</v>
      </c>
      <c r="Y214" s="2008">
        <f t="shared" ca="1" si="16"/>
        <v>0</v>
      </c>
    </row>
    <row r="215" spans="1:25" ht="13.5" thickBot="1">
      <c r="A215" s="105" t="str">
        <f>'Dados Básicos'!A28&amp;" sop. CV "&amp;$A$13</f>
        <v xml:space="preserve">IVA sop. CV </v>
      </c>
      <c r="B215" s="607">
        <f t="array" aca="1" ref="B215:Y215" ca="1">$K$199*B214:Y214</f>
        <v>0</v>
      </c>
      <c r="C215" s="607">
        <f ca="1"/>
        <v>0</v>
      </c>
      <c r="D215" s="607">
        <f ca="1"/>
        <v>0</v>
      </c>
      <c r="E215" s="607">
        <f ca="1"/>
        <v>0</v>
      </c>
      <c r="F215" s="607">
        <f ca="1"/>
        <v>0</v>
      </c>
      <c r="G215" s="607">
        <f ca="1"/>
        <v>0</v>
      </c>
      <c r="H215" s="607">
        <f ca="1"/>
        <v>0</v>
      </c>
      <c r="I215" s="607">
        <f ca="1"/>
        <v>0</v>
      </c>
      <c r="J215" s="607">
        <f ca="1"/>
        <v>0</v>
      </c>
      <c r="K215" s="607">
        <f ca="1"/>
        <v>0</v>
      </c>
      <c r="L215" s="607">
        <f ca="1"/>
        <v>0</v>
      </c>
      <c r="M215" s="607">
        <f ca="1"/>
        <v>0</v>
      </c>
      <c r="N215" s="607">
        <f ca="1"/>
        <v>0</v>
      </c>
      <c r="O215" s="607">
        <f ca="1"/>
        <v>0</v>
      </c>
      <c r="P215" s="607">
        <f ca="1"/>
        <v>0</v>
      </c>
      <c r="Q215" s="607">
        <f ca="1"/>
        <v>0</v>
      </c>
      <c r="R215" s="607">
        <f ca="1"/>
        <v>0</v>
      </c>
      <c r="S215" s="607">
        <f ca="1"/>
        <v>0</v>
      </c>
      <c r="T215" s="607">
        <f ca="1"/>
        <v>0</v>
      </c>
      <c r="U215" s="607">
        <f ca="1"/>
        <v>0</v>
      </c>
      <c r="V215" s="607">
        <f ca="1"/>
        <v>0</v>
      </c>
      <c r="W215" s="607">
        <f ca="1"/>
        <v>0</v>
      </c>
      <c r="X215" s="607">
        <f ca="1"/>
        <v>0</v>
      </c>
      <c r="Y215" s="2008">
        <f ca="1"/>
        <v>0</v>
      </c>
    </row>
    <row r="217" spans="1:25" ht="18.75" thickBot="1">
      <c r="A217" s="1993" t="str">
        <f>'Distr CV 0'!A217</f>
        <v xml:space="preserve">Compras / custos de producción por meses de </v>
      </c>
      <c r="I217" s="1993" t="str">
        <f>$I$109</f>
        <v>IVA NÃO incluido</v>
      </c>
      <c r="K217" s="2005">
        <f>Parametros!$F$30</f>
        <v>0.21</v>
      </c>
    </row>
    <row r="218" spans="1:25" ht="33" customHeight="1" thickBot="1">
      <c r="A218" s="457" t="str">
        <f>'Distr CV 0'!A218</f>
        <v>mes de compra / custo</v>
      </c>
      <c r="B218" s="2011" t="str">
        <f t="array" ref="B218:Y218">B$71:Y$71</f>
        <v>janeiro 
2027</v>
      </c>
      <c r="C218" s="2011" t="str">
        <v>fevereiro 
2027</v>
      </c>
      <c r="D218" s="2011" t="str">
        <v>março 
2027</v>
      </c>
      <c r="E218" s="2011" t="str">
        <v>abril 
2027</v>
      </c>
      <c r="F218" s="2011" t="str">
        <v>maio 
2027</v>
      </c>
      <c r="G218" s="2011" t="str">
        <v>junho 
2027</v>
      </c>
      <c r="H218" s="2011" t="str">
        <v>julho 
2027</v>
      </c>
      <c r="I218" s="2011" t="str">
        <v>agosto 
2027</v>
      </c>
      <c r="J218" s="2011" t="str">
        <v>setembro 
2027</v>
      </c>
      <c r="K218" s="2011" t="str">
        <v>outubro 
2027</v>
      </c>
      <c r="L218" s="2011" t="str">
        <v>novembro 
2027</v>
      </c>
      <c r="M218" s="2011" t="str">
        <v>dezembro 
2027</v>
      </c>
      <c r="N218" s="2734" t="str">
        <v>janeiro 
2028</v>
      </c>
      <c r="O218" s="2735" t="str">
        <v>fevereiro 
2028</v>
      </c>
      <c r="P218" s="2735" t="str">
        <v>março 
2028</v>
      </c>
      <c r="Q218" s="2735" t="str">
        <v>abril 
2028</v>
      </c>
      <c r="R218" s="2735" t="str">
        <v>maio 
2028</v>
      </c>
      <c r="S218" s="2735" t="str">
        <v>junho 
2028</v>
      </c>
      <c r="T218" s="2735" t="str">
        <v>julho 
2028</v>
      </c>
      <c r="U218" s="2735" t="str">
        <v>agosto 
2028</v>
      </c>
      <c r="V218" s="2735" t="str">
        <v>setembro 
2028</v>
      </c>
      <c r="W218" s="2735" t="str">
        <v>outubro 
2028</v>
      </c>
      <c r="X218" s="2735" t="str">
        <v>novembro 
2028</v>
      </c>
      <c r="Y218" s="2736" t="str">
        <v>dezembro 
2028</v>
      </c>
    </row>
    <row r="219" spans="1:25">
      <c r="A219" s="1994" t="str">
        <f>A$72</f>
        <v>mismo mes</v>
      </c>
      <c r="B219" s="1991"/>
      <c r="C219" s="1991"/>
      <c r="D219" s="1991"/>
      <c r="E219" s="1991"/>
      <c r="F219" s="1991"/>
      <c r="G219" s="1991"/>
      <c r="H219" s="1991"/>
      <c r="I219" s="1991"/>
      <c r="J219" s="1991"/>
      <c r="K219" s="1991"/>
      <c r="L219" s="1991"/>
      <c r="M219" s="1991"/>
      <c r="N219" s="603">
        <f t="array" aca="1" ref="N219:Y219" ca="1">B26:M26*Produção!$N$14</f>
        <v>0</v>
      </c>
      <c r="O219" s="603">
        <f ca="1"/>
        <v>0</v>
      </c>
      <c r="P219" s="603">
        <f ca="1"/>
        <v>0</v>
      </c>
      <c r="Q219" s="603">
        <f ca="1"/>
        <v>0</v>
      </c>
      <c r="R219" s="603">
        <f ca="1"/>
        <v>0</v>
      </c>
      <c r="S219" s="603">
        <f ca="1"/>
        <v>0</v>
      </c>
      <c r="T219" s="603">
        <f ca="1"/>
        <v>0</v>
      </c>
      <c r="U219" s="603">
        <f ca="1"/>
        <v>0</v>
      </c>
      <c r="V219" s="603">
        <f ca="1"/>
        <v>0</v>
      </c>
      <c r="W219" s="603">
        <f ca="1"/>
        <v>0</v>
      </c>
      <c r="X219" s="603">
        <f ca="1"/>
        <v>0</v>
      </c>
      <c r="Y219" s="2006">
        <f ca="1"/>
        <v>0</v>
      </c>
    </row>
    <row r="220" spans="1:25">
      <c r="A220" s="1995" t="str">
        <f>A$73</f>
        <v>1 mes antes</v>
      </c>
      <c r="B220" s="1991"/>
      <c r="C220" s="1991"/>
      <c r="D220" s="1991"/>
      <c r="E220" s="1991"/>
      <c r="F220" s="1991"/>
      <c r="G220" s="1991"/>
      <c r="H220" s="1991"/>
      <c r="I220" s="1991"/>
      <c r="J220" s="1991"/>
      <c r="K220" s="1991"/>
      <c r="L220" s="1991"/>
      <c r="M220" s="603">
        <f t="array" aca="1" ref="M220:X220" ca="1">B26:M26*Produção!$M$14</f>
        <v>0</v>
      </c>
      <c r="N220" s="603">
        <f ca="1"/>
        <v>0</v>
      </c>
      <c r="O220" s="603">
        <f ca="1"/>
        <v>0</v>
      </c>
      <c r="P220" s="603">
        <f ca="1"/>
        <v>0</v>
      </c>
      <c r="Q220" s="603">
        <f ca="1"/>
        <v>0</v>
      </c>
      <c r="R220" s="603">
        <f ca="1"/>
        <v>0</v>
      </c>
      <c r="S220" s="603">
        <f ca="1"/>
        <v>0</v>
      </c>
      <c r="T220" s="603">
        <f ca="1"/>
        <v>0</v>
      </c>
      <c r="U220" s="603">
        <f ca="1"/>
        <v>0</v>
      </c>
      <c r="V220" s="603">
        <f ca="1"/>
        <v>0</v>
      </c>
      <c r="W220" s="603">
        <f ca="1"/>
        <v>0</v>
      </c>
      <c r="X220" s="603">
        <f ca="1"/>
        <v>0</v>
      </c>
      <c r="Y220" s="2007">
        <f t="array" aca="1" ref="Y220:Y231" ca="1">'Distr CV 3'!M220:M231</f>
        <v>0</v>
      </c>
    </row>
    <row r="221" spans="1:25">
      <c r="A221" s="1995" t="str">
        <f>A$74</f>
        <v>2 meses antes</v>
      </c>
      <c r="B221" s="1991"/>
      <c r="C221" s="1991"/>
      <c r="D221" s="1991"/>
      <c r="E221" s="1991"/>
      <c r="F221" s="1991"/>
      <c r="G221" s="1991"/>
      <c r="H221" s="1991"/>
      <c r="I221" s="1991"/>
      <c r="J221" s="1991"/>
      <c r="K221" s="1991"/>
      <c r="L221" s="603">
        <f t="array" aca="1" ref="L221:W221" ca="1">B26:M26*Produção!$L$14</f>
        <v>0</v>
      </c>
      <c r="M221" s="603">
        <f ca="1"/>
        <v>0</v>
      </c>
      <c r="N221" s="603">
        <f ca="1"/>
        <v>0</v>
      </c>
      <c r="O221" s="603">
        <f ca="1"/>
        <v>0</v>
      </c>
      <c r="P221" s="603">
        <f ca="1"/>
        <v>0</v>
      </c>
      <c r="Q221" s="603">
        <f ca="1"/>
        <v>0</v>
      </c>
      <c r="R221" s="603">
        <f ca="1"/>
        <v>0</v>
      </c>
      <c r="S221" s="603">
        <f ca="1"/>
        <v>0</v>
      </c>
      <c r="T221" s="603">
        <f ca="1"/>
        <v>0</v>
      </c>
      <c r="U221" s="603">
        <f ca="1"/>
        <v>0</v>
      </c>
      <c r="V221" s="603">
        <f ca="1"/>
        <v>0</v>
      </c>
      <c r="W221" s="603">
        <f ca="1"/>
        <v>0</v>
      </c>
      <c r="X221" s="1988">
        <f t="array" aca="1" ref="X221:X231" ca="1">'Distr CV 3'!L221:L231</f>
        <v>0</v>
      </c>
      <c r="Y221" s="2007">
        <f ca="1"/>
        <v>0</v>
      </c>
    </row>
    <row r="222" spans="1:25">
      <c r="A222" s="1995" t="str">
        <f>A$75</f>
        <v>3 meses antes</v>
      </c>
      <c r="B222" s="1991"/>
      <c r="C222" s="1991"/>
      <c r="D222" s="1991"/>
      <c r="E222" s="1991"/>
      <c r="F222" s="1991"/>
      <c r="G222" s="1991"/>
      <c r="H222" s="1991"/>
      <c r="I222" s="1991"/>
      <c r="J222" s="1991"/>
      <c r="K222" s="603">
        <f t="array" aca="1" ref="K222:V222" ca="1">B26:M26*Produção!$K$14</f>
        <v>0</v>
      </c>
      <c r="L222" s="603">
        <f ca="1"/>
        <v>0</v>
      </c>
      <c r="M222" s="603">
        <f ca="1"/>
        <v>0</v>
      </c>
      <c r="N222" s="603">
        <f ca="1"/>
        <v>0</v>
      </c>
      <c r="O222" s="603">
        <f ca="1"/>
        <v>0</v>
      </c>
      <c r="P222" s="603">
        <f ca="1"/>
        <v>0</v>
      </c>
      <c r="Q222" s="603">
        <f ca="1"/>
        <v>0</v>
      </c>
      <c r="R222" s="603">
        <f ca="1"/>
        <v>0</v>
      </c>
      <c r="S222" s="603">
        <f ca="1"/>
        <v>0</v>
      </c>
      <c r="T222" s="603">
        <f ca="1"/>
        <v>0</v>
      </c>
      <c r="U222" s="603">
        <f ca="1"/>
        <v>0</v>
      </c>
      <c r="V222" s="603">
        <f ca="1"/>
        <v>0</v>
      </c>
      <c r="W222" s="1988">
        <f t="array" aca="1" ref="W222:W231" ca="1">'Distr CV 3'!K222:K231</f>
        <v>0</v>
      </c>
      <c r="X222" s="1988">
        <f ca="1"/>
        <v>0</v>
      </c>
      <c r="Y222" s="2007">
        <f ca="1"/>
        <v>0</v>
      </c>
    </row>
    <row r="223" spans="1:25">
      <c r="A223" s="1995" t="str">
        <f>A$76</f>
        <v>4 meses antes</v>
      </c>
      <c r="B223" s="1991"/>
      <c r="C223" s="1991"/>
      <c r="D223" s="1991"/>
      <c r="E223" s="1991"/>
      <c r="F223" s="1991"/>
      <c r="G223" s="1991"/>
      <c r="H223" s="1991"/>
      <c r="I223" s="1991"/>
      <c r="J223" s="603">
        <f t="array" aca="1" ref="J223:U223" ca="1">B26:M26*Produção!$J$14</f>
        <v>0</v>
      </c>
      <c r="K223" s="603">
        <f ca="1"/>
        <v>0</v>
      </c>
      <c r="L223" s="603">
        <f ca="1"/>
        <v>0</v>
      </c>
      <c r="M223" s="603">
        <f ca="1"/>
        <v>0</v>
      </c>
      <c r="N223" s="603">
        <f ca="1"/>
        <v>0</v>
      </c>
      <c r="O223" s="603">
        <f ca="1"/>
        <v>0</v>
      </c>
      <c r="P223" s="603">
        <f ca="1"/>
        <v>0</v>
      </c>
      <c r="Q223" s="603">
        <f ca="1"/>
        <v>0</v>
      </c>
      <c r="R223" s="603">
        <f ca="1"/>
        <v>0</v>
      </c>
      <c r="S223" s="603">
        <f ca="1"/>
        <v>0</v>
      </c>
      <c r="T223" s="603">
        <f ca="1"/>
        <v>0</v>
      </c>
      <c r="U223" s="603">
        <f ca="1"/>
        <v>0</v>
      </c>
      <c r="V223" s="1988">
        <f t="array" aca="1" ref="V223:V231" ca="1">'Distr CV 3'!J223:J231</f>
        <v>0</v>
      </c>
      <c r="W223" s="1988">
        <f ca="1"/>
        <v>0</v>
      </c>
      <c r="X223" s="1988">
        <f ca="1"/>
        <v>0</v>
      </c>
      <c r="Y223" s="2007">
        <f ca="1"/>
        <v>0</v>
      </c>
    </row>
    <row r="224" spans="1:25">
      <c r="A224" s="1995" t="str">
        <f>A$77</f>
        <v>5 meses antes</v>
      </c>
      <c r="B224" s="1991"/>
      <c r="C224" s="1991"/>
      <c r="D224" s="1991"/>
      <c r="E224" s="1991"/>
      <c r="F224" s="1991"/>
      <c r="G224" s="1991"/>
      <c r="H224" s="1991"/>
      <c r="I224" s="603">
        <f t="array" aca="1" ref="I224:T224" ca="1">B26:M26*Produção!$I$14</f>
        <v>0</v>
      </c>
      <c r="J224" s="603">
        <f ca="1"/>
        <v>0</v>
      </c>
      <c r="K224" s="603">
        <f ca="1"/>
        <v>0</v>
      </c>
      <c r="L224" s="603">
        <f ca="1"/>
        <v>0</v>
      </c>
      <c r="M224" s="603">
        <f ca="1"/>
        <v>0</v>
      </c>
      <c r="N224" s="603">
        <f ca="1"/>
        <v>0</v>
      </c>
      <c r="O224" s="603">
        <f ca="1"/>
        <v>0</v>
      </c>
      <c r="P224" s="603">
        <f ca="1"/>
        <v>0</v>
      </c>
      <c r="Q224" s="603">
        <f ca="1"/>
        <v>0</v>
      </c>
      <c r="R224" s="603">
        <f ca="1"/>
        <v>0</v>
      </c>
      <c r="S224" s="603">
        <f ca="1"/>
        <v>0</v>
      </c>
      <c r="T224" s="603">
        <f ca="1"/>
        <v>0</v>
      </c>
      <c r="U224" s="1988">
        <f t="array" aca="1" ref="U224:U231" ca="1">'Distr CV 3'!I224:I231</f>
        <v>0</v>
      </c>
      <c r="V224" s="1988">
        <f ca="1"/>
        <v>0</v>
      </c>
      <c r="W224" s="1988">
        <f ca="1"/>
        <v>0</v>
      </c>
      <c r="X224" s="1988">
        <f ca="1"/>
        <v>0</v>
      </c>
      <c r="Y224" s="2007">
        <f ca="1"/>
        <v>0</v>
      </c>
    </row>
    <row r="225" spans="1:25">
      <c r="A225" s="1995" t="str">
        <f>A$78</f>
        <v>6 meses antes</v>
      </c>
      <c r="B225" s="1991"/>
      <c r="C225" s="1991"/>
      <c r="D225" s="1991"/>
      <c r="E225" s="1991"/>
      <c r="F225" s="1991"/>
      <c r="G225" s="1991"/>
      <c r="H225" s="603">
        <f t="array" aca="1" ref="H225:S225" ca="1">B26:M26*Produção!$H$14</f>
        <v>0</v>
      </c>
      <c r="I225" s="603">
        <f ca="1"/>
        <v>0</v>
      </c>
      <c r="J225" s="603">
        <f ca="1"/>
        <v>0</v>
      </c>
      <c r="K225" s="603">
        <f ca="1"/>
        <v>0</v>
      </c>
      <c r="L225" s="603">
        <f ca="1"/>
        <v>0</v>
      </c>
      <c r="M225" s="603">
        <f ca="1"/>
        <v>0</v>
      </c>
      <c r="N225" s="603">
        <f ca="1"/>
        <v>0</v>
      </c>
      <c r="O225" s="603">
        <f ca="1"/>
        <v>0</v>
      </c>
      <c r="P225" s="603">
        <f ca="1"/>
        <v>0</v>
      </c>
      <c r="Q225" s="603">
        <f ca="1"/>
        <v>0</v>
      </c>
      <c r="R225" s="603">
        <f ca="1"/>
        <v>0</v>
      </c>
      <c r="S225" s="603">
        <f ca="1"/>
        <v>0</v>
      </c>
      <c r="T225" s="1988">
        <f t="array" aca="1" ref="T225:T231" ca="1">'Distr CV 3'!H225:H231</f>
        <v>0</v>
      </c>
      <c r="U225" s="1988">
        <f ca="1"/>
        <v>0</v>
      </c>
      <c r="V225" s="1988">
        <f ca="1"/>
        <v>0</v>
      </c>
      <c r="W225" s="1988">
        <f ca="1"/>
        <v>0</v>
      </c>
      <c r="X225" s="1988">
        <f ca="1"/>
        <v>0</v>
      </c>
      <c r="Y225" s="2007">
        <f ca="1"/>
        <v>0</v>
      </c>
    </row>
    <row r="226" spans="1:25">
      <c r="A226" s="1995" t="str">
        <f>A$79</f>
        <v>7 meses antes</v>
      </c>
      <c r="B226" s="1991"/>
      <c r="C226" s="1991"/>
      <c r="D226" s="1991"/>
      <c r="E226" s="1991"/>
      <c r="F226" s="1991"/>
      <c r="G226" s="603">
        <f t="array" aca="1" ref="G226:R226" ca="1">B26:M26*Produção!$G$14</f>
        <v>0</v>
      </c>
      <c r="H226" s="603">
        <f ca="1"/>
        <v>0</v>
      </c>
      <c r="I226" s="603">
        <f ca="1"/>
        <v>0</v>
      </c>
      <c r="J226" s="603">
        <f ca="1"/>
        <v>0</v>
      </c>
      <c r="K226" s="603">
        <f ca="1"/>
        <v>0</v>
      </c>
      <c r="L226" s="603">
        <f ca="1"/>
        <v>0</v>
      </c>
      <c r="M226" s="603">
        <f ca="1"/>
        <v>0</v>
      </c>
      <c r="N226" s="603">
        <f ca="1"/>
        <v>0</v>
      </c>
      <c r="O226" s="603">
        <f ca="1"/>
        <v>0</v>
      </c>
      <c r="P226" s="603">
        <f ca="1"/>
        <v>0</v>
      </c>
      <c r="Q226" s="603">
        <f ca="1"/>
        <v>0</v>
      </c>
      <c r="R226" s="603">
        <f ca="1"/>
        <v>0</v>
      </c>
      <c r="S226" s="1992">
        <f t="array" aca="1" ref="S226:S231" ca="1">'Distr CV 3'!G226:G231</f>
        <v>0</v>
      </c>
      <c r="T226" s="1992">
        <f ca="1"/>
        <v>0</v>
      </c>
      <c r="U226" s="1992">
        <f ca="1"/>
        <v>0</v>
      </c>
      <c r="V226" s="1992">
        <f ca="1"/>
        <v>0</v>
      </c>
      <c r="W226" s="1992">
        <f ca="1"/>
        <v>0</v>
      </c>
      <c r="X226" s="1992">
        <f ca="1"/>
        <v>0</v>
      </c>
      <c r="Y226" s="2010">
        <f ca="1"/>
        <v>0</v>
      </c>
    </row>
    <row r="227" spans="1:25">
      <c r="A227" s="1995" t="str">
        <f>A$80</f>
        <v>8 meses antes</v>
      </c>
      <c r="B227" s="1991"/>
      <c r="C227" s="1991"/>
      <c r="D227" s="1991"/>
      <c r="E227" s="1991"/>
      <c r="F227" s="603">
        <f t="array" aca="1" ref="F227:Q227" ca="1">B26:M26*Produção!$F$14</f>
        <v>0</v>
      </c>
      <c r="G227" s="603">
        <f ca="1"/>
        <v>0</v>
      </c>
      <c r="H227" s="603">
        <f ca="1"/>
        <v>0</v>
      </c>
      <c r="I227" s="603">
        <f ca="1"/>
        <v>0</v>
      </c>
      <c r="J227" s="603">
        <f ca="1"/>
        <v>0</v>
      </c>
      <c r="K227" s="603">
        <f ca="1"/>
        <v>0</v>
      </c>
      <c r="L227" s="603">
        <f ca="1"/>
        <v>0</v>
      </c>
      <c r="M227" s="603">
        <f ca="1"/>
        <v>0</v>
      </c>
      <c r="N227" s="603">
        <f ca="1"/>
        <v>0</v>
      </c>
      <c r="O227" s="603">
        <f ca="1"/>
        <v>0</v>
      </c>
      <c r="P227" s="603">
        <f ca="1"/>
        <v>0</v>
      </c>
      <c r="Q227" s="603">
        <f ca="1"/>
        <v>0</v>
      </c>
      <c r="R227" s="1992">
        <f t="array" aca="1" ref="R227:R231" ca="1">'Distr CV 3'!F227:F231</f>
        <v>0</v>
      </c>
      <c r="S227" s="1992">
        <f ca="1"/>
        <v>0</v>
      </c>
      <c r="T227" s="1992">
        <f ca="1"/>
        <v>0</v>
      </c>
      <c r="U227" s="1992">
        <f ca="1"/>
        <v>0</v>
      </c>
      <c r="V227" s="1992">
        <f ca="1"/>
        <v>0</v>
      </c>
      <c r="W227" s="1992">
        <f ca="1"/>
        <v>0</v>
      </c>
      <c r="X227" s="1992">
        <f ca="1"/>
        <v>0</v>
      </c>
      <c r="Y227" s="2010">
        <f ca="1"/>
        <v>0</v>
      </c>
    </row>
    <row r="228" spans="1:25">
      <c r="A228" s="1995" t="str">
        <f>A$81</f>
        <v>9 meses antes</v>
      </c>
      <c r="B228" s="1991"/>
      <c r="C228" s="1991"/>
      <c r="D228" s="1991"/>
      <c r="E228" s="603">
        <f t="array" aca="1" ref="E228:P228" ca="1">B26:M26*Produção!$E$14</f>
        <v>0</v>
      </c>
      <c r="F228" s="603">
        <f ca="1"/>
        <v>0</v>
      </c>
      <c r="G228" s="603">
        <f ca="1"/>
        <v>0</v>
      </c>
      <c r="H228" s="603">
        <f ca="1"/>
        <v>0</v>
      </c>
      <c r="I228" s="603">
        <f ca="1"/>
        <v>0</v>
      </c>
      <c r="J228" s="603">
        <f ca="1"/>
        <v>0</v>
      </c>
      <c r="K228" s="603">
        <f ca="1"/>
        <v>0</v>
      </c>
      <c r="L228" s="603">
        <f ca="1"/>
        <v>0</v>
      </c>
      <c r="M228" s="603">
        <f ca="1"/>
        <v>0</v>
      </c>
      <c r="N228" s="603">
        <f ca="1"/>
        <v>0</v>
      </c>
      <c r="O228" s="603">
        <f ca="1"/>
        <v>0</v>
      </c>
      <c r="P228" s="603">
        <f ca="1"/>
        <v>0</v>
      </c>
      <c r="Q228" s="1992">
        <f t="array" aca="1" ref="Q228:Q231" ca="1">'Distr CV 3'!E228:E231</f>
        <v>0</v>
      </c>
      <c r="R228" s="1992">
        <f ca="1"/>
        <v>0</v>
      </c>
      <c r="S228" s="1992">
        <f ca="1"/>
        <v>0</v>
      </c>
      <c r="T228" s="1992">
        <f ca="1"/>
        <v>0</v>
      </c>
      <c r="U228" s="1992">
        <f ca="1"/>
        <v>0</v>
      </c>
      <c r="V228" s="1992">
        <f ca="1"/>
        <v>0</v>
      </c>
      <c r="W228" s="1992">
        <f ca="1"/>
        <v>0</v>
      </c>
      <c r="X228" s="1992">
        <f ca="1"/>
        <v>0</v>
      </c>
      <c r="Y228" s="2010">
        <f ca="1"/>
        <v>0</v>
      </c>
    </row>
    <row r="229" spans="1:25">
      <c r="A229" s="1995" t="str">
        <f>A$82</f>
        <v>10 meses antes</v>
      </c>
      <c r="B229" s="1991"/>
      <c r="C229" s="1991"/>
      <c r="D229" s="603">
        <f t="array" aca="1" ref="D229:O229" ca="1">B26:M26*Produção!$D$14</f>
        <v>0</v>
      </c>
      <c r="E229" s="603">
        <f ca="1"/>
        <v>0</v>
      </c>
      <c r="F229" s="603">
        <f ca="1"/>
        <v>0</v>
      </c>
      <c r="G229" s="603">
        <f ca="1"/>
        <v>0</v>
      </c>
      <c r="H229" s="603">
        <f ca="1"/>
        <v>0</v>
      </c>
      <c r="I229" s="603">
        <f ca="1"/>
        <v>0</v>
      </c>
      <c r="J229" s="603">
        <f ca="1"/>
        <v>0</v>
      </c>
      <c r="K229" s="603">
        <f ca="1"/>
        <v>0</v>
      </c>
      <c r="L229" s="603">
        <f ca="1"/>
        <v>0</v>
      </c>
      <c r="M229" s="603">
        <f ca="1"/>
        <v>0</v>
      </c>
      <c r="N229" s="603">
        <f ca="1"/>
        <v>0</v>
      </c>
      <c r="O229" s="603">
        <f ca="1"/>
        <v>0</v>
      </c>
      <c r="P229" s="1992">
        <f t="array" aca="1" ref="P229:P231" ca="1">'Distr CV 3'!D229:D231</f>
        <v>0</v>
      </c>
      <c r="Q229" s="1992">
        <f ca="1"/>
        <v>0</v>
      </c>
      <c r="R229" s="1992">
        <f ca="1"/>
        <v>0</v>
      </c>
      <c r="S229" s="1992">
        <f ca="1"/>
        <v>0</v>
      </c>
      <c r="T229" s="1992">
        <f ca="1"/>
        <v>0</v>
      </c>
      <c r="U229" s="1992">
        <f ca="1"/>
        <v>0</v>
      </c>
      <c r="V229" s="1992">
        <f ca="1"/>
        <v>0</v>
      </c>
      <c r="W229" s="1992">
        <f ca="1"/>
        <v>0</v>
      </c>
      <c r="X229" s="1992">
        <f ca="1"/>
        <v>0</v>
      </c>
      <c r="Y229" s="2010">
        <f ca="1"/>
        <v>0</v>
      </c>
    </row>
    <row r="230" spans="1:25">
      <c r="A230" s="1995" t="str">
        <f>A$83</f>
        <v>11 meses antes</v>
      </c>
      <c r="B230" s="1991"/>
      <c r="C230" s="603">
        <f t="array" aca="1" ref="C230:N230" ca="1">B26:M26*Produção!$C$14</f>
        <v>0</v>
      </c>
      <c r="D230" s="603">
        <f ca="1"/>
        <v>0</v>
      </c>
      <c r="E230" s="603">
        <f ca="1"/>
        <v>0</v>
      </c>
      <c r="F230" s="603">
        <f ca="1"/>
        <v>0</v>
      </c>
      <c r="G230" s="603">
        <f ca="1"/>
        <v>0</v>
      </c>
      <c r="H230" s="603">
        <f ca="1"/>
        <v>0</v>
      </c>
      <c r="I230" s="603">
        <f ca="1"/>
        <v>0</v>
      </c>
      <c r="J230" s="603">
        <f ca="1"/>
        <v>0</v>
      </c>
      <c r="K230" s="603">
        <f ca="1"/>
        <v>0</v>
      </c>
      <c r="L230" s="603">
        <f ca="1"/>
        <v>0</v>
      </c>
      <c r="M230" s="603">
        <f ca="1"/>
        <v>0</v>
      </c>
      <c r="N230" s="603">
        <f ca="1"/>
        <v>0</v>
      </c>
      <c r="O230" s="1992">
        <f ca="1">'Distr CV 3'!C230</f>
        <v>0</v>
      </c>
      <c r="P230" s="1992">
        <f ca="1"/>
        <v>0</v>
      </c>
      <c r="Q230" s="1992">
        <f ca="1"/>
        <v>0</v>
      </c>
      <c r="R230" s="1992">
        <f ca="1"/>
        <v>0</v>
      </c>
      <c r="S230" s="1992">
        <f ca="1"/>
        <v>0</v>
      </c>
      <c r="T230" s="1992">
        <f ca="1"/>
        <v>0</v>
      </c>
      <c r="U230" s="1992">
        <f ca="1"/>
        <v>0</v>
      </c>
      <c r="V230" s="1992">
        <f ca="1"/>
        <v>0</v>
      </c>
      <c r="W230" s="1992">
        <f ca="1"/>
        <v>0</v>
      </c>
      <c r="X230" s="1992">
        <f ca="1"/>
        <v>0</v>
      </c>
      <c r="Y230" s="2010">
        <f ca="1"/>
        <v>0</v>
      </c>
    </row>
    <row r="231" spans="1:25" ht="13.5" thickBot="1">
      <c r="A231" s="1995" t="str">
        <f>A$84</f>
        <v>12 meses antes</v>
      </c>
      <c r="B231" s="603">
        <f t="array" aca="1" ref="B231:M231" ca="1">B26:M26*Produção!$B$14</f>
        <v>0</v>
      </c>
      <c r="C231" s="603">
        <f ca="1"/>
        <v>0</v>
      </c>
      <c r="D231" s="603">
        <f ca="1"/>
        <v>0</v>
      </c>
      <c r="E231" s="603">
        <f ca="1"/>
        <v>0</v>
      </c>
      <c r="F231" s="603">
        <f ca="1"/>
        <v>0</v>
      </c>
      <c r="G231" s="603">
        <f ca="1"/>
        <v>0</v>
      </c>
      <c r="H231" s="603">
        <f ca="1"/>
        <v>0</v>
      </c>
      <c r="I231" s="603">
        <f ca="1"/>
        <v>0</v>
      </c>
      <c r="J231" s="603">
        <f ca="1"/>
        <v>0</v>
      </c>
      <c r="K231" s="603">
        <f ca="1"/>
        <v>0</v>
      </c>
      <c r="L231" s="603">
        <f ca="1"/>
        <v>0</v>
      </c>
      <c r="M231" s="603">
        <f ca="1"/>
        <v>0</v>
      </c>
      <c r="N231" s="1991">
        <f ca="1">'Distr CV 3'!B231</f>
        <v>0</v>
      </c>
      <c r="O231" s="1992">
        <f ca="1">'Distr CV 3'!C231</f>
        <v>0</v>
      </c>
      <c r="P231" s="1992">
        <f ca="1"/>
        <v>0</v>
      </c>
      <c r="Q231" s="1992">
        <f ca="1"/>
        <v>0</v>
      </c>
      <c r="R231" s="1992">
        <f ca="1"/>
        <v>0</v>
      </c>
      <c r="S231" s="1992">
        <f ca="1"/>
        <v>0</v>
      </c>
      <c r="T231" s="1992">
        <f ca="1"/>
        <v>0</v>
      </c>
      <c r="U231" s="1992">
        <f ca="1"/>
        <v>0</v>
      </c>
      <c r="V231" s="1992">
        <f ca="1"/>
        <v>0</v>
      </c>
      <c r="W231" s="1992">
        <f ca="1"/>
        <v>0</v>
      </c>
      <c r="X231" s="1992">
        <f ca="1"/>
        <v>0</v>
      </c>
      <c r="Y231" s="2010">
        <f ca="1"/>
        <v>0</v>
      </c>
    </row>
    <row r="232" spans="1:25" ht="13.5" thickBot="1">
      <c r="A232" s="105" t="str">
        <f>"Totales CV "&amp;A$14</f>
        <v xml:space="preserve">Totales CV </v>
      </c>
      <c r="B232" s="607">
        <f t="shared" ref="B232:Y232" ca="1" si="17">SUM(B219:B231)</f>
        <v>0</v>
      </c>
      <c r="C232" s="607">
        <f t="shared" ca="1" si="17"/>
        <v>0</v>
      </c>
      <c r="D232" s="607">
        <f t="shared" ca="1" si="17"/>
        <v>0</v>
      </c>
      <c r="E232" s="607">
        <f t="shared" ca="1" si="17"/>
        <v>0</v>
      </c>
      <c r="F232" s="607">
        <f t="shared" ca="1" si="17"/>
        <v>0</v>
      </c>
      <c r="G232" s="607">
        <f t="shared" ca="1" si="17"/>
        <v>0</v>
      </c>
      <c r="H232" s="607">
        <f t="shared" ca="1" si="17"/>
        <v>0</v>
      </c>
      <c r="I232" s="607">
        <f t="shared" ca="1" si="17"/>
        <v>0</v>
      </c>
      <c r="J232" s="607">
        <f t="shared" ca="1" si="17"/>
        <v>0</v>
      </c>
      <c r="K232" s="607">
        <f t="shared" ca="1" si="17"/>
        <v>0</v>
      </c>
      <c r="L232" s="607">
        <f t="shared" ca="1" si="17"/>
        <v>0</v>
      </c>
      <c r="M232" s="607">
        <f t="shared" ca="1" si="17"/>
        <v>0</v>
      </c>
      <c r="N232" s="607">
        <f t="shared" ca="1" si="17"/>
        <v>0</v>
      </c>
      <c r="O232" s="607">
        <f t="shared" ca="1" si="17"/>
        <v>0</v>
      </c>
      <c r="P232" s="607">
        <f t="shared" ca="1" si="17"/>
        <v>0</v>
      </c>
      <c r="Q232" s="607">
        <f t="shared" ca="1" si="17"/>
        <v>0</v>
      </c>
      <c r="R232" s="607">
        <f t="shared" ca="1" si="17"/>
        <v>0</v>
      </c>
      <c r="S232" s="607">
        <f t="shared" ca="1" si="17"/>
        <v>0</v>
      </c>
      <c r="T232" s="607">
        <f t="shared" ca="1" si="17"/>
        <v>0</v>
      </c>
      <c r="U232" s="607">
        <f t="shared" ca="1" si="17"/>
        <v>0</v>
      </c>
      <c r="V232" s="607">
        <f t="shared" ca="1" si="17"/>
        <v>0</v>
      </c>
      <c r="W232" s="607">
        <f t="shared" ca="1" si="17"/>
        <v>0</v>
      </c>
      <c r="X232" s="607">
        <f t="shared" ca="1" si="17"/>
        <v>0</v>
      </c>
      <c r="Y232" s="2008">
        <f t="shared" ca="1" si="17"/>
        <v>0</v>
      </c>
    </row>
    <row r="233" spans="1:25" ht="13.5" thickBot="1">
      <c r="A233" s="105" t="str">
        <f>'Dados Básicos'!A28&amp;" sop. CV "&amp;$A$14</f>
        <v xml:space="preserve">IVA sop. CV </v>
      </c>
      <c r="B233" s="607">
        <f t="array" aca="1" ref="B233:Y233" ca="1">$K$217*B232:Y232</f>
        <v>0</v>
      </c>
      <c r="C233" s="607">
        <f ca="1"/>
        <v>0</v>
      </c>
      <c r="D233" s="607">
        <f ca="1"/>
        <v>0</v>
      </c>
      <c r="E233" s="607">
        <f ca="1"/>
        <v>0</v>
      </c>
      <c r="F233" s="607">
        <f ca="1"/>
        <v>0</v>
      </c>
      <c r="G233" s="607">
        <f ca="1"/>
        <v>0</v>
      </c>
      <c r="H233" s="607">
        <f ca="1"/>
        <v>0</v>
      </c>
      <c r="I233" s="607">
        <f ca="1"/>
        <v>0</v>
      </c>
      <c r="J233" s="607">
        <f ca="1"/>
        <v>0</v>
      </c>
      <c r="K233" s="607">
        <f ca="1"/>
        <v>0</v>
      </c>
      <c r="L233" s="607">
        <f ca="1"/>
        <v>0</v>
      </c>
      <c r="M233" s="607">
        <f ca="1"/>
        <v>0</v>
      </c>
      <c r="N233" s="607">
        <f ca="1"/>
        <v>0</v>
      </c>
      <c r="O233" s="607">
        <f ca="1"/>
        <v>0</v>
      </c>
      <c r="P233" s="607">
        <f ca="1"/>
        <v>0</v>
      </c>
      <c r="Q233" s="607">
        <f ca="1"/>
        <v>0</v>
      </c>
      <c r="R233" s="607">
        <f ca="1"/>
        <v>0</v>
      </c>
      <c r="S233" s="607">
        <f ca="1"/>
        <v>0</v>
      </c>
      <c r="T233" s="607">
        <f ca="1"/>
        <v>0</v>
      </c>
      <c r="U233" s="607">
        <f ca="1"/>
        <v>0</v>
      </c>
      <c r="V233" s="607">
        <f ca="1"/>
        <v>0</v>
      </c>
      <c r="W233" s="607">
        <f ca="1"/>
        <v>0</v>
      </c>
      <c r="X233" s="607">
        <f ca="1"/>
        <v>0</v>
      </c>
      <c r="Y233" s="2008">
        <f ca="1"/>
        <v>0</v>
      </c>
    </row>
    <row r="235" spans="1:25" ht="18.75" thickBot="1">
      <c r="A235" s="1993" t="str">
        <f>'Distr CV 0'!A235</f>
        <v xml:space="preserve">Compras / custos de producción por meses de </v>
      </c>
      <c r="I235" s="1993" t="str">
        <f>$I$109</f>
        <v>IVA NÃO incluido</v>
      </c>
      <c r="K235" s="2005">
        <f>Parametros!$F$31</f>
        <v>0.21</v>
      </c>
    </row>
    <row r="236" spans="1:25" ht="30" customHeight="1" thickBot="1">
      <c r="A236" s="457" t="str">
        <f>'Distr CV 0'!A236</f>
        <v>mes de compra / custo</v>
      </c>
      <c r="B236" s="2011" t="str">
        <f t="array" ref="B236:Y236">B$71:Y$71</f>
        <v>janeiro 
2027</v>
      </c>
      <c r="C236" s="2011" t="str">
        <v>fevereiro 
2027</v>
      </c>
      <c r="D236" s="2011" t="str">
        <v>março 
2027</v>
      </c>
      <c r="E236" s="2011" t="str">
        <v>abril 
2027</v>
      </c>
      <c r="F236" s="2011" t="str">
        <v>maio 
2027</v>
      </c>
      <c r="G236" s="2011" t="str">
        <v>junho 
2027</v>
      </c>
      <c r="H236" s="2011" t="str">
        <v>julho 
2027</v>
      </c>
      <c r="I236" s="2011" t="str">
        <v>agosto 
2027</v>
      </c>
      <c r="J236" s="2011" t="str">
        <v>setembro 
2027</v>
      </c>
      <c r="K236" s="2011" t="str">
        <v>outubro 
2027</v>
      </c>
      <c r="L236" s="2011" t="str">
        <v>novembro 
2027</v>
      </c>
      <c r="M236" s="2011" t="str">
        <v>dezembro 
2027</v>
      </c>
      <c r="N236" s="2734" t="str">
        <v>janeiro 
2028</v>
      </c>
      <c r="O236" s="2735" t="str">
        <v>fevereiro 
2028</v>
      </c>
      <c r="P236" s="2735" t="str">
        <v>março 
2028</v>
      </c>
      <c r="Q236" s="2735" t="str">
        <v>abril 
2028</v>
      </c>
      <c r="R236" s="2735" t="str">
        <v>maio 
2028</v>
      </c>
      <c r="S236" s="2735" t="str">
        <v>junho 
2028</v>
      </c>
      <c r="T236" s="2735" t="str">
        <v>julho 
2028</v>
      </c>
      <c r="U236" s="2735" t="str">
        <v>agosto 
2028</v>
      </c>
      <c r="V236" s="2735" t="str">
        <v>setembro 
2028</v>
      </c>
      <c r="W236" s="2735" t="str">
        <v>outubro 
2028</v>
      </c>
      <c r="X236" s="2735" t="str">
        <v>novembro 
2028</v>
      </c>
      <c r="Y236" s="2736" t="str">
        <v>dezembro 
2028</v>
      </c>
    </row>
    <row r="237" spans="1:25">
      <c r="A237" s="1994" t="str">
        <f>A$72</f>
        <v>mismo mes</v>
      </c>
      <c r="B237" s="1991"/>
      <c r="C237" s="1991"/>
      <c r="D237" s="1991"/>
      <c r="E237" s="1991"/>
      <c r="F237" s="1991"/>
      <c r="G237" s="1991"/>
      <c r="H237" s="1991"/>
      <c r="I237" s="1991"/>
      <c r="J237" s="1991"/>
      <c r="K237" s="1991"/>
      <c r="L237" s="1991"/>
      <c r="M237" s="1991"/>
      <c r="N237" s="603">
        <f t="array" aca="1" ref="N237:Y237" ca="1">B27:M27*Produção!$N$15</f>
        <v>0</v>
      </c>
      <c r="O237" s="603">
        <f ca="1"/>
        <v>0</v>
      </c>
      <c r="P237" s="603">
        <f ca="1"/>
        <v>0</v>
      </c>
      <c r="Q237" s="603">
        <f ca="1"/>
        <v>0</v>
      </c>
      <c r="R237" s="603">
        <f ca="1"/>
        <v>0</v>
      </c>
      <c r="S237" s="603">
        <f ca="1"/>
        <v>0</v>
      </c>
      <c r="T237" s="603">
        <f ca="1"/>
        <v>0</v>
      </c>
      <c r="U237" s="603">
        <f ca="1"/>
        <v>0</v>
      </c>
      <c r="V237" s="603">
        <f ca="1"/>
        <v>0</v>
      </c>
      <c r="W237" s="603">
        <f ca="1"/>
        <v>0</v>
      </c>
      <c r="X237" s="603">
        <f ca="1"/>
        <v>0</v>
      </c>
      <c r="Y237" s="2006">
        <f ca="1"/>
        <v>0</v>
      </c>
    </row>
    <row r="238" spans="1:25">
      <c r="A238" s="1995" t="str">
        <f>A$73</f>
        <v>1 mes antes</v>
      </c>
      <c r="B238" s="1991"/>
      <c r="C238" s="1991"/>
      <c r="D238" s="1991"/>
      <c r="E238" s="1991"/>
      <c r="F238" s="1991"/>
      <c r="G238" s="1991"/>
      <c r="H238" s="1991"/>
      <c r="I238" s="1991"/>
      <c r="J238" s="1991"/>
      <c r="K238" s="1991"/>
      <c r="L238" s="1991"/>
      <c r="M238" s="603">
        <f t="array" aca="1" ref="M238:X238" ca="1">B27:M27*Produção!$M$15</f>
        <v>0</v>
      </c>
      <c r="N238" s="603">
        <f ca="1"/>
        <v>0</v>
      </c>
      <c r="O238" s="603">
        <f ca="1"/>
        <v>0</v>
      </c>
      <c r="P238" s="603">
        <f ca="1"/>
        <v>0</v>
      </c>
      <c r="Q238" s="603">
        <f ca="1"/>
        <v>0</v>
      </c>
      <c r="R238" s="603">
        <f ca="1"/>
        <v>0</v>
      </c>
      <c r="S238" s="603">
        <f ca="1"/>
        <v>0</v>
      </c>
      <c r="T238" s="603">
        <f ca="1"/>
        <v>0</v>
      </c>
      <c r="U238" s="603">
        <f ca="1"/>
        <v>0</v>
      </c>
      <c r="V238" s="603">
        <f ca="1"/>
        <v>0</v>
      </c>
      <c r="W238" s="603">
        <f ca="1"/>
        <v>0</v>
      </c>
      <c r="X238" s="603">
        <f ca="1"/>
        <v>0</v>
      </c>
      <c r="Y238" s="2007">
        <f t="array" aca="1" ref="Y238:Y249" ca="1">'Distr CV 3'!M238:M249</f>
        <v>0</v>
      </c>
    </row>
    <row r="239" spans="1:25">
      <c r="A239" s="1995" t="str">
        <f>A$74</f>
        <v>2 meses antes</v>
      </c>
      <c r="B239" s="1991"/>
      <c r="C239" s="1991"/>
      <c r="D239" s="1991"/>
      <c r="E239" s="1991"/>
      <c r="F239" s="1991"/>
      <c r="G239" s="1991"/>
      <c r="H239" s="1991"/>
      <c r="I239" s="1991"/>
      <c r="J239" s="1991"/>
      <c r="K239" s="1991"/>
      <c r="L239" s="603">
        <f t="array" aca="1" ref="L239:W239" ca="1">B27:M27*Produção!$L$15</f>
        <v>0</v>
      </c>
      <c r="M239" s="603">
        <f ca="1"/>
        <v>0</v>
      </c>
      <c r="N239" s="603">
        <f ca="1"/>
        <v>0</v>
      </c>
      <c r="O239" s="603">
        <f ca="1"/>
        <v>0</v>
      </c>
      <c r="P239" s="603">
        <f ca="1"/>
        <v>0</v>
      </c>
      <c r="Q239" s="603">
        <f ca="1"/>
        <v>0</v>
      </c>
      <c r="R239" s="603">
        <f ca="1"/>
        <v>0</v>
      </c>
      <c r="S239" s="603">
        <f ca="1"/>
        <v>0</v>
      </c>
      <c r="T239" s="603">
        <f ca="1"/>
        <v>0</v>
      </c>
      <c r="U239" s="603">
        <f ca="1"/>
        <v>0</v>
      </c>
      <c r="V239" s="603">
        <f ca="1"/>
        <v>0</v>
      </c>
      <c r="W239" s="603">
        <f ca="1"/>
        <v>0</v>
      </c>
      <c r="X239" s="1988">
        <f t="array" aca="1" ref="X239:X249" ca="1">'Distr CV 3'!L239:L249</f>
        <v>0</v>
      </c>
      <c r="Y239" s="2007">
        <f ca="1"/>
        <v>0</v>
      </c>
    </row>
    <row r="240" spans="1:25">
      <c r="A240" s="1995" t="str">
        <f>A$75</f>
        <v>3 meses antes</v>
      </c>
      <c r="B240" s="1991"/>
      <c r="C240" s="1991"/>
      <c r="D240" s="1991"/>
      <c r="E240" s="1991"/>
      <c r="F240" s="1991"/>
      <c r="G240" s="1991"/>
      <c r="H240" s="1991"/>
      <c r="I240" s="1991"/>
      <c r="J240" s="1991"/>
      <c r="K240" s="603">
        <f t="array" aca="1" ref="K240:V240" ca="1">B27:M27*Produção!$K$15</f>
        <v>0</v>
      </c>
      <c r="L240" s="603">
        <f ca="1"/>
        <v>0</v>
      </c>
      <c r="M240" s="603">
        <f ca="1"/>
        <v>0</v>
      </c>
      <c r="N240" s="603">
        <f ca="1"/>
        <v>0</v>
      </c>
      <c r="O240" s="603">
        <f ca="1"/>
        <v>0</v>
      </c>
      <c r="P240" s="603">
        <f ca="1"/>
        <v>0</v>
      </c>
      <c r="Q240" s="603">
        <f ca="1"/>
        <v>0</v>
      </c>
      <c r="R240" s="603">
        <f ca="1"/>
        <v>0</v>
      </c>
      <c r="S240" s="603">
        <f ca="1"/>
        <v>0</v>
      </c>
      <c r="T240" s="603">
        <f ca="1"/>
        <v>0</v>
      </c>
      <c r="U240" s="603">
        <f ca="1"/>
        <v>0</v>
      </c>
      <c r="V240" s="603">
        <f ca="1"/>
        <v>0</v>
      </c>
      <c r="W240" s="1988">
        <f t="array" aca="1" ref="W240:W249" ca="1">'Distr CV 3'!K240:K249</f>
        <v>0</v>
      </c>
      <c r="X240" s="1988">
        <f ca="1"/>
        <v>0</v>
      </c>
      <c r="Y240" s="2007">
        <f ca="1"/>
        <v>0</v>
      </c>
    </row>
    <row r="241" spans="1:25">
      <c r="A241" s="1995" t="str">
        <f>A$76</f>
        <v>4 meses antes</v>
      </c>
      <c r="B241" s="1991"/>
      <c r="C241" s="1991"/>
      <c r="D241" s="1991"/>
      <c r="E241" s="1991"/>
      <c r="F241" s="1991"/>
      <c r="G241" s="1991"/>
      <c r="H241" s="1991"/>
      <c r="I241" s="1991"/>
      <c r="J241" s="603">
        <f t="array" aca="1" ref="J241:U241" ca="1">B27:M27*Produção!$J$15</f>
        <v>0</v>
      </c>
      <c r="K241" s="603">
        <f ca="1"/>
        <v>0</v>
      </c>
      <c r="L241" s="603">
        <f ca="1"/>
        <v>0</v>
      </c>
      <c r="M241" s="603">
        <f ca="1"/>
        <v>0</v>
      </c>
      <c r="N241" s="603">
        <f ca="1"/>
        <v>0</v>
      </c>
      <c r="O241" s="603">
        <f ca="1"/>
        <v>0</v>
      </c>
      <c r="P241" s="603">
        <f ca="1"/>
        <v>0</v>
      </c>
      <c r="Q241" s="603">
        <f ca="1"/>
        <v>0</v>
      </c>
      <c r="R241" s="603">
        <f ca="1"/>
        <v>0</v>
      </c>
      <c r="S241" s="603">
        <f ca="1"/>
        <v>0</v>
      </c>
      <c r="T241" s="603">
        <f ca="1"/>
        <v>0</v>
      </c>
      <c r="U241" s="603">
        <f ca="1"/>
        <v>0</v>
      </c>
      <c r="V241" s="1988">
        <f t="array" aca="1" ref="V241:V249" ca="1">'Distr CV 3'!J241:J249</f>
        <v>0</v>
      </c>
      <c r="W241" s="1988">
        <f ca="1"/>
        <v>0</v>
      </c>
      <c r="X241" s="1988">
        <f ca="1"/>
        <v>0</v>
      </c>
      <c r="Y241" s="2007">
        <f ca="1"/>
        <v>0</v>
      </c>
    </row>
    <row r="242" spans="1:25">
      <c r="A242" s="1995" t="str">
        <f>A$77</f>
        <v>5 meses antes</v>
      </c>
      <c r="B242" s="1991"/>
      <c r="C242" s="1991"/>
      <c r="D242" s="1991"/>
      <c r="E242" s="1991"/>
      <c r="F242" s="1991"/>
      <c r="G242" s="1991"/>
      <c r="H242" s="1991"/>
      <c r="I242" s="603">
        <f t="array" aca="1" ref="I242:T242" ca="1">B27:M27*Produção!$I$15</f>
        <v>0</v>
      </c>
      <c r="J242" s="603">
        <f ca="1"/>
        <v>0</v>
      </c>
      <c r="K242" s="603">
        <f ca="1"/>
        <v>0</v>
      </c>
      <c r="L242" s="603">
        <f ca="1"/>
        <v>0</v>
      </c>
      <c r="M242" s="603">
        <f ca="1"/>
        <v>0</v>
      </c>
      <c r="N242" s="603">
        <f ca="1"/>
        <v>0</v>
      </c>
      <c r="O242" s="603">
        <f ca="1"/>
        <v>0</v>
      </c>
      <c r="P242" s="603">
        <f ca="1"/>
        <v>0</v>
      </c>
      <c r="Q242" s="603">
        <f ca="1"/>
        <v>0</v>
      </c>
      <c r="R242" s="603">
        <f ca="1"/>
        <v>0</v>
      </c>
      <c r="S242" s="603">
        <f ca="1"/>
        <v>0</v>
      </c>
      <c r="T242" s="603">
        <f ca="1"/>
        <v>0</v>
      </c>
      <c r="U242" s="1988">
        <f t="array" aca="1" ref="U242:U249" ca="1">'Distr CV 3'!I242:I249</f>
        <v>0</v>
      </c>
      <c r="V242" s="1988">
        <f ca="1"/>
        <v>0</v>
      </c>
      <c r="W242" s="1988">
        <f ca="1"/>
        <v>0</v>
      </c>
      <c r="X242" s="1988">
        <f ca="1"/>
        <v>0</v>
      </c>
      <c r="Y242" s="2007">
        <f ca="1"/>
        <v>0</v>
      </c>
    </row>
    <row r="243" spans="1:25">
      <c r="A243" s="1995" t="str">
        <f>A$78</f>
        <v>6 meses antes</v>
      </c>
      <c r="B243" s="1991"/>
      <c r="C243" s="1991"/>
      <c r="D243" s="1991"/>
      <c r="E243" s="1991"/>
      <c r="F243" s="1991"/>
      <c r="G243" s="1991"/>
      <c r="H243" s="603">
        <f t="array" aca="1" ref="H243:S243" ca="1">B27:M27*Produção!$H$15</f>
        <v>0</v>
      </c>
      <c r="I243" s="603">
        <f ca="1"/>
        <v>0</v>
      </c>
      <c r="J243" s="603">
        <f ca="1"/>
        <v>0</v>
      </c>
      <c r="K243" s="603">
        <f ca="1"/>
        <v>0</v>
      </c>
      <c r="L243" s="603">
        <f ca="1"/>
        <v>0</v>
      </c>
      <c r="M243" s="603">
        <f ca="1"/>
        <v>0</v>
      </c>
      <c r="N243" s="603">
        <f ca="1"/>
        <v>0</v>
      </c>
      <c r="O243" s="603">
        <f ca="1"/>
        <v>0</v>
      </c>
      <c r="P243" s="603">
        <f ca="1"/>
        <v>0</v>
      </c>
      <c r="Q243" s="603">
        <f ca="1"/>
        <v>0</v>
      </c>
      <c r="R243" s="603">
        <f ca="1"/>
        <v>0</v>
      </c>
      <c r="S243" s="603">
        <f ca="1"/>
        <v>0</v>
      </c>
      <c r="T243" s="1988">
        <f t="array" aca="1" ref="T243:T249" ca="1">'Distr CV 3'!H243:H249</f>
        <v>0</v>
      </c>
      <c r="U243" s="1988">
        <f ca="1"/>
        <v>0</v>
      </c>
      <c r="V243" s="1988">
        <f ca="1"/>
        <v>0</v>
      </c>
      <c r="W243" s="1988">
        <f ca="1"/>
        <v>0</v>
      </c>
      <c r="X243" s="1988">
        <f ca="1"/>
        <v>0</v>
      </c>
      <c r="Y243" s="2007">
        <f ca="1"/>
        <v>0</v>
      </c>
    </row>
    <row r="244" spans="1:25">
      <c r="A244" s="1995" t="str">
        <f>A$79</f>
        <v>7 meses antes</v>
      </c>
      <c r="B244" s="1991"/>
      <c r="C244" s="1991"/>
      <c r="D244" s="1991"/>
      <c r="E244" s="1991"/>
      <c r="F244" s="1991"/>
      <c r="G244" s="603">
        <f t="array" aca="1" ref="G244:R244" ca="1">B27:M27*Produção!$G$15</f>
        <v>0</v>
      </c>
      <c r="H244" s="603">
        <f ca="1"/>
        <v>0</v>
      </c>
      <c r="I244" s="603">
        <f ca="1"/>
        <v>0</v>
      </c>
      <c r="J244" s="603">
        <f ca="1"/>
        <v>0</v>
      </c>
      <c r="K244" s="603">
        <f ca="1"/>
        <v>0</v>
      </c>
      <c r="L244" s="603">
        <f ca="1"/>
        <v>0</v>
      </c>
      <c r="M244" s="603">
        <f ca="1"/>
        <v>0</v>
      </c>
      <c r="N244" s="603">
        <f ca="1"/>
        <v>0</v>
      </c>
      <c r="O244" s="603">
        <f ca="1"/>
        <v>0</v>
      </c>
      <c r="P244" s="603">
        <f ca="1"/>
        <v>0</v>
      </c>
      <c r="Q244" s="603">
        <f ca="1"/>
        <v>0</v>
      </c>
      <c r="R244" s="603">
        <f ca="1"/>
        <v>0</v>
      </c>
      <c r="S244" s="1992">
        <f t="array" aca="1" ref="S244:S249" ca="1">'Distr CV 3'!G244:G249</f>
        <v>0</v>
      </c>
      <c r="T244" s="1992">
        <f ca="1"/>
        <v>0</v>
      </c>
      <c r="U244" s="1992">
        <f ca="1"/>
        <v>0</v>
      </c>
      <c r="V244" s="1992">
        <f ca="1"/>
        <v>0</v>
      </c>
      <c r="W244" s="1992">
        <f ca="1"/>
        <v>0</v>
      </c>
      <c r="X244" s="1992">
        <f ca="1"/>
        <v>0</v>
      </c>
      <c r="Y244" s="2010">
        <f ca="1"/>
        <v>0</v>
      </c>
    </row>
    <row r="245" spans="1:25">
      <c r="A245" s="1995" t="str">
        <f>A$80</f>
        <v>8 meses antes</v>
      </c>
      <c r="B245" s="1991"/>
      <c r="C245" s="1991"/>
      <c r="D245" s="1991"/>
      <c r="E245" s="1991"/>
      <c r="F245" s="603">
        <f t="array" aca="1" ref="F245:Q245" ca="1">B27:M27*Produção!$F$15</f>
        <v>0</v>
      </c>
      <c r="G245" s="603">
        <f ca="1"/>
        <v>0</v>
      </c>
      <c r="H245" s="603">
        <f ca="1"/>
        <v>0</v>
      </c>
      <c r="I245" s="603">
        <f ca="1"/>
        <v>0</v>
      </c>
      <c r="J245" s="603">
        <f ca="1"/>
        <v>0</v>
      </c>
      <c r="K245" s="603">
        <f ca="1"/>
        <v>0</v>
      </c>
      <c r="L245" s="603">
        <f ca="1"/>
        <v>0</v>
      </c>
      <c r="M245" s="603">
        <f ca="1"/>
        <v>0</v>
      </c>
      <c r="N245" s="603">
        <f ca="1"/>
        <v>0</v>
      </c>
      <c r="O245" s="603">
        <f ca="1"/>
        <v>0</v>
      </c>
      <c r="P245" s="603">
        <f ca="1"/>
        <v>0</v>
      </c>
      <c r="Q245" s="603">
        <f ca="1"/>
        <v>0</v>
      </c>
      <c r="R245" s="1992">
        <f t="array" aca="1" ref="R245:R249" ca="1">'Distr CV 3'!F245:F249</f>
        <v>0</v>
      </c>
      <c r="S245" s="1992">
        <f ca="1"/>
        <v>0</v>
      </c>
      <c r="T245" s="1992">
        <f ca="1"/>
        <v>0</v>
      </c>
      <c r="U245" s="1992">
        <f ca="1"/>
        <v>0</v>
      </c>
      <c r="V245" s="1992">
        <f ca="1"/>
        <v>0</v>
      </c>
      <c r="W245" s="1992">
        <f ca="1"/>
        <v>0</v>
      </c>
      <c r="X245" s="1992">
        <f ca="1"/>
        <v>0</v>
      </c>
      <c r="Y245" s="2010">
        <f ca="1"/>
        <v>0</v>
      </c>
    </row>
    <row r="246" spans="1:25">
      <c r="A246" s="1995" t="str">
        <f>A$81</f>
        <v>9 meses antes</v>
      </c>
      <c r="B246" s="1991"/>
      <c r="C246" s="1991"/>
      <c r="D246" s="1991"/>
      <c r="E246" s="603">
        <f t="array" aca="1" ref="E246:P246" ca="1">B27:M27*Produção!$E$15</f>
        <v>0</v>
      </c>
      <c r="F246" s="603">
        <f ca="1"/>
        <v>0</v>
      </c>
      <c r="G246" s="603">
        <f ca="1"/>
        <v>0</v>
      </c>
      <c r="H246" s="603">
        <f ca="1"/>
        <v>0</v>
      </c>
      <c r="I246" s="603">
        <f ca="1"/>
        <v>0</v>
      </c>
      <c r="J246" s="603">
        <f ca="1"/>
        <v>0</v>
      </c>
      <c r="K246" s="603">
        <f ca="1"/>
        <v>0</v>
      </c>
      <c r="L246" s="603">
        <f ca="1"/>
        <v>0</v>
      </c>
      <c r="M246" s="603">
        <f ca="1"/>
        <v>0</v>
      </c>
      <c r="N246" s="603">
        <f ca="1"/>
        <v>0</v>
      </c>
      <c r="O246" s="603">
        <f ca="1"/>
        <v>0</v>
      </c>
      <c r="P246" s="603">
        <f ca="1"/>
        <v>0</v>
      </c>
      <c r="Q246" s="1992">
        <f t="array" aca="1" ref="Q246:Q249" ca="1">'Distr CV 3'!E246:E249</f>
        <v>0</v>
      </c>
      <c r="R246" s="1992">
        <f ca="1"/>
        <v>0</v>
      </c>
      <c r="S246" s="1992">
        <f ca="1"/>
        <v>0</v>
      </c>
      <c r="T246" s="1992">
        <f ca="1"/>
        <v>0</v>
      </c>
      <c r="U246" s="1992">
        <f ca="1"/>
        <v>0</v>
      </c>
      <c r="V246" s="1992">
        <f ca="1"/>
        <v>0</v>
      </c>
      <c r="W246" s="1992">
        <f ca="1"/>
        <v>0</v>
      </c>
      <c r="X246" s="1992">
        <f ca="1"/>
        <v>0</v>
      </c>
      <c r="Y246" s="2010">
        <f ca="1"/>
        <v>0</v>
      </c>
    </row>
    <row r="247" spans="1:25">
      <c r="A247" s="1995" t="str">
        <f>A$82</f>
        <v>10 meses antes</v>
      </c>
      <c r="B247" s="1991"/>
      <c r="C247" s="1991"/>
      <c r="D247" s="603">
        <f t="array" aca="1" ref="D247:O247" ca="1">B27:M27*Produção!$D$15</f>
        <v>0</v>
      </c>
      <c r="E247" s="603">
        <f ca="1"/>
        <v>0</v>
      </c>
      <c r="F247" s="603">
        <f ca="1"/>
        <v>0</v>
      </c>
      <c r="G247" s="603">
        <f ca="1"/>
        <v>0</v>
      </c>
      <c r="H247" s="603">
        <f ca="1"/>
        <v>0</v>
      </c>
      <c r="I247" s="603">
        <f ca="1"/>
        <v>0</v>
      </c>
      <c r="J247" s="603">
        <f ca="1"/>
        <v>0</v>
      </c>
      <c r="K247" s="603">
        <f ca="1"/>
        <v>0</v>
      </c>
      <c r="L247" s="603">
        <f ca="1"/>
        <v>0</v>
      </c>
      <c r="M247" s="603">
        <f ca="1"/>
        <v>0</v>
      </c>
      <c r="N247" s="603">
        <f ca="1"/>
        <v>0</v>
      </c>
      <c r="O247" s="603">
        <f ca="1"/>
        <v>0</v>
      </c>
      <c r="P247" s="1992">
        <f t="array" aca="1" ref="P247:P249" ca="1">'Distr CV 3'!D247:D249</f>
        <v>0</v>
      </c>
      <c r="Q247" s="1992">
        <f ca="1"/>
        <v>0</v>
      </c>
      <c r="R247" s="1992">
        <f ca="1"/>
        <v>0</v>
      </c>
      <c r="S247" s="1992">
        <f ca="1"/>
        <v>0</v>
      </c>
      <c r="T247" s="1992">
        <f ca="1"/>
        <v>0</v>
      </c>
      <c r="U247" s="1992">
        <f ca="1"/>
        <v>0</v>
      </c>
      <c r="V247" s="1992">
        <f ca="1"/>
        <v>0</v>
      </c>
      <c r="W247" s="1992">
        <f ca="1"/>
        <v>0</v>
      </c>
      <c r="X247" s="1992">
        <f ca="1"/>
        <v>0</v>
      </c>
      <c r="Y247" s="2010">
        <f ca="1"/>
        <v>0</v>
      </c>
    </row>
    <row r="248" spans="1:25">
      <c r="A248" s="1995" t="str">
        <f>A$83</f>
        <v>11 meses antes</v>
      </c>
      <c r="B248" s="1991"/>
      <c r="C248" s="603">
        <f t="array" aca="1" ref="C248:N248" ca="1">B27:M27*Produção!$C$15</f>
        <v>0</v>
      </c>
      <c r="D248" s="603">
        <f ca="1"/>
        <v>0</v>
      </c>
      <c r="E248" s="603">
        <f ca="1"/>
        <v>0</v>
      </c>
      <c r="F248" s="603">
        <f ca="1"/>
        <v>0</v>
      </c>
      <c r="G248" s="603">
        <f ca="1"/>
        <v>0</v>
      </c>
      <c r="H248" s="603">
        <f ca="1"/>
        <v>0</v>
      </c>
      <c r="I248" s="603">
        <f ca="1"/>
        <v>0</v>
      </c>
      <c r="J248" s="603">
        <f ca="1"/>
        <v>0</v>
      </c>
      <c r="K248" s="603">
        <f ca="1"/>
        <v>0</v>
      </c>
      <c r="L248" s="603">
        <f ca="1"/>
        <v>0</v>
      </c>
      <c r="M248" s="603">
        <f ca="1"/>
        <v>0</v>
      </c>
      <c r="N248" s="603">
        <f ca="1"/>
        <v>0</v>
      </c>
      <c r="O248" s="1992">
        <f ca="1">'Distr CV 3'!C248</f>
        <v>0</v>
      </c>
      <c r="P248" s="1992">
        <f ca="1"/>
        <v>0</v>
      </c>
      <c r="Q248" s="1992">
        <f ca="1"/>
        <v>0</v>
      </c>
      <c r="R248" s="1992">
        <f ca="1"/>
        <v>0</v>
      </c>
      <c r="S248" s="1992">
        <f ca="1"/>
        <v>0</v>
      </c>
      <c r="T248" s="1992">
        <f ca="1"/>
        <v>0</v>
      </c>
      <c r="U248" s="1992">
        <f ca="1"/>
        <v>0</v>
      </c>
      <c r="V248" s="1992">
        <f ca="1"/>
        <v>0</v>
      </c>
      <c r="W248" s="1992">
        <f ca="1"/>
        <v>0</v>
      </c>
      <c r="X248" s="1992">
        <f ca="1"/>
        <v>0</v>
      </c>
      <c r="Y248" s="2010">
        <f ca="1"/>
        <v>0</v>
      </c>
    </row>
    <row r="249" spans="1:25" ht="13.5" thickBot="1">
      <c r="A249" s="1995" t="str">
        <f>A$84</f>
        <v>12 meses antes</v>
      </c>
      <c r="B249" s="603">
        <f t="array" aca="1" ref="B249:M249" ca="1">B27:M27*Produção!$B$15</f>
        <v>0</v>
      </c>
      <c r="C249" s="603">
        <f ca="1"/>
        <v>0</v>
      </c>
      <c r="D249" s="603">
        <f ca="1"/>
        <v>0</v>
      </c>
      <c r="E249" s="603">
        <f ca="1"/>
        <v>0</v>
      </c>
      <c r="F249" s="603">
        <f ca="1"/>
        <v>0</v>
      </c>
      <c r="G249" s="603">
        <f ca="1"/>
        <v>0</v>
      </c>
      <c r="H249" s="603">
        <f ca="1"/>
        <v>0</v>
      </c>
      <c r="I249" s="603">
        <f ca="1"/>
        <v>0</v>
      </c>
      <c r="J249" s="603">
        <f ca="1"/>
        <v>0</v>
      </c>
      <c r="K249" s="603">
        <f ca="1"/>
        <v>0</v>
      </c>
      <c r="L249" s="603">
        <f ca="1"/>
        <v>0</v>
      </c>
      <c r="M249" s="603">
        <f ca="1"/>
        <v>0</v>
      </c>
      <c r="N249" s="1991">
        <f ca="1">'Distr CV 3'!B249</f>
        <v>0</v>
      </c>
      <c r="O249" s="1992">
        <f ca="1">'Distr CV 3'!C249</f>
        <v>0</v>
      </c>
      <c r="P249" s="1992">
        <f ca="1"/>
        <v>0</v>
      </c>
      <c r="Q249" s="1992">
        <f ca="1"/>
        <v>0</v>
      </c>
      <c r="R249" s="1992">
        <f ca="1"/>
        <v>0</v>
      </c>
      <c r="S249" s="1992">
        <f ca="1"/>
        <v>0</v>
      </c>
      <c r="T249" s="1992">
        <f ca="1"/>
        <v>0</v>
      </c>
      <c r="U249" s="1992">
        <f ca="1"/>
        <v>0</v>
      </c>
      <c r="V249" s="1992">
        <f ca="1"/>
        <v>0</v>
      </c>
      <c r="W249" s="1992">
        <f ca="1"/>
        <v>0</v>
      </c>
      <c r="X249" s="1992">
        <f ca="1"/>
        <v>0</v>
      </c>
      <c r="Y249" s="2010">
        <f ca="1"/>
        <v>0</v>
      </c>
    </row>
    <row r="250" spans="1:25" ht="13.5" thickBot="1">
      <c r="A250" s="105" t="str">
        <f>"Totales CV "&amp;A$15</f>
        <v xml:space="preserve">Totales CV </v>
      </c>
      <c r="B250" s="607">
        <f t="shared" ref="B250:Y250" ca="1" si="18">SUM(B237:B249)</f>
        <v>0</v>
      </c>
      <c r="C250" s="607">
        <f t="shared" ca="1" si="18"/>
        <v>0</v>
      </c>
      <c r="D250" s="607">
        <f t="shared" ca="1" si="18"/>
        <v>0</v>
      </c>
      <c r="E250" s="607">
        <f t="shared" ca="1" si="18"/>
        <v>0</v>
      </c>
      <c r="F250" s="607">
        <f t="shared" ca="1" si="18"/>
        <v>0</v>
      </c>
      <c r="G250" s="607">
        <f t="shared" ca="1" si="18"/>
        <v>0</v>
      </c>
      <c r="H250" s="607">
        <f t="shared" ca="1" si="18"/>
        <v>0</v>
      </c>
      <c r="I250" s="607">
        <f t="shared" ca="1" si="18"/>
        <v>0</v>
      </c>
      <c r="J250" s="607">
        <f t="shared" ca="1" si="18"/>
        <v>0</v>
      </c>
      <c r="K250" s="607">
        <f t="shared" ca="1" si="18"/>
        <v>0</v>
      </c>
      <c r="L250" s="607">
        <f t="shared" ca="1" si="18"/>
        <v>0</v>
      </c>
      <c r="M250" s="607">
        <f t="shared" ca="1" si="18"/>
        <v>0</v>
      </c>
      <c r="N250" s="607">
        <f t="shared" ca="1" si="18"/>
        <v>0</v>
      </c>
      <c r="O250" s="607">
        <f t="shared" ca="1" si="18"/>
        <v>0</v>
      </c>
      <c r="P250" s="607">
        <f t="shared" ca="1" si="18"/>
        <v>0</v>
      </c>
      <c r="Q250" s="607">
        <f t="shared" ca="1" si="18"/>
        <v>0</v>
      </c>
      <c r="R250" s="607">
        <f t="shared" ca="1" si="18"/>
        <v>0</v>
      </c>
      <c r="S250" s="607">
        <f t="shared" ca="1" si="18"/>
        <v>0</v>
      </c>
      <c r="T250" s="607">
        <f t="shared" ca="1" si="18"/>
        <v>0</v>
      </c>
      <c r="U250" s="607">
        <f t="shared" ca="1" si="18"/>
        <v>0</v>
      </c>
      <c r="V250" s="607">
        <f t="shared" ca="1" si="18"/>
        <v>0</v>
      </c>
      <c r="W250" s="607">
        <f t="shared" ca="1" si="18"/>
        <v>0</v>
      </c>
      <c r="X250" s="607">
        <f t="shared" ca="1" si="18"/>
        <v>0</v>
      </c>
      <c r="Y250" s="2008">
        <f t="shared" ca="1" si="18"/>
        <v>0</v>
      </c>
    </row>
    <row r="251" spans="1:25" ht="13.5" thickBot="1">
      <c r="A251" s="105" t="str">
        <f>'Dados Básicos'!A28&amp;" sop. CV "&amp;$A$15</f>
        <v xml:space="preserve">IVA sop. CV </v>
      </c>
      <c r="B251" s="607">
        <f t="array" aca="1" ref="B251:Y251" ca="1">$K$235*B250:Y250</f>
        <v>0</v>
      </c>
      <c r="C251" s="607">
        <f ca="1"/>
        <v>0</v>
      </c>
      <c r="D251" s="607">
        <f ca="1"/>
        <v>0</v>
      </c>
      <c r="E251" s="607">
        <f ca="1"/>
        <v>0</v>
      </c>
      <c r="F251" s="607">
        <f ca="1"/>
        <v>0</v>
      </c>
      <c r="G251" s="607">
        <f ca="1"/>
        <v>0</v>
      </c>
      <c r="H251" s="607">
        <f ca="1"/>
        <v>0</v>
      </c>
      <c r="I251" s="607">
        <f ca="1"/>
        <v>0</v>
      </c>
      <c r="J251" s="607">
        <f ca="1"/>
        <v>0</v>
      </c>
      <c r="K251" s="607">
        <f ca="1"/>
        <v>0</v>
      </c>
      <c r="L251" s="607">
        <f ca="1"/>
        <v>0</v>
      </c>
      <c r="M251" s="607">
        <f ca="1"/>
        <v>0</v>
      </c>
      <c r="N251" s="607">
        <f ca="1"/>
        <v>0</v>
      </c>
      <c r="O251" s="607">
        <f ca="1"/>
        <v>0</v>
      </c>
      <c r="P251" s="607">
        <f ca="1"/>
        <v>0</v>
      </c>
      <c r="Q251" s="607">
        <f ca="1"/>
        <v>0</v>
      </c>
      <c r="R251" s="607">
        <f ca="1"/>
        <v>0</v>
      </c>
      <c r="S251" s="607">
        <f ca="1"/>
        <v>0</v>
      </c>
      <c r="T251" s="607">
        <f ca="1"/>
        <v>0</v>
      </c>
      <c r="U251" s="607">
        <f ca="1"/>
        <v>0</v>
      </c>
      <c r="V251" s="607">
        <f ca="1"/>
        <v>0</v>
      </c>
      <c r="W251" s="607">
        <f ca="1"/>
        <v>0</v>
      </c>
      <c r="X251" s="607">
        <f ca="1"/>
        <v>0</v>
      </c>
      <c r="Y251" s="2008">
        <f ca="1"/>
        <v>0</v>
      </c>
    </row>
  </sheetData>
  <sheetProtection sheet="1" objects="1" scenarios="1"/>
  <phoneticPr fontId="4"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65">
    <tabColor indexed="10"/>
    <pageSetUpPr fitToPage="1"/>
  </sheetPr>
  <dimension ref="A1:Z251"/>
  <sheetViews>
    <sheetView workbookViewId="0"/>
  </sheetViews>
  <sheetFormatPr baseColWidth="10" defaultColWidth="11" defaultRowHeight="12.75"/>
  <cols>
    <col min="1" max="1" width="24" style="239" customWidth="1"/>
    <col min="2" max="2" width="11.375" style="61" customWidth="1"/>
    <col min="3" max="4" width="11.375" style="62" customWidth="1"/>
    <col min="5" max="5" width="10.375" style="62" customWidth="1"/>
    <col min="6" max="14" width="11.375" style="62" customWidth="1"/>
    <col min="15" max="15" width="11.5" style="239" customWidth="1"/>
    <col min="16" max="16384" width="11" style="62"/>
  </cols>
  <sheetData>
    <row r="1" spans="1:15" ht="22.5">
      <c r="A1" s="68" t="str">
        <f>'Distr CV 0'!A1</f>
        <v>Previsões de produção: Distribuição dos custos variáveis das unidades vendidas no</v>
      </c>
      <c r="K1" s="2712" t="str">
        <f>Parametros!E$77</f>
        <v>Ano 3:  2029</v>
      </c>
      <c r="L1" s="432"/>
    </row>
    <row r="2" spans="1:15" ht="22.5">
      <c r="A2" s="68" t="str">
        <f>'Dados Básicos'!B9</f>
        <v>WWW, S.L.</v>
      </c>
    </row>
    <row r="3" spans="1:15" ht="14.25" customHeight="1">
      <c r="A3" s="60"/>
    </row>
    <row r="4" spans="1:15" ht="14.25" customHeight="1">
      <c r="A4" s="60"/>
    </row>
    <row r="5" spans="1:15" ht="14.25" customHeight="1">
      <c r="A5" s="60"/>
    </row>
    <row r="6" spans="1:15" ht="24" customHeight="1" thickBot="1">
      <c r="A6" s="433" t="str">
        <f>'Distr CV 0'!A6</f>
        <v>Previsão de unidades vendidas</v>
      </c>
    </row>
    <row r="7" spans="1:15" s="458" customFormat="1" ht="15.75" customHeight="1" thickBot="1">
      <c r="A7" s="457" t="str">
        <f>'Distr CV 0'!A7</f>
        <v>Vendas (Unidades)</v>
      </c>
      <c r="B7" s="455" t="str">
        <f t="array" ref="B7:M7">meses</f>
        <v>janeiro</v>
      </c>
      <c r="C7" s="451" t="str">
        <v>fevereiro</v>
      </c>
      <c r="D7" s="451" t="str">
        <v>março</v>
      </c>
      <c r="E7" s="451" t="str">
        <v>abril</v>
      </c>
      <c r="F7" s="451" t="str">
        <v>maio</v>
      </c>
      <c r="G7" s="451" t="str">
        <v>junho</v>
      </c>
      <c r="H7" s="451" t="str">
        <v>julho</v>
      </c>
      <c r="I7" s="451" t="str">
        <v>agosto</v>
      </c>
      <c r="J7" s="451" t="str">
        <v>setembro</v>
      </c>
      <c r="K7" s="451" t="str">
        <v>outubro</v>
      </c>
      <c r="L7" s="451" t="str">
        <v>novembro</v>
      </c>
      <c r="M7" s="452" t="str">
        <v>dezembro</v>
      </c>
      <c r="N7" s="449" t="str">
        <f>'Distr CV 0'!N7</f>
        <v>Totais</v>
      </c>
    </row>
    <row r="8" spans="1:15" ht="15.75" customHeight="1">
      <c r="A8" s="1996" t="str">
        <f t="array" ref="A8:A15">productos</f>
        <v>produto 1</v>
      </c>
      <c r="B8" s="589">
        <f t="array" aca="1" ref="B8:M15" ca="1">'Prev.Vendas 3'!B5:M12</f>
        <v>1103</v>
      </c>
      <c r="C8" s="590">
        <f ca="1"/>
        <v>1103</v>
      </c>
      <c r="D8" s="590">
        <f ca="1"/>
        <v>1103</v>
      </c>
      <c r="E8" s="590">
        <f ca="1"/>
        <v>1103</v>
      </c>
      <c r="F8" s="590">
        <f ca="1"/>
        <v>1103</v>
      </c>
      <c r="G8" s="590">
        <f ca="1"/>
        <v>1103</v>
      </c>
      <c r="H8" s="590">
        <f ca="1"/>
        <v>1103</v>
      </c>
      <c r="I8" s="590">
        <f ca="1"/>
        <v>1103</v>
      </c>
      <c r="J8" s="590">
        <f ca="1"/>
        <v>1103</v>
      </c>
      <c r="K8" s="590">
        <f ca="1"/>
        <v>1103</v>
      </c>
      <c r="L8" s="590">
        <f ca="1"/>
        <v>1103</v>
      </c>
      <c r="M8" s="612">
        <f ca="1"/>
        <v>1103</v>
      </c>
      <c r="N8" s="591">
        <f t="shared" ref="N8:N15" ca="1" si="0">SUM(B8:M8)</f>
        <v>13236</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c r="A12" s="1997" t="str">
        <v/>
      </c>
      <c r="B12" s="592">
        <f ca="1"/>
        <v>0</v>
      </c>
      <c r="C12" s="593">
        <f ca="1"/>
        <v>0</v>
      </c>
      <c r="D12" s="593">
        <f ca="1"/>
        <v>0</v>
      </c>
      <c r="E12" s="593">
        <f ca="1"/>
        <v>0</v>
      </c>
      <c r="F12" s="593">
        <f ca="1"/>
        <v>0</v>
      </c>
      <c r="G12" s="593">
        <f ca="1"/>
        <v>0</v>
      </c>
      <c r="H12" s="593">
        <f ca="1"/>
        <v>0</v>
      </c>
      <c r="I12" s="593">
        <f ca="1"/>
        <v>0</v>
      </c>
      <c r="J12" s="593">
        <f ca="1"/>
        <v>0</v>
      </c>
      <c r="K12" s="593">
        <f ca="1"/>
        <v>0</v>
      </c>
      <c r="L12" s="593">
        <f ca="1"/>
        <v>0</v>
      </c>
      <c r="M12" s="613">
        <f ca="1"/>
        <v>0</v>
      </c>
      <c r="N12" s="594">
        <f t="shared" ca="1" si="0"/>
        <v>0</v>
      </c>
      <c r="O12" s="62"/>
    </row>
    <row r="13" spans="1:15" ht="15.75" customHeight="1">
      <c r="A13" s="1997" t="str">
        <v/>
      </c>
      <c r="B13" s="592">
        <f ca="1"/>
        <v>0</v>
      </c>
      <c r="C13" s="593">
        <f ca="1"/>
        <v>0</v>
      </c>
      <c r="D13" s="593">
        <f ca="1"/>
        <v>0</v>
      </c>
      <c r="E13" s="593">
        <f ca="1"/>
        <v>0</v>
      </c>
      <c r="F13" s="593">
        <f ca="1"/>
        <v>0</v>
      </c>
      <c r="G13" s="593">
        <f ca="1"/>
        <v>0</v>
      </c>
      <c r="H13" s="593">
        <f ca="1"/>
        <v>0</v>
      </c>
      <c r="I13" s="593">
        <f ca="1"/>
        <v>0</v>
      </c>
      <c r="J13" s="593">
        <f ca="1"/>
        <v>0</v>
      </c>
      <c r="K13" s="593">
        <f ca="1"/>
        <v>0</v>
      </c>
      <c r="L13" s="593">
        <f ca="1"/>
        <v>0</v>
      </c>
      <c r="M13" s="613">
        <f ca="1"/>
        <v>0</v>
      </c>
      <c r="N13" s="594">
        <f t="shared" ca="1" si="0"/>
        <v>0</v>
      </c>
      <c r="O13" s="62"/>
    </row>
    <row r="14" spans="1:15" ht="15.75" customHeight="1">
      <c r="A14" s="1997" t="str">
        <v/>
      </c>
      <c r="B14" s="592">
        <f ca="1"/>
        <v>0</v>
      </c>
      <c r="C14" s="593">
        <f ca="1"/>
        <v>0</v>
      </c>
      <c r="D14" s="593">
        <f ca="1"/>
        <v>0</v>
      </c>
      <c r="E14" s="593">
        <f ca="1"/>
        <v>0</v>
      </c>
      <c r="F14" s="593">
        <f ca="1"/>
        <v>0</v>
      </c>
      <c r="G14" s="593">
        <f ca="1"/>
        <v>0</v>
      </c>
      <c r="H14" s="593">
        <f ca="1"/>
        <v>0</v>
      </c>
      <c r="I14" s="593">
        <f ca="1"/>
        <v>0</v>
      </c>
      <c r="J14" s="593">
        <f ca="1"/>
        <v>0</v>
      </c>
      <c r="K14" s="593">
        <f ca="1"/>
        <v>0</v>
      </c>
      <c r="L14" s="593">
        <f ca="1"/>
        <v>0</v>
      </c>
      <c r="M14" s="613">
        <f ca="1"/>
        <v>0</v>
      </c>
      <c r="N14" s="594">
        <f t="shared" ca="1" si="0"/>
        <v>0</v>
      </c>
      <c r="O14" s="62"/>
    </row>
    <row r="15" spans="1:15" ht="15.75" customHeight="1" thickBot="1">
      <c r="A15" s="1998" t="str">
        <v/>
      </c>
      <c r="B15" s="595">
        <f ca="1"/>
        <v>0</v>
      </c>
      <c r="C15" s="596">
        <f ca="1"/>
        <v>0</v>
      </c>
      <c r="D15" s="596">
        <f ca="1"/>
        <v>0</v>
      </c>
      <c r="E15" s="596">
        <f ca="1"/>
        <v>0</v>
      </c>
      <c r="F15" s="596">
        <f ca="1"/>
        <v>0</v>
      </c>
      <c r="G15" s="596">
        <f ca="1"/>
        <v>0</v>
      </c>
      <c r="H15" s="596">
        <f ca="1"/>
        <v>0</v>
      </c>
      <c r="I15" s="596">
        <f ca="1"/>
        <v>0</v>
      </c>
      <c r="J15" s="596">
        <f ca="1"/>
        <v>0</v>
      </c>
      <c r="K15" s="596">
        <f ca="1"/>
        <v>0</v>
      </c>
      <c r="L15" s="596">
        <f ca="1"/>
        <v>0</v>
      </c>
      <c r="M15" s="614">
        <f ca="1"/>
        <v>0</v>
      </c>
      <c r="N15" s="597">
        <f t="shared" ca="1" si="0"/>
        <v>0</v>
      </c>
      <c r="O15" s="62"/>
    </row>
    <row r="16" spans="1:15" ht="15">
      <c r="A16" s="73"/>
    </row>
    <row r="17" spans="1:15" ht="15">
      <c r="A17" s="220"/>
    </row>
    <row r="18" spans="1:15" ht="18.75" thickBot="1">
      <c r="A18" s="1993" t="str">
        <f>'Distr CV 0'!A18</f>
        <v>Previsão de custos de produção das unidades vendidas</v>
      </c>
      <c r="G18" s="2741" t="str">
        <f>$K$1</f>
        <v>Ano 3:  2029</v>
      </c>
      <c r="I18" s="1993" t="str">
        <f>'Distr CV 0'!I18</f>
        <v>IVA NÃO incluido</v>
      </c>
    </row>
    <row r="19" spans="1:15" s="456" customFormat="1" ht="15.75" customHeight="1" thickBot="1">
      <c r="A19" s="457" t="str">
        <f>'Distr CV 0'!A19</f>
        <v>Custos produção</v>
      </c>
      <c r="B19" s="455" t="str">
        <f t="array" ref="B19:M19">meses</f>
        <v>janeiro</v>
      </c>
      <c r="C19" s="451" t="str">
        <v>fevereiro</v>
      </c>
      <c r="D19" s="451" t="str">
        <v>março</v>
      </c>
      <c r="E19" s="451" t="str">
        <v>abril</v>
      </c>
      <c r="F19" s="451" t="str">
        <v>maio</v>
      </c>
      <c r="G19" s="451" t="str">
        <v>junho</v>
      </c>
      <c r="H19" s="451" t="str">
        <v>julho</v>
      </c>
      <c r="I19" s="451" t="str">
        <v>agosto</v>
      </c>
      <c r="J19" s="451" t="str">
        <v>setembro</v>
      </c>
      <c r="K19" s="451" t="str">
        <v>outubro</v>
      </c>
      <c r="L19" s="451" t="str">
        <v>novembro</v>
      </c>
      <c r="M19" s="452" t="str">
        <v>dezembro</v>
      </c>
      <c r="N19" s="449" t="str">
        <f>N$7</f>
        <v>Totais</v>
      </c>
    </row>
    <row r="20" spans="1:15" ht="15.75" customHeight="1">
      <c r="A20" s="1996" t="str">
        <f t="array" ref="A20:A27">productos</f>
        <v>produto 1</v>
      </c>
      <c r="B20" s="598">
        <f t="array" aca="1" ref="B20:M27" ca="1">B8:M15*'Preços-CV'!$H19:$H26</f>
        <v>168.73890334000001</v>
      </c>
      <c r="C20" s="599">
        <f ca="1"/>
        <v>168.73890334000001</v>
      </c>
      <c r="D20" s="599">
        <f ca="1"/>
        <v>168.73890334000001</v>
      </c>
      <c r="E20" s="599">
        <f ca="1"/>
        <v>168.73890334000001</v>
      </c>
      <c r="F20" s="599">
        <f ca="1"/>
        <v>168.73890334000001</v>
      </c>
      <c r="G20" s="599">
        <f ca="1"/>
        <v>168.73890334000001</v>
      </c>
      <c r="H20" s="599">
        <f ca="1"/>
        <v>168.73890334000001</v>
      </c>
      <c r="I20" s="599">
        <f ca="1"/>
        <v>168.73890334000001</v>
      </c>
      <c r="J20" s="599">
        <f ca="1"/>
        <v>168.73890334000001</v>
      </c>
      <c r="K20" s="599">
        <f ca="1"/>
        <v>168.73890334000001</v>
      </c>
      <c r="L20" s="599">
        <f ca="1"/>
        <v>168.73890334000001</v>
      </c>
      <c r="M20" s="609">
        <f ca="1"/>
        <v>168.73890334000001</v>
      </c>
      <c r="N20" s="591">
        <f t="shared" ref="N20:N39" ca="1" si="1">SUM(B20:M20)</f>
        <v>2024.86684008</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c r="A24" s="1997" t="str">
        <v/>
      </c>
      <c r="B24" s="600">
        <f ca="1"/>
        <v>0</v>
      </c>
      <c r="C24" s="601">
        <f ca="1"/>
        <v>0</v>
      </c>
      <c r="D24" s="601">
        <f ca="1"/>
        <v>0</v>
      </c>
      <c r="E24" s="601">
        <f ca="1"/>
        <v>0</v>
      </c>
      <c r="F24" s="601">
        <f ca="1"/>
        <v>0</v>
      </c>
      <c r="G24" s="601">
        <f ca="1"/>
        <v>0</v>
      </c>
      <c r="H24" s="601">
        <f ca="1"/>
        <v>0</v>
      </c>
      <c r="I24" s="601">
        <f ca="1"/>
        <v>0</v>
      </c>
      <c r="J24" s="601">
        <f ca="1"/>
        <v>0</v>
      </c>
      <c r="K24" s="601">
        <f ca="1"/>
        <v>0</v>
      </c>
      <c r="L24" s="601">
        <f ca="1"/>
        <v>0</v>
      </c>
      <c r="M24" s="610">
        <f ca="1"/>
        <v>0</v>
      </c>
      <c r="N24" s="594">
        <f t="shared" ca="1" si="1"/>
        <v>0</v>
      </c>
      <c r="O24" s="62"/>
    </row>
    <row r="25" spans="1:15" ht="15.75" customHeight="1">
      <c r="A25" s="1997" t="str">
        <v/>
      </c>
      <c r="B25" s="600">
        <f ca="1"/>
        <v>0</v>
      </c>
      <c r="C25" s="601">
        <f ca="1"/>
        <v>0</v>
      </c>
      <c r="D25" s="601">
        <f ca="1"/>
        <v>0</v>
      </c>
      <c r="E25" s="601">
        <f ca="1"/>
        <v>0</v>
      </c>
      <c r="F25" s="601">
        <f ca="1"/>
        <v>0</v>
      </c>
      <c r="G25" s="601">
        <f ca="1"/>
        <v>0</v>
      </c>
      <c r="H25" s="601">
        <f ca="1"/>
        <v>0</v>
      </c>
      <c r="I25" s="601">
        <f ca="1"/>
        <v>0</v>
      </c>
      <c r="J25" s="601">
        <f ca="1"/>
        <v>0</v>
      </c>
      <c r="K25" s="601">
        <f ca="1"/>
        <v>0</v>
      </c>
      <c r="L25" s="601">
        <f ca="1"/>
        <v>0</v>
      </c>
      <c r="M25" s="610">
        <f ca="1"/>
        <v>0</v>
      </c>
      <c r="N25" s="594">
        <f t="shared" ca="1" si="1"/>
        <v>0</v>
      </c>
      <c r="O25" s="62"/>
    </row>
    <row r="26" spans="1:15" ht="15.75" customHeight="1">
      <c r="A26" s="1997" t="str">
        <v/>
      </c>
      <c r="B26" s="600">
        <f ca="1"/>
        <v>0</v>
      </c>
      <c r="C26" s="601">
        <f ca="1"/>
        <v>0</v>
      </c>
      <c r="D26" s="601">
        <f ca="1"/>
        <v>0</v>
      </c>
      <c r="E26" s="601">
        <f ca="1"/>
        <v>0</v>
      </c>
      <c r="F26" s="601">
        <f ca="1"/>
        <v>0</v>
      </c>
      <c r="G26" s="601">
        <f ca="1"/>
        <v>0</v>
      </c>
      <c r="H26" s="601">
        <f ca="1"/>
        <v>0</v>
      </c>
      <c r="I26" s="601">
        <f ca="1"/>
        <v>0</v>
      </c>
      <c r="J26" s="601">
        <f ca="1"/>
        <v>0</v>
      </c>
      <c r="K26" s="601">
        <f ca="1"/>
        <v>0</v>
      </c>
      <c r="L26" s="601">
        <f ca="1"/>
        <v>0</v>
      </c>
      <c r="M26" s="610">
        <f ca="1"/>
        <v>0</v>
      </c>
      <c r="N26" s="594">
        <f t="shared" ca="1" si="1"/>
        <v>0</v>
      </c>
      <c r="O26" s="62"/>
    </row>
    <row r="27" spans="1:15" ht="15.75" customHeight="1" thickBot="1">
      <c r="A27" s="1998" t="str">
        <v/>
      </c>
      <c r="B27" s="602">
        <f ca="1"/>
        <v>0</v>
      </c>
      <c r="C27" s="603">
        <f ca="1"/>
        <v>0</v>
      </c>
      <c r="D27" s="603">
        <f ca="1"/>
        <v>0</v>
      </c>
      <c r="E27" s="603">
        <f ca="1"/>
        <v>0</v>
      </c>
      <c r="F27" s="603">
        <f ca="1"/>
        <v>0</v>
      </c>
      <c r="G27" s="603">
        <f ca="1"/>
        <v>0</v>
      </c>
      <c r="H27" s="603">
        <f ca="1"/>
        <v>0</v>
      </c>
      <c r="I27" s="603">
        <f ca="1"/>
        <v>0</v>
      </c>
      <c r="J27" s="603">
        <f ca="1"/>
        <v>0</v>
      </c>
      <c r="K27" s="603">
        <f ca="1"/>
        <v>0</v>
      </c>
      <c r="L27" s="603">
        <f ca="1"/>
        <v>0</v>
      </c>
      <c r="M27" s="611">
        <f ca="1"/>
        <v>0</v>
      </c>
      <c r="N27" s="604">
        <f t="shared" ca="1" si="1"/>
        <v>0</v>
      </c>
      <c r="O27" s="62"/>
    </row>
    <row r="28" spans="1:15" ht="15.75" customHeight="1" thickBot="1">
      <c r="A28" s="105" t="str">
        <f>'Distr CV 0'!A28</f>
        <v>Totais</v>
      </c>
      <c r="B28" s="606">
        <f t="shared" ref="B28:M28" ca="1" si="2">SUM(B20:B27)</f>
        <v>168.73890334000001</v>
      </c>
      <c r="C28" s="607">
        <f t="shared" ca="1" si="2"/>
        <v>168.73890334000001</v>
      </c>
      <c r="D28" s="607">
        <f t="shared" ca="1" si="2"/>
        <v>168.73890334000001</v>
      </c>
      <c r="E28" s="607">
        <f t="shared" ca="1" si="2"/>
        <v>168.73890334000001</v>
      </c>
      <c r="F28" s="607">
        <f t="shared" ca="1" si="2"/>
        <v>168.73890334000001</v>
      </c>
      <c r="G28" s="607">
        <f t="shared" ca="1" si="2"/>
        <v>168.73890334000001</v>
      </c>
      <c r="H28" s="607">
        <f t="shared" ca="1" si="2"/>
        <v>168.73890334000001</v>
      </c>
      <c r="I28" s="607">
        <f t="shared" ca="1" si="2"/>
        <v>168.73890334000001</v>
      </c>
      <c r="J28" s="607">
        <f t="shared" ca="1" si="2"/>
        <v>168.73890334000001</v>
      </c>
      <c r="K28" s="607">
        <f t="shared" ca="1" si="2"/>
        <v>168.73890334000001</v>
      </c>
      <c r="L28" s="607">
        <f t="shared" ca="1" si="2"/>
        <v>168.73890334000001</v>
      </c>
      <c r="M28" s="608">
        <f t="shared" ca="1" si="2"/>
        <v>168.73890334000001</v>
      </c>
      <c r="N28" s="605">
        <f t="shared" ca="1" si="1"/>
        <v>2024.86684008</v>
      </c>
      <c r="O28" s="62"/>
    </row>
    <row r="29" spans="1:15" ht="15">
      <c r="A29" s="220"/>
    </row>
    <row r="30" spans="1:15" ht="15.75" thickBot="1">
      <c r="A30" s="220"/>
    </row>
    <row r="31" spans="1:15" ht="19.5" customHeight="1" thickBot="1">
      <c r="A31" s="457" t="str">
        <f>'Distr CV 0'!A31</f>
        <v>IVA sop. Custos produç.</v>
      </c>
      <c r="B31" s="455"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tr">
        <f>N$7</f>
        <v>Totais</v>
      </c>
    </row>
    <row r="32" spans="1:15" ht="15.75" customHeight="1">
      <c r="A32" s="1996" t="str">
        <f t="array" ref="A32:A39">productos</f>
        <v>produto 1</v>
      </c>
      <c r="B32" s="598">
        <f t="array" aca="1" ref="B32:M39" ca="1">B20:M27*Parametros!$F24:$F31</f>
        <v>35.4351697014</v>
      </c>
      <c r="C32" s="599">
        <f ca="1"/>
        <v>35.4351697014</v>
      </c>
      <c r="D32" s="599">
        <f ca="1"/>
        <v>35.4351697014</v>
      </c>
      <c r="E32" s="599">
        <f ca="1"/>
        <v>35.4351697014</v>
      </c>
      <c r="F32" s="599">
        <f ca="1"/>
        <v>35.4351697014</v>
      </c>
      <c r="G32" s="599">
        <f ca="1"/>
        <v>35.4351697014</v>
      </c>
      <c r="H32" s="599">
        <f ca="1"/>
        <v>35.4351697014</v>
      </c>
      <c r="I32" s="599">
        <f ca="1"/>
        <v>35.4351697014</v>
      </c>
      <c r="J32" s="599">
        <f ca="1"/>
        <v>35.4351697014</v>
      </c>
      <c r="K32" s="599">
        <f ca="1"/>
        <v>35.4351697014</v>
      </c>
      <c r="L32" s="599">
        <f ca="1"/>
        <v>35.4351697014</v>
      </c>
      <c r="M32" s="609">
        <f ca="1"/>
        <v>35.4351697014</v>
      </c>
      <c r="N32" s="591">
        <f t="shared" ca="1" si="1"/>
        <v>425.22203641680011</v>
      </c>
      <c r="O32" s="62"/>
    </row>
    <row r="33" spans="1:15" ht="15.75" customHeight="1">
      <c r="A33" s="1997" t="str">
        <v/>
      </c>
      <c r="B33" s="600">
        <f ca="1"/>
        <v>0</v>
      </c>
      <c r="C33" s="601">
        <f ca="1"/>
        <v>0</v>
      </c>
      <c r="D33" s="601">
        <f ca="1"/>
        <v>0</v>
      </c>
      <c r="E33" s="601">
        <f ca="1"/>
        <v>0</v>
      </c>
      <c r="F33" s="601">
        <f ca="1"/>
        <v>0</v>
      </c>
      <c r="G33" s="601">
        <f ca="1"/>
        <v>0</v>
      </c>
      <c r="H33" s="601">
        <f ca="1"/>
        <v>0</v>
      </c>
      <c r="I33" s="601">
        <f ca="1"/>
        <v>0</v>
      </c>
      <c r="J33" s="601">
        <f ca="1"/>
        <v>0</v>
      </c>
      <c r="K33" s="601">
        <f ca="1"/>
        <v>0</v>
      </c>
      <c r="L33" s="601">
        <f ca="1"/>
        <v>0</v>
      </c>
      <c r="M33" s="610">
        <f ca="1"/>
        <v>0</v>
      </c>
      <c r="N33" s="594">
        <f t="shared" ca="1" si="1"/>
        <v>0</v>
      </c>
      <c r="O33" s="62"/>
    </row>
    <row r="34" spans="1:15" ht="15.75" customHeight="1">
      <c r="A34" s="1997" t="str">
        <v/>
      </c>
      <c r="B34" s="600">
        <f ca="1"/>
        <v>0</v>
      </c>
      <c r="C34" s="601">
        <f ca="1"/>
        <v>0</v>
      </c>
      <c r="D34" s="601">
        <f ca="1"/>
        <v>0</v>
      </c>
      <c r="E34" s="601">
        <f ca="1"/>
        <v>0</v>
      </c>
      <c r="F34" s="601">
        <f ca="1"/>
        <v>0</v>
      </c>
      <c r="G34" s="601">
        <f ca="1"/>
        <v>0</v>
      </c>
      <c r="H34" s="601">
        <f ca="1"/>
        <v>0</v>
      </c>
      <c r="I34" s="601">
        <f ca="1"/>
        <v>0</v>
      </c>
      <c r="J34" s="601">
        <f ca="1"/>
        <v>0</v>
      </c>
      <c r="K34" s="601">
        <f ca="1"/>
        <v>0</v>
      </c>
      <c r="L34" s="601">
        <f ca="1"/>
        <v>0</v>
      </c>
      <c r="M34" s="610">
        <f ca="1"/>
        <v>0</v>
      </c>
      <c r="N34" s="594">
        <f t="shared" ca="1" si="1"/>
        <v>0</v>
      </c>
      <c r="O34" s="62"/>
    </row>
    <row r="35" spans="1:15" ht="15.75" customHeight="1">
      <c r="A35" s="1997" t="str">
        <v/>
      </c>
      <c r="B35" s="600">
        <f ca="1"/>
        <v>0</v>
      </c>
      <c r="C35" s="601">
        <f ca="1"/>
        <v>0</v>
      </c>
      <c r="D35" s="601">
        <f ca="1"/>
        <v>0</v>
      </c>
      <c r="E35" s="601">
        <f ca="1"/>
        <v>0</v>
      </c>
      <c r="F35" s="601">
        <f ca="1"/>
        <v>0</v>
      </c>
      <c r="G35" s="601">
        <f ca="1"/>
        <v>0</v>
      </c>
      <c r="H35" s="601">
        <f ca="1"/>
        <v>0</v>
      </c>
      <c r="I35" s="601">
        <f ca="1"/>
        <v>0</v>
      </c>
      <c r="J35" s="601">
        <f ca="1"/>
        <v>0</v>
      </c>
      <c r="K35" s="601">
        <f ca="1"/>
        <v>0</v>
      </c>
      <c r="L35" s="601">
        <f ca="1"/>
        <v>0</v>
      </c>
      <c r="M35" s="610">
        <f ca="1"/>
        <v>0</v>
      </c>
      <c r="N35" s="594">
        <f t="shared" ca="1" si="1"/>
        <v>0</v>
      </c>
      <c r="O35" s="62"/>
    </row>
    <row r="36" spans="1:15" ht="15.75" customHeight="1">
      <c r="A36" s="1997" t="str">
        <v/>
      </c>
      <c r="B36" s="600">
        <f ca="1"/>
        <v>0</v>
      </c>
      <c r="C36" s="601">
        <f ca="1"/>
        <v>0</v>
      </c>
      <c r="D36" s="601">
        <f ca="1"/>
        <v>0</v>
      </c>
      <c r="E36" s="601">
        <f ca="1"/>
        <v>0</v>
      </c>
      <c r="F36" s="601">
        <f ca="1"/>
        <v>0</v>
      </c>
      <c r="G36" s="601">
        <f ca="1"/>
        <v>0</v>
      </c>
      <c r="H36" s="601">
        <f ca="1"/>
        <v>0</v>
      </c>
      <c r="I36" s="601">
        <f ca="1"/>
        <v>0</v>
      </c>
      <c r="J36" s="601">
        <f ca="1"/>
        <v>0</v>
      </c>
      <c r="K36" s="601">
        <f ca="1"/>
        <v>0</v>
      </c>
      <c r="L36" s="601">
        <f ca="1"/>
        <v>0</v>
      </c>
      <c r="M36" s="610">
        <f ca="1"/>
        <v>0</v>
      </c>
      <c r="N36" s="594">
        <f t="shared" ca="1" si="1"/>
        <v>0</v>
      </c>
      <c r="O36" s="62"/>
    </row>
    <row r="37" spans="1:15" ht="15.75" customHeight="1">
      <c r="A37" s="1997" t="str">
        <v/>
      </c>
      <c r="B37" s="600">
        <f ca="1"/>
        <v>0</v>
      </c>
      <c r="C37" s="601">
        <f ca="1"/>
        <v>0</v>
      </c>
      <c r="D37" s="601">
        <f ca="1"/>
        <v>0</v>
      </c>
      <c r="E37" s="601">
        <f ca="1"/>
        <v>0</v>
      </c>
      <c r="F37" s="601">
        <f ca="1"/>
        <v>0</v>
      </c>
      <c r="G37" s="601">
        <f ca="1"/>
        <v>0</v>
      </c>
      <c r="H37" s="601">
        <f ca="1"/>
        <v>0</v>
      </c>
      <c r="I37" s="601">
        <f ca="1"/>
        <v>0</v>
      </c>
      <c r="J37" s="601">
        <f ca="1"/>
        <v>0</v>
      </c>
      <c r="K37" s="601">
        <f ca="1"/>
        <v>0</v>
      </c>
      <c r="L37" s="601">
        <f ca="1"/>
        <v>0</v>
      </c>
      <c r="M37" s="610">
        <f ca="1"/>
        <v>0</v>
      </c>
      <c r="N37" s="594">
        <f t="shared" ca="1" si="1"/>
        <v>0</v>
      </c>
      <c r="O37" s="62"/>
    </row>
    <row r="38" spans="1:15" ht="15.75" customHeight="1">
      <c r="A38" s="1997" t="str">
        <v/>
      </c>
      <c r="B38" s="600">
        <f ca="1"/>
        <v>0</v>
      </c>
      <c r="C38" s="601">
        <f ca="1"/>
        <v>0</v>
      </c>
      <c r="D38" s="601">
        <f ca="1"/>
        <v>0</v>
      </c>
      <c r="E38" s="601">
        <f ca="1"/>
        <v>0</v>
      </c>
      <c r="F38" s="601">
        <f ca="1"/>
        <v>0</v>
      </c>
      <c r="G38" s="601">
        <f ca="1"/>
        <v>0</v>
      </c>
      <c r="H38" s="601">
        <f ca="1"/>
        <v>0</v>
      </c>
      <c r="I38" s="601">
        <f ca="1"/>
        <v>0</v>
      </c>
      <c r="J38" s="601">
        <f ca="1"/>
        <v>0</v>
      </c>
      <c r="K38" s="601">
        <f ca="1"/>
        <v>0</v>
      </c>
      <c r="L38" s="601">
        <f ca="1"/>
        <v>0</v>
      </c>
      <c r="M38" s="610">
        <f ca="1"/>
        <v>0</v>
      </c>
      <c r="N38" s="594">
        <f t="shared" ca="1" si="1"/>
        <v>0</v>
      </c>
      <c r="O38" s="62"/>
    </row>
    <row r="39" spans="1:15" ht="15.75" customHeight="1" thickBot="1">
      <c r="A39" s="1998" t="str">
        <v/>
      </c>
      <c r="B39" s="602">
        <f ca="1"/>
        <v>0</v>
      </c>
      <c r="C39" s="603">
        <f ca="1"/>
        <v>0</v>
      </c>
      <c r="D39" s="603">
        <f ca="1"/>
        <v>0</v>
      </c>
      <c r="E39" s="603">
        <f ca="1"/>
        <v>0</v>
      </c>
      <c r="F39" s="603">
        <f ca="1"/>
        <v>0</v>
      </c>
      <c r="G39" s="603">
        <f ca="1"/>
        <v>0</v>
      </c>
      <c r="H39" s="603">
        <f ca="1"/>
        <v>0</v>
      </c>
      <c r="I39" s="603">
        <f ca="1"/>
        <v>0</v>
      </c>
      <c r="J39" s="603">
        <f ca="1"/>
        <v>0</v>
      </c>
      <c r="K39" s="603">
        <f ca="1"/>
        <v>0</v>
      </c>
      <c r="L39" s="603">
        <f ca="1"/>
        <v>0</v>
      </c>
      <c r="M39" s="611">
        <f ca="1"/>
        <v>0</v>
      </c>
      <c r="N39" s="604">
        <f t="shared" ca="1" si="1"/>
        <v>0</v>
      </c>
      <c r="O39" s="62"/>
    </row>
    <row r="40" spans="1:15" ht="15.75" customHeight="1" thickBot="1">
      <c r="A40" s="105" t="str">
        <f>A$28</f>
        <v>Totais</v>
      </c>
      <c r="B40" s="606">
        <f t="shared" ref="B40:M40" ca="1" si="3">SUM(B32:B39)</f>
        <v>35.4351697014</v>
      </c>
      <c r="C40" s="607">
        <f t="shared" ca="1" si="3"/>
        <v>35.4351697014</v>
      </c>
      <c r="D40" s="607">
        <f t="shared" ca="1" si="3"/>
        <v>35.4351697014</v>
      </c>
      <c r="E40" s="607">
        <f t="shared" ca="1" si="3"/>
        <v>35.4351697014</v>
      </c>
      <c r="F40" s="607">
        <f t="shared" ca="1" si="3"/>
        <v>35.4351697014</v>
      </c>
      <c r="G40" s="607">
        <f t="shared" ca="1" si="3"/>
        <v>35.4351697014</v>
      </c>
      <c r="H40" s="607">
        <f t="shared" ca="1" si="3"/>
        <v>35.4351697014</v>
      </c>
      <c r="I40" s="607">
        <f t="shared" ca="1" si="3"/>
        <v>35.4351697014</v>
      </c>
      <c r="J40" s="607">
        <f t="shared" ca="1" si="3"/>
        <v>35.4351697014</v>
      </c>
      <c r="K40" s="607">
        <f t="shared" ca="1" si="3"/>
        <v>35.4351697014</v>
      </c>
      <c r="L40" s="607">
        <f t="shared" ca="1" si="3"/>
        <v>35.4351697014</v>
      </c>
      <c r="M40" s="608">
        <f t="shared" ca="1" si="3"/>
        <v>35.4351697014</v>
      </c>
      <c r="N40" s="605">
        <f ca="1">SUM(B40:M40)</f>
        <v>425.22203641680011</v>
      </c>
      <c r="O40" s="62"/>
    </row>
    <row r="41" spans="1:15" ht="15">
      <c r="A41" s="220"/>
      <c r="B41" s="62" t="str">
        <f>'Distr CV 0'!B41</f>
        <v>Não faz sentido calcular o IVA dos CV no mes no que fosse imputado (mes de venda) senão no mes no que se produzira a compra</v>
      </c>
    </row>
    <row r="42" spans="1:15" ht="15">
      <c r="A42" s="220"/>
    </row>
    <row r="43" spans="1:15" ht="15">
      <c r="A43" s="220"/>
    </row>
    <row r="44" spans="1:15" ht="18.75" thickBot="1">
      <c r="A44" s="1993" t="str">
        <f>'Distr CV 0'!A44</f>
        <v>Custos de produção no ano</v>
      </c>
      <c r="G44" s="2741" t="str">
        <f>$K$1</f>
        <v>Ano 3:  2029</v>
      </c>
      <c r="I44" s="1993" t="str">
        <f>'Distr CV 0'!I44</f>
        <v>IVA NÃO incluido</v>
      </c>
    </row>
    <row r="45" spans="1:15" s="456" customFormat="1" ht="15.75" customHeight="1" thickBot="1">
      <c r="A45" s="457" t="str">
        <f>'Distr CV 0'!A45</f>
        <v>Custos produção</v>
      </c>
      <c r="B45" s="455" t="str">
        <f t="array" ref="B45:M45">meses</f>
        <v>janeiro</v>
      </c>
      <c r="C45" s="451" t="str">
        <v>fevereiro</v>
      </c>
      <c r="D45" s="451" t="str">
        <v>março</v>
      </c>
      <c r="E45" s="451" t="str">
        <v>abril</v>
      </c>
      <c r="F45" s="451" t="str">
        <v>maio</v>
      </c>
      <c r="G45" s="451" t="str">
        <v>junho</v>
      </c>
      <c r="H45" s="451" t="str">
        <v>julho</v>
      </c>
      <c r="I45" s="451" t="str">
        <v>agosto</v>
      </c>
      <c r="J45" s="451" t="str">
        <v>setembro</v>
      </c>
      <c r="K45" s="451" t="str">
        <v>outubro</v>
      </c>
      <c r="L45" s="451" t="str">
        <v>novembro</v>
      </c>
      <c r="M45" s="452" t="str">
        <v>dezembro</v>
      </c>
      <c r="N45" s="449" t="str">
        <f>N$7</f>
        <v>Totais</v>
      </c>
    </row>
    <row r="46" spans="1:15" ht="15.75" customHeight="1">
      <c r="A46" s="1996" t="str">
        <f t="array" ref="A46:A53">productos</f>
        <v>produto 1</v>
      </c>
      <c r="B46" s="598">
        <f t="array" aca="1" ref="B46:M46" ca="1">N124:Y124</f>
        <v>168.73890334000001</v>
      </c>
      <c r="C46" s="599">
        <f ca="1"/>
        <v>168.73890334000001</v>
      </c>
      <c r="D46" s="599">
        <f ca="1"/>
        <v>168.73890334000001</v>
      </c>
      <c r="E46" s="599">
        <f ca="1"/>
        <v>168.73890334000001</v>
      </c>
      <c r="F46" s="599">
        <f ca="1"/>
        <v>168.73890334000001</v>
      </c>
      <c r="G46" s="599">
        <f ca="1"/>
        <v>168.73890334000001</v>
      </c>
      <c r="H46" s="599">
        <f ca="1"/>
        <v>168.73890334000001</v>
      </c>
      <c r="I46" s="599">
        <f ca="1"/>
        <v>168.73890334000001</v>
      </c>
      <c r="J46" s="599">
        <f ca="1"/>
        <v>168.73890334000001</v>
      </c>
      <c r="K46" s="599">
        <f ca="1"/>
        <v>168.73890334000001</v>
      </c>
      <c r="L46" s="599">
        <f ca="1"/>
        <v>168.73890334000001</v>
      </c>
      <c r="M46" s="609">
        <f ca="1"/>
        <v>168.73890334000001</v>
      </c>
      <c r="N46" s="591">
        <f t="shared" ref="N46:N54" ca="1" si="4">SUM(B46:M46)</f>
        <v>2024.86684008</v>
      </c>
      <c r="O46" s="62"/>
    </row>
    <row r="47" spans="1:15" ht="15.75" customHeight="1">
      <c r="A47" s="1997" t="str">
        <v/>
      </c>
      <c r="B47" s="600">
        <f t="array" aca="1" ref="B47:M47" ca="1">N142:Y142</f>
        <v>0</v>
      </c>
      <c r="C47" s="601">
        <f ca="1"/>
        <v>0</v>
      </c>
      <c r="D47" s="601">
        <f ca="1"/>
        <v>0</v>
      </c>
      <c r="E47" s="601">
        <f ca="1"/>
        <v>0</v>
      </c>
      <c r="F47" s="601">
        <f ca="1"/>
        <v>0</v>
      </c>
      <c r="G47" s="601">
        <f ca="1"/>
        <v>0</v>
      </c>
      <c r="H47" s="601">
        <f ca="1"/>
        <v>0</v>
      </c>
      <c r="I47" s="601">
        <f ca="1"/>
        <v>0</v>
      </c>
      <c r="J47" s="601">
        <f ca="1"/>
        <v>0</v>
      </c>
      <c r="K47" s="601">
        <f ca="1"/>
        <v>0</v>
      </c>
      <c r="L47" s="601">
        <f ca="1"/>
        <v>0</v>
      </c>
      <c r="M47" s="610">
        <f ca="1"/>
        <v>0</v>
      </c>
      <c r="N47" s="594">
        <f t="shared" ca="1" si="4"/>
        <v>0</v>
      </c>
      <c r="O47" s="62"/>
    </row>
    <row r="48" spans="1:15" ht="15.75" customHeight="1">
      <c r="A48" s="1997" t="str">
        <v/>
      </c>
      <c r="B48" s="600">
        <f t="array" aca="1" ref="B48:M48" ca="1">N160:Y160</f>
        <v>0</v>
      </c>
      <c r="C48" s="601">
        <f ca="1"/>
        <v>0</v>
      </c>
      <c r="D48" s="601">
        <f ca="1"/>
        <v>0</v>
      </c>
      <c r="E48" s="601">
        <f ca="1"/>
        <v>0</v>
      </c>
      <c r="F48" s="601">
        <f ca="1"/>
        <v>0</v>
      </c>
      <c r="G48" s="601">
        <f ca="1"/>
        <v>0</v>
      </c>
      <c r="H48" s="601">
        <f ca="1"/>
        <v>0</v>
      </c>
      <c r="I48" s="601">
        <f ca="1"/>
        <v>0</v>
      </c>
      <c r="J48" s="601">
        <f ca="1"/>
        <v>0</v>
      </c>
      <c r="K48" s="601">
        <f ca="1"/>
        <v>0</v>
      </c>
      <c r="L48" s="601">
        <f ca="1"/>
        <v>0</v>
      </c>
      <c r="M48" s="610">
        <f ca="1"/>
        <v>0</v>
      </c>
      <c r="N48" s="594">
        <f t="shared" ca="1" si="4"/>
        <v>0</v>
      </c>
      <c r="O48" s="62"/>
    </row>
    <row r="49" spans="1:15" ht="15.75" customHeight="1">
      <c r="A49" s="1997" t="str">
        <v/>
      </c>
      <c r="B49" s="600">
        <f t="array" aca="1" ref="B49:M49" ca="1">N178:Y178</f>
        <v>0</v>
      </c>
      <c r="C49" s="601">
        <f ca="1"/>
        <v>0</v>
      </c>
      <c r="D49" s="601">
        <f ca="1"/>
        <v>0</v>
      </c>
      <c r="E49" s="601">
        <f ca="1"/>
        <v>0</v>
      </c>
      <c r="F49" s="601">
        <f ca="1"/>
        <v>0</v>
      </c>
      <c r="G49" s="601">
        <f ca="1"/>
        <v>0</v>
      </c>
      <c r="H49" s="601">
        <f ca="1"/>
        <v>0</v>
      </c>
      <c r="I49" s="601">
        <f ca="1"/>
        <v>0</v>
      </c>
      <c r="J49" s="601">
        <f ca="1"/>
        <v>0</v>
      </c>
      <c r="K49" s="601">
        <f ca="1"/>
        <v>0</v>
      </c>
      <c r="L49" s="601">
        <f ca="1"/>
        <v>0</v>
      </c>
      <c r="M49" s="610">
        <f ca="1"/>
        <v>0</v>
      </c>
      <c r="N49" s="594">
        <f t="shared" ca="1" si="4"/>
        <v>0</v>
      </c>
      <c r="O49" s="62"/>
    </row>
    <row r="50" spans="1:15" ht="15.75" customHeight="1">
      <c r="A50" s="1997" t="str">
        <v/>
      </c>
      <c r="B50" s="600">
        <f t="array" aca="1" ref="B50:M50" ca="1">N196:Y196</f>
        <v>0</v>
      </c>
      <c r="C50" s="601">
        <f ca="1"/>
        <v>0</v>
      </c>
      <c r="D50" s="601">
        <f ca="1"/>
        <v>0</v>
      </c>
      <c r="E50" s="601">
        <f ca="1"/>
        <v>0</v>
      </c>
      <c r="F50" s="601">
        <f ca="1"/>
        <v>0</v>
      </c>
      <c r="G50" s="601">
        <f ca="1"/>
        <v>0</v>
      </c>
      <c r="H50" s="601">
        <f ca="1"/>
        <v>0</v>
      </c>
      <c r="I50" s="601">
        <f ca="1"/>
        <v>0</v>
      </c>
      <c r="J50" s="601">
        <f ca="1"/>
        <v>0</v>
      </c>
      <c r="K50" s="601">
        <f ca="1"/>
        <v>0</v>
      </c>
      <c r="L50" s="601">
        <f ca="1"/>
        <v>0</v>
      </c>
      <c r="M50" s="610">
        <f ca="1"/>
        <v>0</v>
      </c>
      <c r="N50" s="594">
        <f t="shared" ca="1" si="4"/>
        <v>0</v>
      </c>
      <c r="O50" s="62"/>
    </row>
    <row r="51" spans="1:15" ht="15.75" customHeight="1">
      <c r="A51" s="1997" t="str">
        <v/>
      </c>
      <c r="B51" s="600">
        <f t="array" aca="1" ref="B51:M51" ca="1">N214:Y214</f>
        <v>0</v>
      </c>
      <c r="C51" s="601">
        <f ca="1"/>
        <v>0</v>
      </c>
      <c r="D51" s="601">
        <f ca="1"/>
        <v>0</v>
      </c>
      <c r="E51" s="601">
        <f ca="1"/>
        <v>0</v>
      </c>
      <c r="F51" s="601">
        <f ca="1"/>
        <v>0</v>
      </c>
      <c r="G51" s="601">
        <f ca="1"/>
        <v>0</v>
      </c>
      <c r="H51" s="601">
        <f ca="1"/>
        <v>0</v>
      </c>
      <c r="I51" s="601">
        <f ca="1"/>
        <v>0</v>
      </c>
      <c r="J51" s="601">
        <f ca="1"/>
        <v>0</v>
      </c>
      <c r="K51" s="601">
        <f ca="1"/>
        <v>0</v>
      </c>
      <c r="L51" s="601">
        <f ca="1"/>
        <v>0</v>
      </c>
      <c r="M51" s="610">
        <f ca="1"/>
        <v>0</v>
      </c>
      <c r="N51" s="594">
        <f t="shared" ca="1" si="4"/>
        <v>0</v>
      </c>
      <c r="O51" s="62"/>
    </row>
    <row r="52" spans="1:15" ht="15.75" customHeight="1">
      <c r="A52" s="1997" t="str">
        <v/>
      </c>
      <c r="B52" s="600">
        <f t="array" aca="1" ref="B52:M52" ca="1">N232:Y232</f>
        <v>0</v>
      </c>
      <c r="C52" s="601">
        <f ca="1"/>
        <v>0</v>
      </c>
      <c r="D52" s="601">
        <f ca="1"/>
        <v>0</v>
      </c>
      <c r="E52" s="601">
        <f ca="1"/>
        <v>0</v>
      </c>
      <c r="F52" s="601">
        <f ca="1"/>
        <v>0</v>
      </c>
      <c r="G52" s="601">
        <f ca="1"/>
        <v>0</v>
      </c>
      <c r="H52" s="601">
        <f ca="1"/>
        <v>0</v>
      </c>
      <c r="I52" s="601">
        <f ca="1"/>
        <v>0</v>
      </c>
      <c r="J52" s="601">
        <f ca="1"/>
        <v>0</v>
      </c>
      <c r="K52" s="601">
        <f ca="1"/>
        <v>0</v>
      </c>
      <c r="L52" s="601">
        <f ca="1"/>
        <v>0</v>
      </c>
      <c r="M52" s="610">
        <f ca="1"/>
        <v>0</v>
      </c>
      <c r="N52" s="594">
        <f t="shared" ca="1" si="4"/>
        <v>0</v>
      </c>
      <c r="O52" s="62"/>
    </row>
    <row r="53" spans="1:15" ht="15.75" customHeight="1" thickBot="1">
      <c r="A53" s="1998" t="str">
        <v/>
      </c>
      <c r="B53" s="602">
        <f t="array" aca="1" ref="B53:M53" ca="1">N250:Y250</f>
        <v>0</v>
      </c>
      <c r="C53" s="603">
        <f ca="1"/>
        <v>0</v>
      </c>
      <c r="D53" s="603">
        <f ca="1"/>
        <v>0</v>
      </c>
      <c r="E53" s="603">
        <f ca="1"/>
        <v>0</v>
      </c>
      <c r="F53" s="603">
        <f ca="1"/>
        <v>0</v>
      </c>
      <c r="G53" s="603">
        <f ca="1"/>
        <v>0</v>
      </c>
      <c r="H53" s="603">
        <f ca="1"/>
        <v>0</v>
      </c>
      <c r="I53" s="603">
        <f ca="1"/>
        <v>0</v>
      </c>
      <c r="J53" s="603">
        <f ca="1"/>
        <v>0</v>
      </c>
      <c r="K53" s="603">
        <f ca="1"/>
        <v>0</v>
      </c>
      <c r="L53" s="603">
        <f ca="1"/>
        <v>0</v>
      </c>
      <c r="M53" s="611">
        <f ca="1"/>
        <v>0</v>
      </c>
      <c r="N53" s="604">
        <f t="shared" ca="1" si="4"/>
        <v>0</v>
      </c>
      <c r="O53" s="62"/>
    </row>
    <row r="54" spans="1:15" ht="15.75" customHeight="1" thickBot="1">
      <c r="A54" s="105" t="str">
        <f>A$28</f>
        <v>Totais</v>
      </c>
      <c r="B54" s="606">
        <f t="shared" ref="B54:M54" ca="1" si="5">SUM(B46:B53)</f>
        <v>168.73890334000001</v>
      </c>
      <c r="C54" s="607">
        <f t="shared" ca="1" si="5"/>
        <v>168.73890334000001</v>
      </c>
      <c r="D54" s="607">
        <f t="shared" ca="1" si="5"/>
        <v>168.73890334000001</v>
      </c>
      <c r="E54" s="607">
        <f t="shared" ca="1" si="5"/>
        <v>168.73890334000001</v>
      </c>
      <c r="F54" s="607">
        <f t="shared" ca="1" si="5"/>
        <v>168.73890334000001</v>
      </c>
      <c r="G54" s="607">
        <f t="shared" ca="1" si="5"/>
        <v>168.73890334000001</v>
      </c>
      <c r="H54" s="607">
        <f t="shared" ca="1" si="5"/>
        <v>168.73890334000001</v>
      </c>
      <c r="I54" s="607">
        <f t="shared" ca="1" si="5"/>
        <v>168.73890334000001</v>
      </c>
      <c r="J54" s="607">
        <f t="shared" ca="1" si="5"/>
        <v>168.73890334000001</v>
      </c>
      <c r="K54" s="607">
        <f t="shared" ca="1" si="5"/>
        <v>168.73890334000001</v>
      </c>
      <c r="L54" s="607">
        <f t="shared" ca="1" si="5"/>
        <v>168.73890334000001</v>
      </c>
      <c r="M54" s="608">
        <f t="shared" ca="1" si="5"/>
        <v>168.73890334000001</v>
      </c>
      <c r="N54" s="605">
        <f t="shared" ca="1" si="4"/>
        <v>2024.86684008</v>
      </c>
      <c r="O54" s="62"/>
    </row>
    <row r="55" spans="1:15">
      <c r="A55" s="1011" t="str">
        <f>'Distr CV 1'!A55</f>
        <v>Pendente anterior</v>
      </c>
      <c r="B55" s="1011">
        <f ca="1">SUM(B124:M124,B142:M142,B160:M160,B178:M178,B196:M196,B214:M214,B232:M232,B250:M250)</f>
        <v>0</v>
      </c>
    </row>
    <row r="57" spans="1:15" ht="18.75" thickBot="1">
      <c r="A57" s="1993" t="str">
        <f>'Distr CV 0'!A57</f>
        <v>IVA soportado dos custos de produção no ano</v>
      </c>
      <c r="G57" s="2741" t="str">
        <f>$K$1</f>
        <v>Ano 3:  2029</v>
      </c>
      <c r="I57" s="1993"/>
    </row>
    <row r="58" spans="1:15" s="456" customFormat="1" ht="15.75" customHeight="1" thickBot="1">
      <c r="A58" s="457" t="str">
        <f>'Distr CV 0'!A58</f>
        <v>Custos produção</v>
      </c>
      <c r="B58" s="455" t="str">
        <f t="array" ref="B58:M58">meses</f>
        <v>janeiro</v>
      </c>
      <c r="C58" s="451" t="str">
        <v>fevereiro</v>
      </c>
      <c r="D58" s="451" t="str">
        <v>março</v>
      </c>
      <c r="E58" s="451" t="str">
        <v>abril</v>
      </c>
      <c r="F58" s="451" t="str">
        <v>maio</v>
      </c>
      <c r="G58" s="451" t="str">
        <v>junho</v>
      </c>
      <c r="H58" s="451" t="str">
        <v>julho</v>
      </c>
      <c r="I58" s="451" t="str">
        <v>agosto</v>
      </c>
      <c r="J58" s="451" t="str">
        <v>setembro</v>
      </c>
      <c r="K58" s="451" t="str">
        <v>outubro</v>
      </c>
      <c r="L58" s="451" t="str">
        <v>novembro</v>
      </c>
      <c r="M58" s="452" t="str">
        <v>dezembro</v>
      </c>
      <c r="N58" s="449" t="str">
        <f>N$7</f>
        <v>Totais</v>
      </c>
    </row>
    <row r="59" spans="1:15" ht="15.75" customHeight="1">
      <c r="A59" s="1996" t="str">
        <f t="array" ref="A59:A66">productos</f>
        <v>produto 1</v>
      </c>
      <c r="B59" s="598">
        <f t="array" aca="1" ref="B59:M59" ca="1">N125:Y125</f>
        <v>35.4351697014</v>
      </c>
      <c r="C59" s="599">
        <f ca="1"/>
        <v>35.4351697014</v>
      </c>
      <c r="D59" s="599">
        <f ca="1"/>
        <v>35.4351697014</v>
      </c>
      <c r="E59" s="599">
        <f ca="1"/>
        <v>35.4351697014</v>
      </c>
      <c r="F59" s="599">
        <f ca="1"/>
        <v>35.4351697014</v>
      </c>
      <c r="G59" s="599">
        <f ca="1"/>
        <v>35.4351697014</v>
      </c>
      <c r="H59" s="599">
        <f ca="1"/>
        <v>35.4351697014</v>
      </c>
      <c r="I59" s="599">
        <f ca="1"/>
        <v>35.4351697014</v>
      </c>
      <c r="J59" s="599">
        <f ca="1"/>
        <v>35.4351697014</v>
      </c>
      <c r="K59" s="599">
        <f ca="1"/>
        <v>35.4351697014</v>
      </c>
      <c r="L59" s="599">
        <f ca="1"/>
        <v>35.4351697014</v>
      </c>
      <c r="M59" s="609">
        <f ca="1"/>
        <v>35.4351697014</v>
      </c>
      <c r="N59" s="591">
        <f t="shared" ref="N59:N67" ca="1" si="6">SUM(B59:M59)</f>
        <v>425.22203641680011</v>
      </c>
      <c r="O59" s="62"/>
    </row>
    <row r="60" spans="1:15" ht="15.75" customHeight="1">
      <c r="A60" s="1997" t="str">
        <v/>
      </c>
      <c r="B60" s="600">
        <f t="array" aca="1" ref="B60:M60" ca="1">N143:Y143</f>
        <v>0</v>
      </c>
      <c r="C60" s="601">
        <f ca="1"/>
        <v>0</v>
      </c>
      <c r="D60" s="601">
        <f ca="1"/>
        <v>0</v>
      </c>
      <c r="E60" s="601">
        <f ca="1"/>
        <v>0</v>
      </c>
      <c r="F60" s="601">
        <f ca="1"/>
        <v>0</v>
      </c>
      <c r="G60" s="601">
        <f ca="1"/>
        <v>0</v>
      </c>
      <c r="H60" s="601">
        <f ca="1"/>
        <v>0</v>
      </c>
      <c r="I60" s="601">
        <f ca="1"/>
        <v>0</v>
      </c>
      <c r="J60" s="601">
        <f ca="1"/>
        <v>0</v>
      </c>
      <c r="K60" s="601">
        <f ca="1"/>
        <v>0</v>
      </c>
      <c r="L60" s="601">
        <f ca="1"/>
        <v>0</v>
      </c>
      <c r="M60" s="610">
        <f ca="1"/>
        <v>0</v>
      </c>
      <c r="N60" s="594">
        <f t="shared" ca="1" si="6"/>
        <v>0</v>
      </c>
      <c r="O60" s="62"/>
    </row>
    <row r="61" spans="1:15" ht="15.75" customHeight="1">
      <c r="A61" s="1997" t="str">
        <v/>
      </c>
      <c r="B61" s="600">
        <f t="array" aca="1" ref="B61:M61" ca="1">N161:Y161</f>
        <v>0</v>
      </c>
      <c r="C61" s="601">
        <f ca="1"/>
        <v>0</v>
      </c>
      <c r="D61" s="601">
        <f ca="1"/>
        <v>0</v>
      </c>
      <c r="E61" s="601">
        <f ca="1"/>
        <v>0</v>
      </c>
      <c r="F61" s="601">
        <f ca="1"/>
        <v>0</v>
      </c>
      <c r="G61" s="601">
        <f ca="1"/>
        <v>0</v>
      </c>
      <c r="H61" s="601">
        <f ca="1"/>
        <v>0</v>
      </c>
      <c r="I61" s="601">
        <f ca="1"/>
        <v>0</v>
      </c>
      <c r="J61" s="601">
        <f ca="1"/>
        <v>0</v>
      </c>
      <c r="K61" s="601">
        <f ca="1"/>
        <v>0</v>
      </c>
      <c r="L61" s="601">
        <f ca="1"/>
        <v>0</v>
      </c>
      <c r="M61" s="610">
        <f ca="1"/>
        <v>0</v>
      </c>
      <c r="N61" s="594">
        <f t="shared" ca="1" si="6"/>
        <v>0</v>
      </c>
      <c r="O61" s="62"/>
    </row>
    <row r="62" spans="1:15" ht="15.75" customHeight="1">
      <c r="A62" s="1997" t="str">
        <v/>
      </c>
      <c r="B62" s="600">
        <f t="array" aca="1" ref="B62:M62" ca="1">N179:Y179</f>
        <v>0</v>
      </c>
      <c r="C62" s="601">
        <f ca="1"/>
        <v>0</v>
      </c>
      <c r="D62" s="601">
        <f ca="1"/>
        <v>0</v>
      </c>
      <c r="E62" s="601">
        <f ca="1"/>
        <v>0</v>
      </c>
      <c r="F62" s="601">
        <f ca="1"/>
        <v>0</v>
      </c>
      <c r="G62" s="601">
        <f ca="1"/>
        <v>0</v>
      </c>
      <c r="H62" s="601">
        <f ca="1"/>
        <v>0</v>
      </c>
      <c r="I62" s="601">
        <f ca="1"/>
        <v>0</v>
      </c>
      <c r="J62" s="601">
        <f ca="1"/>
        <v>0</v>
      </c>
      <c r="K62" s="601">
        <f ca="1"/>
        <v>0</v>
      </c>
      <c r="L62" s="601">
        <f ca="1"/>
        <v>0</v>
      </c>
      <c r="M62" s="610">
        <f ca="1"/>
        <v>0</v>
      </c>
      <c r="N62" s="594">
        <f t="shared" ca="1" si="6"/>
        <v>0</v>
      </c>
      <c r="O62" s="62"/>
    </row>
    <row r="63" spans="1:15" ht="15.75" customHeight="1">
      <c r="A63" s="1997" t="str">
        <v/>
      </c>
      <c r="B63" s="600">
        <f t="array" aca="1" ref="B63:M63" ca="1">N197:Y197</f>
        <v>0</v>
      </c>
      <c r="C63" s="601">
        <f ca="1"/>
        <v>0</v>
      </c>
      <c r="D63" s="601">
        <f ca="1"/>
        <v>0</v>
      </c>
      <c r="E63" s="601">
        <f ca="1"/>
        <v>0</v>
      </c>
      <c r="F63" s="601">
        <f ca="1"/>
        <v>0</v>
      </c>
      <c r="G63" s="601">
        <f ca="1"/>
        <v>0</v>
      </c>
      <c r="H63" s="601">
        <f ca="1"/>
        <v>0</v>
      </c>
      <c r="I63" s="601">
        <f ca="1"/>
        <v>0</v>
      </c>
      <c r="J63" s="601">
        <f ca="1"/>
        <v>0</v>
      </c>
      <c r="K63" s="601">
        <f ca="1"/>
        <v>0</v>
      </c>
      <c r="L63" s="601">
        <f ca="1"/>
        <v>0</v>
      </c>
      <c r="M63" s="610">
        <f ca="1"/>
        <v>0</v>
      </c>
      <c r="N63" s="594">
        <f t="shared" ca="1" si="6"/>
        <v>0</v>
      </c>
      <c r="O63" s="62"/>
    </row>
    <row r="64" spans="1:15" ht="15.75" customHeight="1">
      <c r="A64" s="1997" t="str">
        <v/>
      </c>
      <c r="B64" s="600">
        <f t="array" aca="1" ref="B64:M64" ca="1">N215:Y215</f>
        <v>0</v>
      </c>
      <c r="C64" s="601">
        <f ca="1"/>
        <v>0</v>
      </c>
      <c r="D64" s="601">
        <f ca="1"/>
        <v>0</v>
      </c>
      <c r="E64" s="601">
        <f ca="1"/>
        <v>0</v>
      </c>
      <c r="F64" s="601">
        <f ca="1"/>
        <v>0</v>
      </c>
      <c r="G64" s="601">
        <f ca="1"/>
        <v>0</v>
      </c>
      <c r="H64" s="601">
        <f ca="1"/>
        <v>0</v>
      </c>
      <c r="I64" s="601">
        <f ca="1"/>
        <v>0</v>
      </c>
      <c r="J64" s="601">
        <f ca="1"/>
        <v>0</v>
      </c>
      <c r="K64" s="601">
        <f ca="1"/>
        <v>0</v>
      </c>
      <c r="L64" s="601">
        <f ca="1"/>
        <v>0</v>
      </c>
      <c r="M64" s="610">
        <f ca="1"/>
        <v>0</v>
      </c>
      <c r="N64" s="594">
        <f t="shared" ca="1" si="6"/>
        <v>0</v>
      </c>
      <c r="O64" s="62"/>
    </row>
    <row r="65" spans="1:26" ht="15.75" customHeight="1">
      <c r="A65" s="1997" t="str">
        <v/>
      </c>
      <c r="B65" s="600">
        <f t="array" aca="1" ref="B65:M65" ca="1">N233:Y233</f>
        <v>0</v>
      </c>
      <c r="C65" s="601">
        <f ca="1"/>
        <v>0</v>
      </c>
      <c r="D65" s="601">
        <f ca="1"/>
        <v>0</v>
      </c>
      <c r="E65" s="601">
        <f ca="1"/>
        <v>0</v>
      </c>
      <c r="F65" s="601">
        <f ca="1"/>
        <v>0</v>
      </c>
      <c r="G65" s="601">
        <f ca="1"/>
        <v>0</v>
      </c>
      <c r="H65" s="601">
        <f ca="1"/>
        <v>0</v>
      </c>
      <c r="I65" s="601">
        <f ca="1"/>
        <v>0</v>
      </c>
      <c r="J65" s="601">
        <f ca="1"/>
        <v>0</v>
      </c>
      <c r="K65" s="601">
        <f ca="1"/>
        <v>0</v>
      </c>
      <c r="L65" s="601">
        <f ca="1"/>
        <v>0</v>
      </c>
      <c r="M65" s="610">
        <f ca="1"/>
        <v>0</v>
      </c>
      <c r="N65" s="594">
        <f t="shared" ca="1" si="6"/>
        <v>0</v>
      </c>
      <c r="O65" s="62"/>
    </row>
    <row r="66" spans="1:26" ht="15.75" customHeight="1" thickBot="1">
      <c r="A66" s="1998" t="str">
        <v/>
      </c>
      <c r="B66" s="602">
        <f t="array" aca="1" ref="B66:M66" ca="1">N251:Y251</f>
        <v>0</v>
      </c>
      <c r="C66" s="603">
        <f ca="1"/>
        <v>0</v>
      </c>
      <c r="D66" s="603">
        <f ca="1"/>
        <v>0</v>
      </c>
      <c r="E66" s="603">
        <f ca="1"/>
        <v>0</v>
      </c>
      <c r="F66" s="603">
        <f ca="1"/>
        <v>0</v>
      </c>
      <c r="G66" s="603">
        <f ca="1"/>
        <v>0</v>
      </c>
      <c r="H66" s="603">
        <f ca="1"/>
        <v>0</v>
      </c>
      <c r="I66" s="603">
        <f ca="1"/>
        <v>0</v>
      </c>
      <c r="J66" s="603">
        <f ca="1"/>
        <v>0</v>
      </c>
      <c r="K66" s="603">
        <f ca="1"/>
        <v>0</v>
      </c>
      <c r="L66" s="603">
        <f ca="1"/>
        <v>0</v>
      </c>
      <c r="M66" s="611">
        <f ca="1"/>
        <v>0</v>
      </c>
      <c r="N66" s="604">
        <f t="shared" ca="1" si="6"/>
        <v>0</v>
      </c>
      <c r="O66" s="62"/>
    </row>
    <row r="67" spans="1:26" ht="15.75" customHeight="1" thickBot="1">
      <c r="A67" s="105" t="str">
        <f>A$28</f>
        <v>Totais</v>
      </c>
      <c r="B67" s="606">
        <f t="shared" ref="B67:M67" ca="1" si="7">SUM(B59:B66)</f>
        <v>35.4351697014</v>
      </c>
      <c r="C67" s="607">
        <f t="shared" ca="1" si="7"/>
        <v>35.4351697014</v>
      </c>
      <c r="D67" s="607">
        <f t="shared" ca="1" si="7"/>
        <v>35.4351697014</v>
      </c>
      <c r="E67" s="607">
        <f t="shared" ca="1" si="7"/>
        <v>35.4351697014</v>
      </c>
      <c r="F67" s="607">
        <f t="shared" ca="1" si="7"/>
        <v>35.4351697014</v>
      </c>
      <c r="G67" s="607">
        <f t="shared" ca="1" si="7"/>
        <v>35.4351697014</v>
      </c>
      <c r="H67" s="607">
        <f t="shared" ca="1" si="7"/>
        <v>35.4351697014</v>
      </c>
      <c r="I67" s="607">
        <f t="shared" ca="1" si="7"/>
        <v>35.4351697014</v>
      </c>
      <c r="J67" s="607">
        <f t="shared" ca="1" si="7"/>
        <v>35.4351697014</v>
      </c>
      <c r="K67" s="607">
        <f t="shared" ca="1" si="7"/>
        <v>35.4351697014</v>
      </c>
      <c r="L67" s="607">
        <f t="shared" ca="1" si="7"/>
        <v>35.4351697014</v>
      </c>
      <c r="M67" s="608">
        <f t="shared" ca="1" si="7"/>
        <v>35.4351697014</v>
      </c>
      <c r="N67" s="605">
        <f t="shared" ca="1" si="6"/>
        <v>425.22203641680011</v>
      </c>
      <c r="O67" s="62"/>
    </row>
    <row r="68" spans="1:26">
      <c r="A68" s="1011" t="s">
        <v>272</v>
      </c>
      <c r="B68" s="1011">
        <f ca="1">SUM(B125:M125,B143:M143,B161:M161,B179:M179,B197:M197,B215:M215,B233:M233,B251:M251)</f>
        <v>0</v>
      </c>
    </row>
    <row r="69" spans="1:26" ht="15">
      <c r="A69" s="220"/>
    </row>
    <row r="70" spans="1:26" ht="18.75" thickBot="1">
      <c r="A70" s="1993" t="str">
        <f>'Distr CV 0'!A70</f>
        <v>Distribuição dos custos de produção por meses das unidades vendidas no ano</v>
      </c>
      <c r="I70" s="1993" t="str">
        <f>I$44</f>
        <v>IVA NÃO incluido</v>
      </c>
    </row>
    <row r="71" spans="1:26" s="456" customFormat="1" ht="32.25" customHeight="1" thickBot="1">
      <c r="A71" s="457" t="str">
        <f>'Distr CV 0'!A71</f>
        <v>Custos produção</v>
      </c>
      <c r="B71" s="2011" t="str">
        <f t="array" ref="B71:M71">'Estimações Vendas'!B31:M31</f>
        <v>janeiro 
2028</v>
      </c>
      <c r="C71" s="2011" t="str">
        <v>fevereiro 
2028</v>
      </c>
      <c r="D71" s="2011" t="str">
        <v>março 
2028</v>
      </c>
      <c r="E71" s="2011" t="str">
        <v>abril 
2028</v>
      </c>
      <c r="F71" s="2011" t="str">
        <v>maio 
2028</v>
      </c>
      <c r="G71" s="2011" t="str">
        <v>junho 
2028</v>
      </c>
      <c r="H71" s="2011" t="str">
        <v>julho 
2028</v>
      </c>
      <c r="I71" s="2011" t="str">
        <v>agosto 
2028</v>
      </c>
      <c r="J71" s="2011" t="str">
        <v>setembro 
2028</v>
      </c>
      <c r="K71" s="2011" t="str">
        <v>outubro 
2028</v>
      </c>
      <c r="L71" s="2011" t="str">
        <v>novembro 
2028</v>
      </c>
      <c r="M71" s="2011" t="str">
        <v>dezembro 
2028</v>
      </c>
      <c r="N71" s="2734" t="str">
        <f t="array" ref="N71:Y71">'Estimações Vendas'!B44:M44</f>
        <v>janeiro 
2029</v>
      </c>
      <c r="O71" s="2735" t="str">
        <v>fevereiro 
2029</v>
      </c>
      <c r="P71" s="2735" t="str">
        <v>março 
2029</v>
      </c>
      <c r="Q71" s="2735" t="str">
        <v>abril 
2029</v>
      </c>
      <c r="R71" s="2735" t="str">
        <v>maio 
2029</v>
      </c>
      <c r="S71" s="2735" t="str">
        <v>junho 
2029</v>
      </c>
      <c r="T71" s="2735" t="str">
        <v>julho 
2029</v>
      </c>
      <c r="U71" s="2735" t="str">
        <v>agosto 
2029</v>
      </c>
      <c r="V71" s="2735" t="str">
        <v>setembro 
2029</v>
      </c>
      <c r="W71" s="2735" t="str">
        <v>outubro 
2029</v>
      </c>
      <c r="X71" s="2735" t="str">
        <v>novembro 
2029</v>
      </c>
      <c r="Y71" s="2736" t="str">
        <v>dezembro 
2029</v>
      </c>
      <c r="Z71" s="62"/>
    </row>
    <row r="72" spans="1:26" ht="15.75" customHeight="1">
      <c r="A72" s="1994" t="s">
        <v>259</v>
      </c>
      <c r="B72" s="1991"/>
      <c r="C72" s="1991"/>
      <c r="D72" s="1991"/>
      <c r="E72" s="1991"/>
      <c r="F72" s="1991"/>
      <c r="G72" s="1991"/>
      <c r="H72" s="1989">
        <v>0</v>
      </c>
      <c r="I72" s="1990">
        <v>0</v>
      </c>
      <c r="J72" s="1990">
        <v>0</v>
      </c>
      <c r="K72" s="1990">
        <v>0</v>
      </c>
      <c r="L72" s="1990">
        <v>0</v>
      </c>
      <c r="M72" s="1990">
        <v>0</v>
      </c>
      <c r="N72" s="599">
        <f t="array" aca="1" ref="N72" ca="1">SUM(B20:B27*Produção!$N$8:$N$15)</f>
        <v>168.73890334000001</v>
      </c>
      <c r="O72" s="599">
        <f t="array" aca="1" ref="O72" ca="1">SUM(C20:C27*Produção!$N$8:$N$15)</f>
        <v>168.73890334000001</v>
      </c>
      <c r="P72" s="599">
        <f t="array" aca="1" ref="P72" ca="1">SUM(D20:D27*Produção!$N$8:$N$15)</f>
        <v>168.73890334000001</v>
      </c>
      <c r="Q72" s="599">
        <f t="array" aca="1" ref="Q72" ca="1">SUM(E20:E27*Produção!$N$8:$N$15)</f>
        <v>168.73890334000001</v>
      </c>
      <c r="R72" s="599">
        <f t="array" aca="1" ref="R72" ca="1">SUM(F20:F27*Produção!$N$8:$N$15)</f>
        <v>168.73890334000001</v>
      </c>
      <c r="S72" s="599">
        <f t="array" aca="1" ref="S72" ca="1">SUM(G20:G27*Produção!$N$8:$N$15)</f>
        <v>168.73890334000001</v>
      </c>
      <c r="T72" s="599">
        <f t="array" aca="1" ref="T72" ca="1">SUM(H20:H27*Produção!$N$8:$N$15)</f>
        <v>168.73890334000001</v>
      </c>
      <c r="U72" s="599">
        <f t="array" aca="1" ref="U72" ca="1">SUM(I20:I27*Produção!$N$8:$N$15)</f>
        <v>168.73890334000001</v>
      </c>
      <c r="V72" s="599">
        <f t="array" aca="1" ref="V72" ca="1">SUM(J20:J27*Produção!$N$8:$N$15)</f>
        <v>168.73890334000001</v>
      </c>
      <c r="W72" s="599">
        <f t="array" aca="1" ref="W72" ca="1">SUM(K20:K27*Produção!$N$8:$N$15)</f>
        <v>168.73890334000001</v>
      </c>
      <c r="X72" s="599">
        <f t="array" aca="1" ref="X72" ca="1">SUM(L20:L27*Produção!$N$8:$N$15)</f>
        <v>168.73890334000001</v>
      </c>
      <c r="Y72" s="2009">
        <f t="array" aca="1" ref="Y72" ca="1">SUM(M20:M27*Produção!$N$8:$N$15)</f>
        <v>168.73890334000001</v>
      </c>
    </row>
    <row r="73" spans="1:26" ht="15.75" customHeight="1">
      <c r="A73" s="1995" t="s">
        <v>260</v>
      </c>
      <c r="B73" s="1991"/>
      <c r="C73" s="1991"/>
      <c r="D73" s="1991"/>
      <c r="E73" s="1991"/>
      <c r="F73" s="1991"/>
      <c r="G73" s="1991"/>
      <c r="H73" s="1991"/>
      <c r="I73" s="1988"/>
      <c r="J73" s="1988"/>
      <c r="K73" s="1988"/>
      <c r="L73" s="1988"/>
      <c r="M73" s="601">
        <f t="array" aca="1" ref="M73" ca="1">SUM(B20:B27*Produção!$M$8:$M$15)</f>
        <v>0</v>
      </c>
      <c r="N73" s="601">
        <f t="array" aca="1" ref="N73" ca="1">SUM(C20:C27*Produção!$M$8:$M$15)</f>
        <v>0</v>
      </c>
      <c r="O73" s="601">
        <f t="array" aca="1" ref="O73" ca="1">SUM(D20:D27*Produção!$M$8:$M$15)</f>
        <v>0</v>
      </c>
      <c r="P73" s="601">
        <f t="array" aca="1" ref="P73" ca="1">SUM(E20:E27*Produção!$M$8:$M$15)</f>
        <v>0</v>
      </c>
      <c r="Q73" s="601">
        <f t="array" aca="1" ref="Q73" ca="1">SUM(F20:F27*Produção!$M$8:$M$15)</f>
        <v>0</v>
      </c>
      <c r="R73" s="601">
        <f t="array" aca="1" ref="R73" ca="1">SUM(G20:G27*Produção!$M$8:$M$15)</f>
        <v>0</v>
      </c>
      <c r="S73" s="601">
        <f t="array" aca="1" ref="S73" ca="1">SUM(H20:H27*Produção!$M$8:$M$15)</f>
        <v>0</v>
      </c>
      <c r="T73" s="601">
        <f t="array" aca="1" ref="T73" ca="1">SUM(I20:I27*Produção!$M$8:$M$15)</f>
        <v>0</v>
      </c>
      <c r="U73" s="601">
        <f t="array" aca="1" ref="U73" ca="1">SUM(J20:J27*Produção!$M$8:$M$15)</f>
        <v>0</v>
      </c>
      <c r="V73" s="601">
        <f t="array" aca="1" ref="V73" ca="1">SUM(K20:K27*Produção!$M$8:$M$15)</f>
        <v>0</v>
      </c>
      <c r="W73" s="601">
        <f t="array" aca="1" ref="W73" ca="1">SUM(L20:L27*Produção!$M$8:$M$15)</f>
        <v>0</v>
      </c>
      <c r="X73" s="601">
        <f t="array" aca="1" ref="X73" ca="1">SUM(M20:M27*Produção!$M$8:$M$15)</f>
        <v>0</v>
      </c>
      <c r="Y73" s="2007">
        <f t="array" aca="1" ref="Y73:Y84" ca="1">'Distr CV 4'!M73:M84</f>
        <v>0</v>
      </c>
    </row>
    <row r="74" spans="1:26" ht="15.75" customHeight="1">
      <c r="A74" s="1995" t="s">
        <v>261</v>
      </c>
      <c r="B74" s="1991"/>
      <c r="C74" s="1991"/>
      <c r="D74" s="1991"/>
      <c r="E74" s="1991"/>
      <c r="F74" s="1991"/>
      <c r="G74" s="1991"/>
      <c r="H74" s="1991"/>
      <c r="I74" s="1988"/>
      <c r="J74" s="1988"/>
      <c r="K74" s="1988"/>
      <c r="L74" s="601">
        <f t="array" aca="1" ref="L74" ca="1">SUM(B20:B27*Produção!$L$8:$L$15)</f>
        <v>0</v>
      </c>
      <c r="M74" s="601">
        <f t="array" aca="1" ref="M74" ca="1">SUM(C20:C27*Produção!$L$8:$L$15)</f>
        <v>0</v>
      </c>
      <c r="N74" s="601">
        <f t="array" aca="1" ref="N74" ca="1">SUM(D20:D27*Produção!$L$8:$L$15)</f>
        <v>0</v>
      </c>
      <c r="O74" s="601">
        <f t="array" aca="1" ref="O74" ca="1">SUM(E20:E27*Produção!$L$8:$L$15)</f>
        <v>0</v>
      </c>
      <c r="P74" s="601">
        <f t="array" aca="1" ref="P74" ca="1">SUM(F20:F27*Produção!$L$8:$L$15)</f>
        <v>0</v>
      </c>
      <c r="Q74" s="601">
        <f t="array" aca="1" ref="Q74" ca="1">SUM(G20:G27*Produção!$L$8:$L$15)</f>
        <v>0</v>
      </c>
      <c r="R74" s="601">
        <f t="array" aca="1" ref="R74" ca="1">SUM(H20:H27*Produção!$L$8:$L$15)</f>
        <v>0</v>
      </c>
      <c r="S74" s="601">
        <f t="array" aca="1" ref="S74" ca="1">SUM(I20:I27*Produção!$L$8:$L$15)</f>
        <v>0</v>
      </c>
      <c r="T74" s="601">
        <f t="array" aca="1" ref="T74" ca="1">SUM(J20:J27*Produção!$L$8:$L$15)</f>
        <v>0</v>
      </c>
      <c r="U74" s="601">
        <f t="array" aca="1" ref="U74" ca="1">SUM(K20:K27*Produção!$L$8:$L$15)</f>
        <v>0</v>
      </c>
      <c r="V74" s="601">
        <f t="array" aca="1" ref="V74" ca="1">SUM(L20:L27*Produção!$L$8:$L$15)</f>
        <v>0</v>
      </c>
      <c r="W74" s="601">
        <f t="array" aca="1" ref="W74" ca="1">SUM(M20:M27*Produção!$L$8:$L$15)</f>
        <v>0</v>
      </c>
      <c r="X74" s="1988">
        <f t="array" aca="1" ref="X74:X84" ca="1">'Distr CV 4'!L74:L84</f>
        <v>0</v>
      </c>
      <c r="Y74" s="2007">
        <f ca="1"/>
        <v>0</v>
      </c>
    </row>
    <row r="75" spans="1:26" ht="15.75" customHeight="1">
      <c r="A75" s="1995" t="s">
        <v>262</v>
      </c>
      <c r="B75" s="1991"/>
      <c r="C75" s="1991"/>
      <c r="D75" s="1991"/>
      <c r="E75" s="1991"/>
      <c r="F75" s="1991"/>
      <c r="G75" s="1991"/>
      <c r="H75" s="1991"/>
      <c r="I75" s="1988"/>
      <c r="J75" s="1988"/>
      <c r="K75" s="601">
        <f t="array" aca="1" ref="K75" ca="1">SUM(B20:B27*Produção!$K$8:$K$15)</f>
        <v>0</v>
      </c>
      <c r="L75" s="601">
        <f t="array" aca="1" ref="L75" ca="1">SUM(C20:C27*Produção!$K$8:$K$15)</f>
        <v>0</v>
      </c>
      <c r="M75" s="601">
        <f t="array" aca="1" ref="M75" ca="1">SUM(D20:D27*Produção!$K$8:$K$15)</f>
        <v>0</v>
      </c>
      <c r="N75" s="601">
        <f t="array" aca="1" ref="N75" ca="1">SUM(E20:E27*Produção!$K$8:$K$15)</f>
        <v>0</v>
      </c>
      <c r="O75" s="601">
        <f t="array" aca="1" ref="O75" ca="1">SUM(F20:F27*Produção!$K$8:$K$15)</f>
        <v>0</v>
      </c>
      <c r="P75" s="601">
        <f t="array" aca="1" ref="P75" ca="1">SUM(G20:G27*Produção!$K$8:$K$15)</f>
        <v>0</v>
      </c>
      <c r="Q75" s="601">
        <f t="array" aca="1" ref="Q75" ca="1">SUM(H20:H27*Produção!$K$8:$K$15)</f>
        <v>0</v>
      </c>
      <c r="R75" s="601">
        <f t="array" aca="1" ref="R75" ca="1">SUM(I20:I27*Produção!$K$8:$K$15)</f>
        <v>0</v>
      </c>
      <c r="S75" s="601">
        <f t="array" aca="1" ref="S75" ca="1">SUM(J20:J27*Produção!$K$8:$K$15)</f>
        <v>0</v>
      </c>
      <c r="T75" s="601">
        <f t="array" aca="1" ref="T75" ca="1">SUM(K20:K27*Produção!$K$8:$K$15)</f>
        <v>0</v>
      </c>
      <c r="U75" s="601">
        <f t="array" aca="1" ref="U75" ca="1">SUM(L20:L27*Produção!$K$8:$K$15)</f>
        <v>0</v>
      </c>
      <c r="V75" s="601">
        <f t="array" aca="1" ref="V75" ca="1">SUM(M20:M27*Produção!$K$8:$K$15)</f>
        <v>0</v>
      </c>
      <c r="W75" s="1988">
        <f t="array" aca="1" ref="W75:W84" ca="1">'Distr CV 4'!K75:K84</f>
        <v>0</v>
      </c>
      <c r="X75" s="1988">
        <f ca="1"/>
        <v>0</v>
      </c>
      <c r="Y75" s="2007">
        <f ca="1"/>
        <v>0</v>
      </c>
    </row>
    <row r="76" spans="1:26" ht="15.75" customHeight="1">
      <c r="A76" s="1995" t="s">
        <v>263</v>
      </c>
      <c r="B76" s="1991"/>
      <c r="C76" s="1991"/>
      <c r="D76" s="1991"/>
      <c r="E76" s="1991"/>
      <c r="F76" s="1991"/>
      <c r="G76" s="1991"/>
      <c r="H76" s="1991"/>
      <c r="I76" s="1988"/>
      <c r="J76" s="601">
        <f t="array" aca="1" ref="J76" ca="1">SUM(B20:B27*Produção!$J$8:$J$15)</f>
        <v>0</v>
      </c>
      <c r="K76" s="601">
        <f t="array" aca="1" ref="K76" ca="1">SUM(C20:C27*Produção!$J$8:$J$15)</f>
        <v>0</v>
      </c>
      <c r="L76" s="601">
        <f t="array" aca="1" ref="L76" ca="1">SUM(D20:D27*Produção!$J$8:$J$15)</f>
        <v>0</v>
      </c>
      <c r="M76" s="601">
        <f t="array" aca="1" ref="M76" ca="1">SUM(E20:E27*Produção!$J$8:$J$15)</f>
        <v>0</v>
      </c>
      <c r="N76" s="601">
        <f t="array" aca="1" ref="N76" ca="1">SUM(F20:F27*Produção!$J$8:$J$15)</f>
        <v>0</v>
      </c>
      <c r="O76" s="601">
        <f t="array" aca="1" ref="O76" ca="1">SUM(G20:G27*Produção!$J$8:$J$15)</f>
        <v>0</v>
      </c>
      <c r="P76" s="601">
        <f t="array" aca="1" ref="P76" ca="1">SUM(H20:H27*Produção!$J$8:$J$15)</f>
        <v>0</v>
      </c>
      <c r="Q76" s="601">
        <f t="array" aca="1" ref="Q76" ca="1">SUM(I20:I27*Produção!$J$8:$J$15)</f>
        <v>0</v>
      </c>
      <c r="R76" s="601">
        <f t="array" aca="1" ref="R76" ca="1">SUM(J20:J27*Produção!$J$8:$J$15)</f>
        <v>0</v>
      </c>
      <c r="S76" s="601">
        <f t="array" aca="1" ref="S76" ca="1">SUM(K20:K27*Produção!$J$8:$J$15)</f>
        <v>0</v>
      </c>
      <c r="T76" s="601">
        <f t="array" aca="1" ref="T76" ca="1">SUM(L20:L27*Produção!$J$8:$J$15)</f>
        <v>0</v>
      </c>
      <c r="U76" s="601">
        <f t="array" aca="1" ref="U76" ca="1">SUM(M20:M27*Produção!$J$8:$J$15)</f>
        <v>0</v>
      </c>
      <c r="V76" s="1988">
        <f t="array" aca="1" ref="V76:V84" ca="1">'Distr CV 4'!J76:J84</f>
        <v>0</v>
      </c>
      <c r="W76" s="1988">
        <f ca="1"/>
        <v>0</v>
      </c>
      <c r="X76" s="1988">
        <f ca="1"/>
        <v>0</v>
      </c>
      <c r="Y76" s="2007">
        <f ca="1"/>
        <v>0</v>
      </c>
    </row>
    <row r="77" spans="1:26" ht="15.75" customHeight="1">
      <c r="A77" s="1995" t="s">
        <v>264</v>
      </c>
      <c r="B77" s="1991"/>
      <c r="C77" s="1991"/>
      <c r="D77" s="1991"/>
      <c r="E77" s="1991"/>
      <c r="F77" s="1991"/>
      <c r="G77" s="1991"/>
      <c r="H77" s="1991"/>
      <c r="I77" s="601">
        <f t="array" aca="1" ref="I77" ca="1">SUM(B20:B27*Produção!$I$8:$I$15)</f>
        <v>0</v>
      </c>
      <c r="J77" s="601">
        <f t="array" aca="1" ref="J77" ca="1">SUM(C20:C27*Produção!$I$8:$I$15)</f>
        <v>0</v>
      </c>
      <c r="K77" s="601">
        <f t="array" aca="1" ref="K77" ca="1">SUM(D20:D27*Produção!$I$8:$I$15)</f>
        <v>0</v>
      </c>
      <c r="L77" s="601">
        <f t="array" aca="1" ref="L77" ca="1">SUM(E20:E27*Produção!$I$8:$I$15)</f>
        <v>0</v>
      </c>
      <c r="M77" s="601">
        <f t="array" aca="1" ref="M77" ca="1">SUM(F20:F27*Produção!$I$8:$I$15)</f>
        <v>0</v>
      </c>
      <c r="N77" s="601">
        <f t="array" aca="1" ref="N77" ca="1">SUM(G20:G27*Produção!$I$8:$I$15)</f>
        <v>0</v>
      </c>
      <c r="O77" s="601">
        <f t="array" aca="1" ref="O77" ca="1">SUM(H20:H27*Produção!$I$8:$I$15)</f>
        <v>0</v>
      </c>
      <c r="P77" s="601">
        <f t="array" aca="1" ref="P77" ca="1">SUM(I20:I27*Produção!$I$8:$I$15)</f>
        <v>0</v>
      </c>
      <c r="Q77" s="601">
        <f t="array" aca="1" ref="Q77" ca="1">SUM(J20:J27*Produção!$I$8:$I$15)</f>
        <v>0</v>
      </c>
      <c r="R77" s="601">
        <f t="array" aca="1" ref="R77" ca="1">SUM(K20:K27*Produção!$I$8:$I$15)</f>
        <v>0</v>
      </c>
      <c r="S77" s="601">
        <f t="array" aca="1" ref="S77" ca="1">SUM(L20:L27*Produção!$I$8:$I$15)</f>
        <v>0</v>
      </c>
      <c r="T77" s="601">
        <f t="array" aca="1" ref="T77" ca="1">SUM(M20:M27*Produção!$I$8:$I$15)</f>
        <v>0</v>
      </c>
      <c r="U77" s="1988">
        <f t="array" aca="1" ref="U77:U84" ca="1">'Distr CV 4'!I77:I84</f>
        <v>0</v>
      </c>
      <c r="V77" s="1988">
        <f ca="1"/>
        <v>0</v>
      </c>
      <c r="W77" s="1988">
        <f ca="1"/>
        <v>0</v>
      </c>
      <c r="X77" s="1988">
        <f ca="1"/>
        <v>0</v>
      </c>
      <c r="Y77" s="2007">
        <f ca="1"/>
        <v>0</v>
      </c>
    </row>
    <row r="78" spans="1:26" ht="15.75" customHeight="1">
      <c r="A78" s="1995" t="s">
        <v>265</v>
      </c>
      <c r="B78" s="1991"/>
      <c r="C78" s="1991"/>
      <c r="D78" s="1991"/>
      <c r="E78" s="1991"/>
      <c r="F78" s="1991"/>
      <c r="G78" s="1991"/>
      <c r="H78" s="601">
        <f t="array" aca="1" ref="H78" ca="1">SUM(B20:B27*Produção!$H$8:$H$15)</f>
        <v>0</v>
      </c>
      <c r="I78" s="601">
        <f t="array" aca="1" ref="I78" ca="1">SUM(C20:C27*Produção!$H$8:$H$15)</f>
        <v>0</v>
      </c>
      <c r="J78" s="601">
        <f t="array" aca="1" ref="J78" ca="1">SUM(D20:D27*Produção!$H$8:$H$15)</f>
        <v>0</v>
      </c>
      <c r="K78" s="601">
        <f t="array" aca="1" ref="K78" ca="1">SUM(E20:E27*Produção!$H$8:$H$15)</f>
        <v>0</v>
      </c>
      <c r="L78" s="601">
        <f t="array" aca="1" ref="L78" ca="1">SUM(F20:F27*Produção!$H$8:$H$15)</f>
        <v>0</v>
      </c>
      <c r="M78" s="601">
        <f t="array" aca="1" ref="M78" ca="1">SUM(G20:G27*Produção!$H$8:$H$15)</f>
        <v>0</v>
      </c>
      <c r="N78" s="601">
        <f t="array" aca="1" ref="N78" ca="1">SUM(H20:H27*Produção!$H$8:$H$15)</f>
        <v>0</v>
      </c>
      <c r="O78" s="601">
        <f t="array" aca="1" ref="O78" ca="1">SUM(I20:I27*Produção!$H$8:$H$15)</f>
        <v>0</v>
      </c>
      <c r="P78" s="601">
        <f t="array" aca="1" ref="P78" ca="1">SUM(J20:J27*Produção!$H$8:$H$15)</f>
        <v>0</v>
      </c>
      <c r="Q78" s="601">
        <f t="array" aca="1" ref="Q78" ca="1">SUM(K20:K27*Produção!$H$8:$H$15)</f>
        <v>0</v>
      </c>
      <c r="R78" s="601">
        <f t="array" aca="1" ref="R78" ca="1">SUM(L20:L27*Produção!$H$8:$H$15)</f>
        <v>0</v>
      </c>
      <c r="S78" s="601">
        <f t="array" aca="1" ref="S78" ca="1">SUM(M20:M27*Produção!$H$8:$H$15)</f>
        <v>0</v>
      </c>
      <c r="T78" s="1988">
        <f t="array" aca="1" ref="T78:T84" ca="1">'Distr CV 4'!H78:H84</f>
        <v>0</v>
      </c>
      <c r="U78" s="1988">
        <f ca="1"/>
        <v>0</v>
      </c>
      <c r="V78" s="1988">
        <f ca="1"/>
        <v>0</v>
      </c>
      <c r="W78" s="1988">
        <f ca="1"/>
        <v>0</v>
      </c>
      <c r="X78" s="1988">
        <f ca="1"/>
        <v>0</v>
      </c>
      <c r="Y78" s="2007">
        <f ca="1"/>
        <v>0</v>
      </c>
    </row>
    <row r="79" spans="1:26" ht="15.75" customHeight="1">
      <c r="A79" s="1995" t="s">
        <v>266</v>
      </c>
      <c r="B79" s="1991"/>
      <c r="C79" s="1991"/>
      <c r="D79" s="1991"/>
      <c r="E79" s="1991"/>
      <c r="F79" s="1991"/>
      <c r="G79" s="603">
        <f t="array" aca="1" ref="G79" ca="1">SUM(B20:B27*Produção!$G$8:$G$15)</f>
        <v>0</v>
      </c>
      <c r="H79" s="603">
        <f t="array" aca="1" ref="H79" ca="1">SUM(C20:C27*Produção!$G$8:$G$15)</f>
        <v>0</v>
      </c>
      <c r="I79" s="603">
        <f t="array" aca="1" ref="I79" ca="1">SUM(D20:D27*Produção!$G$8:$G$15)</f>
        <v>0</v>
      </c>
      <c r="J79" s="603">
        <f t="array" aca="1" ref="J79" ca="1">SUM(E20:E27*Produção!$G$8:$G$15)</f>
        <v>0</v>
      </c>
      <c r="K79" s="603">
        <f t="array" aca="1" ref="K79" ca="1">SUM(F20:F27*Produção!$G$8:$G$15)</f>
        <v>0</v>
      </c>
      <c r="L79" s="603">
        <f t="array" aca="1" ref="L79" ca="1">SUM(G20:G27*Produção!$G$8:$G$15)</f>
        <v>0</v>
      </c>
      <c r="M79" s="603">
        <f t="array" aca="1" ref="M79" ca="1">SUM(H20:H27*Produção!$G$8:$G$15)</f>
        <v>0</v>
      </c>
      <c r="N79" s="603">
        <f t="array" aca="1" ref="N79" ca="1">SUM(I20:I27*Produção!$G$8:$G$15)</f>
        <v>0</v>
      </c>
      <c r="O79" s="603">
        <f t="array" aca="1" ref="O79" ca="1">SUM(J20:J27*Produção!$G$8:$G$15)</f>
        <v>0</v>
      </c>
      <c r="P79" s="603">
        <f t="array" aca="1" ref="P79" ca="1">SUM(K20:K27*Produção!$G$8:$G$15)</f>
        <v>0</v>
      </c>
      <c r="Q79" s="603">
        <f t="array" aca="1" ref="Q79" ca="1">SUM(L20:L27*Produção!$G$8:$G$15)</f>
        <v>0</v>
      </c>
      <c r="R79" s="603">
        <f t="array" aca="1" ref="R79" ca="1">SUM(M20:M27*Produção!$G$8:$G$15)</f>
        <v>0</v>
      </c>
      <c r="S79" s="1992">
        <f t="array" aca="1" ref="S79:S84" ca="1">'Distr CV 4'!G79:G84</f>
        <v>0</v>
      </c>
      <c r="T79" s="1992">
        <f ca="1"/>
        <v>0</v>
      </c>
      <c r="U79" s="1992">
        <f ca="1"/>
        <v>0</v>
      </c>
      <c r="V79" s="1992">
        <f ca="1"/>
        <v>0</v>
      </c>
      <c r="W79" s="1992">
        <f ca="1"/>
        <v>0</v>
      </c>
      <c r="X79" s="1992">
        <f ca="1"/>
        <v>0</v>
      </c>
      <c r="Y79" s="2010">
        <f ca="1"/>
        <v>0</v>
      </c>
    </row>
    <row r="80" spans="1:26" ht="15.75" customHeight="1">
      <c r="A80" s="1995" t="s">
        <v>267</v>
      </c>
      <c r="B80" s="1991"/>
      <c r="C80" s="1991"/>
      <c r="D80" s="1991"/>
      <c r="E80" s="1991"/>
      <c r="F80" s="603">
        <f t="array" aca="1" ref="F80" ca="1">SUM(B20:B27*Produção!$F$8:$F$15)</f>
        <v>0</v>
      </c>
      <c r="G80" s="603">
        <f t="array" aca="1" ref="G80" ca="1">SUM(C20:C27*Produção!$F$8:$F$15)</f>
        <v>0</v>
      </c>
      <c r="H80" s="603">
        <f t="array" aca="1" ref="H80" ca="1">SUM(D20:D27*Produção!$F$8:$F$15)</f>
        <v>0</v>
      </c>
      <c r="I80" s="603">
        <f t="array" aca="1" ref="I80" ca="1">SUM(E20:E27*Produção!$F$8:$F$15)</f>
        <v>0</v>
      </c>
      <c r="J80" s="603">
        <f t="array" aca="1" ref="J80" ca="1">SUM(F20:F27*Produção!$F$8:$F$15)</f>
        <v>0</v>
      </c>
      <c r="K80" s="603">
        <f t="array" aca="1" ref="K80" ca="1">SUM(G20:G27*Produção!$F$8:$F$15)</f>
        <v>0</v>
      </c>
      <c r="L80" s="603">
        <f t="array" aca="1" ref="L80" ca="1">SUM(H20:H27*Produção!$F$8:$F$15)</f>
        <v>0</v>
      </c>
      <c r="M80" s="603">
        <f t="array" aca="1" ref="M80" ca="1">SUM(I20:I27*Produção!$F$8:$F$15)</f>
        <v>0</v>
      </c>
      <c r="N80" s="603">
        <f t="array" aca="1" ref="N80" ca="1">SUM(J20:J27*Produção!$F$8:$F$15)</f>
        <v>0</v>
      </c>
      <c r="O80" s="603">
        <f t="array" aca="1" ref="O80" ca="1">SUM(K20:K27*Produção!$F$8:$F$15)</f>
        <v>0</v>
      </c>
      <c r="P80" s="603">
        <f t="array" aca="1" ref="P80" ca="1">SUM(L20:L27*Produção!$F$8:$F$15)</f>
        <v>0</v>
      </c>
      <c r="Q80" s="603">
        <f t="array" aca="1" ref="Q80" ca="1">SUM(M20:M27*Produção!$F$8:$F$15)</f>
        <v>0</v>
      </c>
      <c r="R80" s="1992">
        <f t="array" aca="1" ref="R80:R84" ca="1">'Distr CV 4'!F80:F84</f>
        <v>0</v>
      </c>
      <c r="S80" s="1992">
        <f ca="1"/>
        <v>0</v>
      </c>
      <c r="T80" s="1992">
        <f ca="1"/>
        <v>0</v>
      </c>
      <c r="U80" s="1992">
        <f ca="1"/>
        <v>0</v>
      </c>
      <c r="V80" s="1992">
        <f ca="1"/>
        <v>0</v>
      </c>
      <c r="W80" s="1992">
        <f ca="1"/>
        <v>0</v>
      </c>
      <c r="X80" s="1992">
        <f ca="1"/>
        <v>0</v>
      </c>
      <c r="Y80" s="2010">
        <f ca="1"/>
        <v>0</v>
      </c>
    </row>
    <row r="81" spans="1:26" ht="15.75" customHeight="1">
      <c r="A81" s="1995" t="s">
        <v>268</v>
      </c>
      <c r="B81" s="1991"/>
      <c r="C81" s="1991"/>
      <c r="D81" s="1991"/>
      <c r="E81" s="603">
        <f t="array" aca="1" ref="E81" ca="1">SUM(B20:B27*Produção!$E$8:$E$15)</f>
        <v>0</v>
      </c>
      <c r="F81" s="603">
        <f t="array" aca="1" ref="F81" ca="1">SUM(C20:C27*Produção!$E$8:$E$15)</f>
        <v>0</v>
      </c>
      <c r="G81" s="603">
        <f t="array" aca="1" ref="G81" ca="1">SUM(D20:D27*Produção!$E$8:$E$15)</f>
        <v>0</v>
      </c>
      <c r="H81" s="603">
        <f t="array" aca="1" ref="H81" ca="1">SUM(E20:E27*Produção!$E$8:$E$15)</f>
        <v>0</v>
      </c>
      <c r="I81" s="603">
        <f t="array" aca="1" ref="I81" ca="1">SUM(F20:F27*Produção!$E$8:$E$15)</f>
        <v>0</v>
      </c>
      <c r="J81" s="603">
        <f t="array" aca="1" ref="J81" ca="1">SUM(G20:G27*Produção!$E$8:$E$15)</f>
        <v>0</v>
      </c>
      <c r="K81" s="603">
        <f t="array" aca="1" ref="K81" ca="1">SUM(H20:H27*Produção!$E$8:$E$15)</f>
        <v>0</v>
      </c>
      <c r="L81" s="603">
        <f t="array" aca="1" ref="L81" ca="1">SUM(I20:I27*Produção!$E$8:$E$15)</f>
        <v>0</v>
      </c>
      <c r="M81" s="603">
        <f t="array" aca="1" ref="M81" ca="1">SUM(J20:J27*Produção!$E$8:$E$15)</f>
        <v>0</v>
      </c>
      <c r="N81" s="603">
        <f t="array" aca="1" ref="N81" ca="1">SUM(K20:K27*Produção!$E$8:$E$15)</f>
        <v>0</v>
      </c>
      <c r="O81" s="603">
        <f t="array" aca="1" ref="O81" ca="1">SUM(L20:L27*Produção!$E$8:$E$15)</f>
        <v>0</v>
      </c>
      <c r="P81" s="603">
        <f t="array" aca="1" ref="P81" ca="1">SUM(M20:M27*Produção!$E$8:$E$15)</f>
        <v>0</v>
      </c>
      <c r="Q81" s="1992">
        <f t="array" aca="1" ref="Q81:Q84" ca="1">'Distr CV 4'!E81:E84</f>
        <v>0</v>
      </c>
      <c r="R81" s="1992">
        <f ca="1"/>
        <v>0</v>
      </c>
      <c r="S81" s="1992">
        <f ca="1"/>
        <v>0</v>
      </c>
      <c r="T81" s="1992">
        <f ca="1"/>
        <v>0</v>
      </c>
      <c r="U81" s="1992">
        <f ca="1"/>
        <v>0</v>
      </c>
      <c r="V81" s="1992">
        <f ca="1"/>
        <v>0</v>
      </c>
      <c r="W81" s="1992">
        <f ca="1"/>
        <v>0</v>
      </c>
      <c r="X81" s="1992">
        <f ca="1"/>
        <v>0</v>
      </c>
      <c r="Y81" s="2010">
        <f ca="1"/>
        <v>0</v>
      </c>
    </row>
    <row r="82" spans="1:26" ht="15.75" customHeight="1">
      <c r="A82" s="1995" t="s">
        <v>269</v>
      </c>
      <c r="B82" s="1991"/>
      <c r="C82" s="1991"/>
      <c r="D82" s="602">
        <f t="array" aca="1" ref="D82" ca="1">SUM(B20:B27*Produção!$D$8:$D$15)</f>
        <v>0</v>
      </c>
      <c r="E82" s="602">
        <f t="array" aca="1" ref="E82" ca="1">SUM(C20:C27*Produção!$D$8:$D$15)</f>
        <v>0</v>
      </c>
      <c r="F82" s="602">
        <f t="array" aca="1" ref="F82" ca="1">SUM(D20:D27*Produção!$D$8:$D$15)</f>
        <v>0</v>
      </c>
      <c r="G82" s="602">
        <f t="array" aca="1" ref="G82" ca="1">SUM(E20:E27*Produção!$D$8:$D$15)</f>
        <v>0</v>
      </c>
      <c r="H82" s="602">
        <f t="array" aca="1" ref="H82" ca="1">SUM(F20:F27*Produção!$D$8:$D$15)</f>
        <v>0</v>
      </c>
      <c r="I82" s="602">
        <f t="array" aca="1" ref="I82" ca="1">SUM(G20:G27*Produção!$D$8:$D$15)</f>
        <v>0</v>
      </c>
      <c r="J82" s="602">
        <f t="array" aca="1" ref="J82" ca="1">SUM(H20:H27*Produção!$D$8:$D$15)</f>
        <v>0</v>
      </c>
      <c r="K82" s="602">
        <f t="array" aca="1" ref="K82" ca="1">SUM(I20:I27*Produção!$D$8:$D$15)</f>
        <v>0</v>
      </c>
      <c r="L82" s="602">
        <f t="array" aca="1" ref="L82" ca="1">SUM(J20:J27*Produção!$D$8:$D$15)</f>
        <v>0</v>
      </c>
      <c r="M82" s="602">
        <f t="array" aca="1" ref="M82" ca="1">SUM(K20:K27*Produção!$D$8:$D$15)</f>
        <v>0</v>
      </c>
      <c r="N82" s="602">
        <f t="array" aca="1" ref="N82" ca="1">SUM(L20:L27*Produção!$D$8:$D$15)</f>
        <v>0</v>
      </c>
      <c r="O82" s="602">
        <f t="array" aca="1" ref="O82" ca="1">SUM(M20:M27*Produção!$D$8:$D$15)</f>
        <v>0</v>
      </c>
      <c r="P82" s="1992">
        <f t="array" aca="1" ref="P82:P84" ca="1">'Distr CV 4'!D82:D84</f>
        <v>0</v>
      </c>
      <c r="Q82" s="1992">
        <f ca="1"/>
        <v>0</v>
      </c>
      <c r="R82" s="1992">
        <f ca="1"/>
        <v>0</v>
      </c>
      <c r="S82" s="1992">
        <f ca="1"/>
        <v>0</v>
      </c>
      <c r="T82" s="1992">
        <f ca="1"/>
        <v>0</v>
      </c>
      <c r="U82" s="1992">
        <f ca="1"/>
        <v>0</v>
      </c>
      <c r="V82" s="1992">
        <f ca="1"/>
        <v>0</v>
      </c>
      <c r="W82" s="1992">
        <f ca="1"/>
        <v>0</v>
      </c>
      <c r="X82" s="1992">
        <f ca="1"/>
        <v>0</v>
      </c>
      <c r="Y82" s="2010">
        <f ca="1"/>
        <v>0</v>
      </c>
    </row>
    <row r="83" spans="1:26" ht="15.75" customHeight="1">
      <c r="A83" s="1995" t="s">
        <v>270</v>
      </c>
      <c r="B83" s="1991"/>
      <c r="C83" s="603">
        <f t="array" aca="1" ref="C83" ca="1">SUM(B20:B27*Produção!$C$8:$C$15)</f>
        <v>0</v>
      </c>
      <c r="D83" s="603">
        <f t="array" aca="1" ref="D83" ca="1">SUM(C20:C27*Produção!$C$8:$C$15)</f>
        <v>0</v>
      </c>
      <c r="E83" s="603">
        <f t="array" aca="1" ref="E83" ca="1">SUM(D20:D27*Produção!$C$8:$C$15)</f>
        <v>0</v>
      </c>
      <c r="F83" s="603">
        <f t="array" aca="1" ref="F83" ca="1">SUM(E20:E27*Produção!$C$8:$C$15)</f>
        <v>0</v>
      </c>
      <c r="G83" s="603">
        <f t="array" aca="1" ref="G83" ca="1">SUM(F20:F27*Produção!$C$8:$C$15)</f>
        <v>0</v>
      </c>
      <c r="H83" s="603">
        <f t="array" aca="1" ref="H83" ca="1">SUM(G20:G27*Produção!$C$8:$C$15)</f>
        <v>0</v>
      </c>
      <c r="I83" s="603">
        <f t="array" aca="1" ref="I83" ca="1">SUM(H20:H27*Produção!$C$8:$C$15)</f>
        <v>0</v>
      </c>
      <c r="J83" s="603">
        <f t="array" aca="1" ref="J83" ca="1">SUM(I20:I27*Produção!$C$8:$C$15)</f>
        <v>0</v>
      </c>
      <c r="K83" s="603">
        <f t="array" aca="1" ref="K83" ca="1">SUM(J20:J27*Produção!$C$8:$C$15)</f>
        <v>0</v>
      </c>
      <c r="L83" s="603">
        <f t="array" aca="1" ref="L83" ca="1">SUM(K20:K27*Produção!$C$8:$C$15)</f>
        <v>0</v>
      </c>
      <c r="M83" s="603">
        <f t="array" aca="1" ref="M83" ca="1">SUM(L20:L27*Produção!$C$8:$C$15)</f>
        <v>0</v>
      </c>
      <c r="N83" s="603">
        <f t="array" aca="1" ref="N83" ca="1">SUM(M20:M27*Produção!$C$8:$C$15)</f>
        <v>0</v>
      </c>
      <c r="O83" s="1992">
        <f t="array" aca="1" ref="O83:O84" ca="1">'Distr CV 4'!C83:C84</f>
        <v>0</v>
      </c>
      <c r="P83" s="1992">
        <f ca="1"/>
        <v>0</v>
      </c>
      <c r="Q83" s="1992">
        <f ca="1"/>
        <v>0</v>
      </c>
      <c r="R83" s="1992">
        <f ca="1"/>
        <v>0</v>
      </c>
      <c r="S83" s="1992">
        <f ca="1"/>
        <v>0</v>
      </c>
      <c r="T83" s="1992">
        <f ca="1"/>
        <v>0</v>
      </c>
      <c r="U83" s="1992">
        <f ca="1"/>
        <v>0</v>
      </c>
      <c r="V83" s="1992">
        <f ca="1"/>
        <v>0</v>
      </c>
      <c r="W83" s="1992">
        <f ca="1"/>
        <v>0</v>
      </c>
      <c r="X83" s="1992">
        <f ca="1"/>
        <v>0</v>
      </c>
      <c r="Y83" s="2010">
        <f ca="1"/>
        <v>0</v>
      </c>
    </row>
    <row r="84" spans="1:26" ht="15.75" customHeight="1" thickBot="1">
      <c r="A84" s="1995" t="s">
        <v>271</v>
      </c>
      <c r="B84" s="603">
        <f t="array" aca="1" ref="B84" ca="1">SUM(B20:B27*Produção!$B$8:$B$15)</f>
        <v>0</v>
      </c>
      <c r="C84" s="603">
        <f t="array" aca="1" ref="C84" ca="1">SUM(C20:C27*Produção!$B$8:$B$15)</f>
        <v>0</v>
      </c>
      <c r="D84" s="603">
        <f t="array" aca="1" ref="D84" ca="1">SUM(D20:D27*Produção!$B$8:$B$15)</f>
        <v>0</v>
      </c>
      <c r="E84" s="603">
        <f t="array" aca="1" ref="E84" ca="1">SUM(E20:E27*Produção!$B$8:$B$15)</f>
        <v>0</v>
      </c>
      <c r="F84" s="603">
        <f t="array" aca="1" ref="F84" ca="1">SUM(F20:F27*Produção!$B$8:$B$15)</f>
        <v>0</v>
      </c>
      <c r="G84" s="603">
        <f t="array" aca="1" ref="G84" ca="1">SUM(G20:G27*Produção!$B$8:$B$15)</f>
        <v>0</v>
      </c>
      <c r="H84" s="603">
        <f t="array" aca="1" ref="H84" ca="1">SUM(H20:H27*Produção!$B$8:$B$15)</f>
        <v>0</v>
      </c>
      <c r="I84" s="603">
        <f t="array" aca="1" ref="I84" ca="1">SUM(I20:I27*Produção!$B$8:$B$15)</f>
        <v>0</v>
      </c>
      <c r="J84" s="603">
        <f t="array" aca="1" ref="J84" ca="1">SUM(J20:J27*Produção!$B$8:$B$15)</f>
        <v>0</v>
      </c>
      <c r="K84" s="603">
        <f t="array" aca="1" ref="K84" ca="1">SUM(K20:K27*Produção!$B$8:$B$15)</f>
        <v>0</v>
      </c>
      <c r="L84" s="603">
        <f t="array" aca="1" ref="L84" ca="1">SUM(L20:L27*Produção!$B$8:$B$15)</f>
        <v>0</v>
      </c>
      <c r="M84" s="603">
        <f t="array" aca="1" ref="M84" ca="1">SUM(M20:M27*Produção!$B$8:$B$15)</f>
        <v>0</v>
      </c>
      <c r="N84" s="1992">
        <f ca="1">'Distr CV 4'!B84</f>
        <v>0</v>
      </c>
      <c r="O84" s="1992">
        <f ca="1"/>
        <v>0</v>
      </c>
      <c r="P84" s="1992">
        <f ca="1"/>
        <v>0</v>
      </c>
      <c r="Q84" s="1992">
        <f ca="1"/>
        <v>0</v>
      </c>
      <c r="R84" s="1992">
        <f ca="1"/>
        <v>0</v>
      </c>
      <c r="S84" s="1992">
        <f ca="1"/>
        <v>0</v>
      </c>
      <c r="T84" s="1992">
        <f ca="1"/>
        <v>0</v>
      </c>
      <c r="U84" s="1992">
        <f ca="1"/>
        <v>0</v>
      </c>
      <c r="V84" s="1992">
        <f ca="1"/>
        <v>0</v>
      </c>
      <c r="W84" s="1992">
        <f ca="1"/>
        <v>0</v>
      </c>
      <c r="X84" s="1992">
        <f ca="1"/>
        <v>0</v>
      </c>
      <c r="Y84" s="2010">
        <f ca="1"/>
        <v>0</v>
      </c>
    </row>
    <row r="85" spans="1:26" ht="15.75" customHeight="1" thickBot="1">
      <c r="A85" s="105" t="str">
        <f>A$28</f>
        <v>Totais</v>
      </c>
      <c r="B85" s="607">
        <f t="shared" ref="B85:Y85" ca="1" si="8">SUM(B72:B84)</f>
        <v>0</v>
      </c>
      <c r="C85" s="607">
        <f t="shared" ca="1" si="8"/>
        <v>0</v>
      </c>
      <c r="D85" s="607">
        <f t="shared" ca="1" si="8"/>
        <v>0</v>
      </c>
      <c r="E85" s="607">
        <f t="shared" ca="1" si="8"/>
        <v>0</v>
      </c>
      <c r="F85" s="607">
        <f t="shared" ca="1" si="8"/>
        <v>0</v>
      </c>
      <c r="G85" s="607">
        <f t="shared" ca="1" si="8"/>
        <v>0</v>
      </c>
      <c r="H85" s="607">
        <f t="shared" ca="1" si="8"/>
        <v>0</v>
      </c>
      <c r="I85" s="607">
        <f t="shared" ca="1" si="8"/>
        <v>0</v>
      </c>
      <c r="J85" s="607">
        <f t="shared" ca="1" si="8"/>
        <v>0</v>
      </c>
      <c r="K85" s="607">
        <f t="shared" ca="1" si="8"/>
        <v>0</v>
      </c>
      <c r="L85" s="607">
        <f t="shared" ca="1" si="8"/>
        <v>0</v>
      </c>
      <c r="M85" s="607">
        <f t="shared" ca="1" si="8"/>
        <v>0</v>
      </c>
      <c r="N85" s="607">
        <f t="shared" ca="1" si="8"/>
        <v>168.73890334000001</v>
      </c>
      <c r="O85" s="607">
        <f t="shared" ca="1" si="8"/>
        <v>168.73890334000001</v>
      </c>
      <c r="P85" s="607">
        <f t="shared" ca="1" si="8"/>
        <v>168.73890334000001</v>
      </c>
      <c r="Q85" s="607">
        <f t="shared" ca="1" si="8"/>
        <v>168.73890334000001</v>
      </c>
      <c r="R85" s="607">
        <f t="shared" ca="1" si="8"/>
        <v>168.73890334000001</v>
      </c>
      <c r="S85" s="607">
        <f t="shared" ca="1" si="8"/>
        <v>168.73890334000001</v>
      </c>
      <c r="T85" s="607">
        <f t="shared" ca="1" si="8"/>
        <v>168.73890334000001</v>
      </c>
      <c r="U85" s="607">
        <f t="shared" ca="1" si="8"/>
        <v>168.73890334000001</v>
      </c>
      <c r="V85" s="607">
        <f t="shared" ca="1" si="8"/>
        <v>168.73890334000001</v>
      </c>
      <c r="W85" s="607">
        <f t="shared" ca="1" si="8"/>
        <v>168.73890334000001</v>
      </c>
      <c r="X85" s="607">
        <f t="shared" ca="1" si="8"/>
        <v>168.73890334000001</v>
      </c>
      <c r="Y85" s="2008">
        <f t="shared" ca="1" si="8"/>
        <v>168.73890334000001</v>
      </c>
    </row>
    <row r="86" spans="1:26">
      <c r="B86" s="62"/>
    </row>
    <row r="87" spans="1:26">
      <c r="B87" s="62">
        <f ca="1">SUM(B85:M85)</f>
        <v>0</v>
      </c>
    </row>
    <row r="88" spans="1:26">
      <c r="B88" s="62"/>
    </row>
    <row r="89" spans="1:26" ht="18.75" thickBot="1">
      <c r="A89" s="1993" t="str">
        <f>'Distr CV 0'!A89</f>
        <v>IVA dos custos de produção por meses de compra</v>
      </c>
      <c r="I89" s="1993"/>
    </row>
    <row r="90" spans="1:26" s="456" customFormat="1" ht="35.25" customHeight="1" thickBot="1">
      <c r="A90" s="457" t="str">
        <f>'Distr CV 0'!A90</f>
        <v>IVA Custos produção</v>
      </c>
      <c r="B90" s="2011" t="str">
        <f t="array" ref="B90:Y90">B$71:Y$71</f>
        <v>janeiro 
2028</v>
      </c>
      <c r="C90" s="2011" t="str">
        <v>fevereiro 
2028</v>
      </c>
      <c r="D90" s="2011" t="str">
        <v>março 
2028</v>
      </c>
      <c r="E90" s="2011" t="str">
        <v>abril 
2028</v>
      </c>
      <c r="F90" s="2011" t="str">
        <v>maio 
2028</v>
      </c>
      <c r="G90" s="2011" t="str">
        <v>junho 
2028</v>
      </c>
      <c r="H90" s="2011" t="str">
        <v>julho 
2028</v>
      </c>
      <c r="I90" s="2011" t="str">
        <v>agosto 
2028</v>
      </c>
      <c r="J90" s="2011" t="str">
        <v>setembro 
2028</v>
      </c>
      <c r="K90" s="2011" t="str">
        <v>outubro 
2028</v>
      </c>
      <c r="L90" s="2011" t="str">
        <v>novembro 
2028</v>
      </c>
      <c r="M90" s="2011" t="str">
        <v>dezembro 
2028</v>
      </c>
      <c r="N90" s="2734" t="str">
        <v>janeiro 
2029</v>
      </c>
      <c r="O90" s="2735" t="str">
        <v>fevereiro 
2029</v>
      </c>
      <c r="P90" s="2735" t="str">
        <v>março 
2029</v>
      </c>
      <c r="Q90" s="2735" t="str">
        <v>abril 
2029</v>
      </c>
      <c r="R90" s="2735" t="str">
        <v>maio 
2029</v>
      </c>
      <c r="S90" s="2735" t="str">
        <v>junho 
2029</v>
      </c>
      <c r="T90" s="2735" t="str">
        <v>julho 
2029</v>
      </c>
      <c r="U90" s="2735" t="str">
        <v>agosto 
2029</v>
      </c>
      <c r="V90" s="2735" t="str">
        <v>setembro 
2029</v>
      </c>
      <c r="W90" s="2735" t="str">
        <v>outubro 
2029</v>
      </c>
      <c r="X90" s="2735" t="str">
        <v>novembro 
2029</v>
      </c>
      <c r="Y90" s="2736" t="str">
        <v>dezembro 
2029</v>
      </c>
      <c r="Z90" s="62"/>
    </row>
    <row r="91" spans="1:26" ht="15.75" customHeight="1">
      <c r="A91" s="1994" t="str">
        <f t="shared" ref="A91:A103" si="9">A72</f>
        <v>mismo mes</v>
      </c>
      <c r="B91" s="1991"/>
      <c r="C91" s="1991"/>
      <c r="D91" s="1991"/>
      <c r="E91" s="1991"/>
      <c r="F91" s="1991"/>
      <c r="G91" s="1991"/>
      <c r="H91" s="1989">
        <v>0</v>
      </c>
      <c r="I91" s="1990">
        <v>0</v>
      </c>
      <c r="J91" s="1990">
        <v>0</v>
      </c>
      <c r="K91" s="1990">
        <v>0</v>
      </c>
      <c r="L91" s="1990">
        <v>0</v>
      </c>
      <c r="M91" s="1990">
        <v>0</v>
      </c>
      <c r="N91" s="599">
        <f t="array" aca="1" ref="N91" ca="1">SUM(B32:B39*Produção!$N$8:$N$15)</f>
        <v>35.4351697014</v>
      </c>
      <c r="O91" s="599">
        <f t="array" aca="1" ref="O91" ca="1">SUM(C32:C39*Produção!$N$8:$N$15)</f>
        <v>35.4351697014</v>
      </c>
      <c r="P91" s="599">
        <f t="array" aca="1" ref="P91" ca="1">SUM(D32:D39*Produção!$N$8:$N$15)</f>
        <v>35.4351697014</v>
      </c>
      <c r="Q91" s="599">
        <f t="array" aca="1" ref="Q91" ca="1">SUM(E32:E39*Produção!$N$8:$N$15)</f>
        <v>35.4351697014</v>
      </c>
      <c r="R91" s="599">
        <f t="array" aca="1" ref="R91" ca="1">SUM(F32:F39*Produção!$N$8:$N$15)</f>
        <v>35.4351697014</v>
      </c>
      <c r="S91" s="599">
        <f t="array" aca="1" ref="S91" ca="1">SUM(G32:G39*Produção!$N$8:$N$15)</f>
        <v>35.4351697014</v>
      </c>
      <c r="T91" s="599">
        <f t="array" aca="1" ref="T91" ca="1">SUM(H32:H39*Produção!$N$8:$N$15)</f>
        <v>35.4351697014</v>
      </c>
      <c r="U91" s="599">
        <f t="array" aca="1" ref="U91" ca="1">SUM(I32:I39*Produção!$N$8:$N$15)</f>
        <v>35.4351697014</v>
      </c>
      <c r="V91" s="599">
        <f t="array" aca="1" ref="V91" ca="1">SUM(J32:J39*Produção!$N$8:$N$15)</f>
        <v>35.4351697014</v>
      </c>
      <c r="W91" s="599">
        <f t="array" aca="1" ref="W91" ca="1">SUM(K32:K39*Produção!$N$8:$N$15)</f>
        <v>35.4351697014</v>
      </c>
      <c r="X91" s="599">
        <f t="array" aca="1" ref="X91" ca="1">SUM(L32:L39*Produção!$N$8:$N$15)</f>
        <v>35.4351697014</v>
      </c>
      <c r="Y91" s="2009">
        <f t="array" aca="1" ref="Y91" ca="1">SUM(M32:M39*Produção!$N$8:$N$15)</f>
        <v>35.4351697014</v>
      </c>
    </row>
    <row r="92" spans="1:26" ht="15.75" customHeight="1">
      <c r="A92" s="1995" t="str">
        <f t="shared" si="9"/>
        <v>1 mes antes</v>
      </c>
      <c r="B92" s="1991"/>
      <c r="C92" s="1991"/>
      <c r="D92" s="1991"/>
      <c r="E92" s="1991"/>
      <c r="F92" s="1991"/>
      <c r="G92" s="1991"/>
      <c r="H92" s="1991"/>
      <c r="I92" s="1988"/>
      <c r="J92" s="1988"/>
      <c r="K92" s="1988"/>
      <c r="L92" s="1988"/>
      <c r="M92" s="601">
        <f t="array" aca="1" ref="M92" ca="1">SUM(B32:B39*Produção!$M$8:$M$15)</f>
        <v>0</v>
      </c>
      <c r="N92" s="601">
        <f t="array" aca="1" ref="N92" ca="1">SUM(C32:C39*Produção!$M$8:$M$15)</f>
        <v>0</v>
      </c>
      <c r="O92" s="601">
        <f t="array" aca="1" ref="O92" ca="1">SUM(D32:D39*Produção!$M$8:$M$15)</f>
        <v>0</v>
      </c>
      <c r="P92" s="601">
        <f t="array" aca="1" ref="P92" ca="1">SUM(E32:E39*Produção!$M$8:$M$15)</f>
        <v>0</v>
      </c>
      <c r="Q92" s="601">
        <f t="array" aca="1" ref="Q92" ca="1">SUM(F32:F39*Produção!$M$8:$M$15)</f>
        <v>0</v>
      </c>
      <c r="R92" s="601">
        <f t="array" aca="1" ref="R92" ca="1">SUM(G32:G39*Produção!$M$8:$M$15)</f>
        <v>0</v>
      </c>
      <c r="S92" s="601">
        <f t="array" aca="1" ref="S92" ca="1">SUM(H32:H39*Produção!$M$8:$M$15)</f>
        <v>0</v>
      </c>
      <c r="T92" s="601">
        <f t="array" aca="1" ref="T92" ca="1">SUM(I32:I39*Produção!$M$8:$M$15)</f>
        <v>0</v>
      </c>
      <c r="U92" s="601">
        <f t="array" aca="1" ref="U92" ca="1">SUM(J32:J39*Produção!$M$8:$M$15)</f>
        <v>0</v>
      </c>
      <c r="V92" s="601">
        <f t="array" aca="1" ref="V92" ca="1">SUM(K32:K39*Produção!$M$8:$M$15)</f>
        <v>0</v>
      </c>
      <c r="W92" s="601">
        <f t="array" aca="1" ref="W92" ca="1">SUM(L32:L39*Produção!$M$8:$M$15)</f>
        <v>0</v>
      </c>
      <c r="X92" s="601">
        <f t="array" aca="1" ref="X92" ca="1">SUM(M32:M39*Produção!$M$8:$M$15)</f>
        <v>0</v>
      </c>
      <c r="Y92" s="2007">
        <f t="array" aca="1" ref="Y92:Y103" ca="1">'Distr CV 4'!M92:M103</f>
        <v>0</v>
      </c>
    </row>
    <row r="93" spans="1:26" ht="15.75" customHeight="1">
      <c r="A93" s="1995" t="str">
        <f t="shared" si="9"/>
        <v>2 meses antes</v>
      </c>
      <c r="B93" s="1991"/>
      <c r="C93" s="1991"/>
      <c r="D93" s="1991"/>
      <c r="E93" s="1991"/>
      <c r="F93" s="1991"/>
      <c r="G93" s="1991"/>
      <c r="H93" s="1991"/>
      <c r="I93" s="1988"/>
      <c r="J93" s="1988"/>
      <c r="K93" s="1988"/>
      <c r="L93" s="601">
        <f t="array" aca="1" ref="L93" ca="1">SUM(B32:B39*Produção!$L$8:$L$15)</f>
        <v>0</v>
      </c>
      <c r="M93" s="601">
        <f t="array" aca="1" ref="M93" ca="1">SUM(C32:C39*Produção!$L$8:$L$15)</f>
        <v>0</v>
      </c>
      <c r="N93" s="601">
        <f t="array" aca="1" ref="N93" ca="1">SUM(D32:D39*Produção!$L$8:$L$15)</f>
        <v>0</v>
      </c>
      <c r="O93" s="601">
        <f t="array" aca="1" ref="O93" ca="1">SUM(E32:E39*Produção!$L$8:$L$15)</f>
        <v>0</v>
      </c>
      <c r="P93" s="601">
        <f t="array" aca="1" ref="P93" ca="1">SUM(F32:F39*Produção!$L$8:$L$15)</f>
        <v>0</v>
      </c>
      <c r="Q93" s="601">
        <f t="array" aca="1" ref="Q93" ca="1">SUM(G32:G39*Produção!$L$8:$L$15)</f>
        <v>0</v>
      </c>
      <c r="R93" s="601">
        <f t="array" aca="1" ref="R93" ca="1">SUM(H32:H39*Produção!$L$8:$L$15)</f>
        <v>0</v>
      </c>
      <c r="S93" s="601">
        <f t="array" aca="1" ref="S93" ca="1">SUM(I32:I39*Produção!$L$8:$L$15)</f>
        <v>0</v>
      </c>
      <c r="T93" s="601">
        <f t="array" aca="1" ref="T93" ca="1">SUM(J32:J39*Produção!$L$8:$L$15)</f>
        <v>0</v>
      </c>
      <c r="U93" s="601">
        <f t="array" aca="1" ref="U93" ca="1">SUM(K32:K39*Produção!$L$8:$L$15)</f>
        <v>0</v>
      </c>
      <c r="V93" s="601">
        <f t="array" aca="1" ref="V93" ca="1">SUM(L32:L39*Produção!$L$8:$L$15)</f>
        <v>0</v>
      </c>
      <c r="W93" s="601">
        <f t="array" aca="1" ref="W93" ca="1">SUM(M32:M39*Produção!$L$8:$L$15)</f>
        <v>0</v>
      </c>
      <c r="X93" s="1988">
        <f t="array" aca="1" ref="X93:X103" ca="1">'Distr CV 4'!L93:L103</f>
        <v>0</v>
      </c>
      <c r="Y93" s="2007">
        <f ca="1"/>
        <v>0</v>
      </c>
    </row>
    <row r="94" spans="1:26" ht="15.75" customHeight="1">
      <c r="A94" s="1995" t="str">
        <f t="shared" si="9"/>
        <v>3 meses antes</v>
      </c>
      <c r="B94" s="1991"/>
      <c r="C94" s="1991"/>
      <c r="D94" s="1991"/>
      <c r="E94" s="1991"/>
      <c r="F94" s="1991"/>
      <c r="G94" s="1991"/>
      <c r="H94" s="1991"/>
      <c r="I94" s="1988"/>
      <c r="J94" s="1988"/>
      <c r="K94" s="601">
        <f t="array" aca="1" ref="K94" ca="1">SUM(B32:B39*Produção!$K$8:$K$15)</f>
        <v>0</v>
      </c>
      <c r="L94" s="601">
        <f t="array" aca="1" ref="L94" ca="1">SUM(C32:C39*Produção!$K$8:$K$15)</f>
        <v>0</v>
      </c>
      <c r="M94" s="601">
        <f t="array" aca="1" ref="M94" ca="1">SUM(D32:D39*Produção!$K$8:$K$15)</f>
        <v>0</v>
      </c>
      <c r="N94" s="601">
        <f t="array" aca="1" ref="N94" ca="1">SUM(E32:E39*Produção!$K$8:$K$15)</f>
        <v>0</v>
      </c>
      <c r="O94" s="601">
        <f t="array" aca="1" ref="O94" ca="1">SUM(F32:F39*Produção!$K$8:$K$15)</f>
        <v>0</v>
      </c>
      <c r="P94" s="601">
        <f t="array" aca="1" ref="P94" ca="1">SUM(G32:G39*Produção!$K$8:$K$15)</f>
        <v>0</v>
      </c>
      <c r="Q94" s="601">
        <f t="array" aca="1" ref="Q94" ca="1">SUM(H32:H39*Produção!$K$8:$K$15)</f>
        <v>0</v>
      </c>
      <c r="R94" s="601">
        <f t="array" aca="1" ref="R94" ca="1">SUM(I32:I39*Produção!$K$8:$K$15)</f>
        <v>0</v>
      </c>
      <c r="S94" s="601">
        <f t="array" aca="1" ref="S94" ca="1">SUM(J32:J39*Produção!$K$8:$K$15)</f>
        <v>0</v>
      </c>
      <c r="T94" s="601">
        <f t="array" aca="1" ref="T94" ca="1">SUM(K32:K39*Produção!$K$8:$K$15)</f>
        <v>0</v>
      </c>
      <c r="U94" s="601">
        <f t="array" aca="1" ref="U94" ca="1">SUM(L32:L39*Produção!$K$8:$K$15)</f>
        <v>0</v>
      </c>
      <c r="V94" s="601">
        <f t="array" aca="1" ref="V94" ca="1">SUM(M32:M39*Produção!$K$8:$K$15)</f>
        <v>0</v>
      </c>
      <c r="W94" s="1988">
        <f t="array" aca="1" ref="W94:W103" ca="1">'Distr CV 4'!K94:K103</f>
        <v>0</v>
      </c>
      <c r="X94" s="1988">
        <f ca="1"/>
        <v>0</v>
      </c>
      <c r="Y94" s="2007">
        <f ca="1"/>
        <v>0</v>
      </c>
    </row>
    <row r="95" spans="1:26" ht="15.75" customHeight="1">
      <c r="A95" s="1995" t="str">
        <f t="shared" si="9"/>
        <v>4 meses antes</v>
      </c>
      <c r="B95" s="1991"/>
      <c r="C95" s="1991"/>
      <c r="D95" s="1991"/>
      <c r="E95" s="1991"/>
      <c r="F95" s="1991"/>
      <c r="G95" s="1991"/>
      <c r="H95" s="1991"/>
      <c r="I95" s="1988"/>
      <c r="J95" s="601">
        <f t="array" aca="1" ref="J95" ca="1">SUM(B32:B39*Produção!$J$8:$J$15)</f>
        <v>0</v>
      </c>
      <c r="K95" s="601">
        <f t="array" aca="1" ref="K95" ca="1">SUM(C32:C39*Produção!$J$8:$J$15)</f>
        <v>0</v>
      </c>
      <c r="L95" s="601">
        <f t="array" aca="1" ref="L95" ca="1">SUM(D32:D39*Produção!$J$8:$J$15)</f>
        <v>0</v>
      </c>
      <c r="M95" s="601">
        <f t="array" aca="1" ref="M95" ca="1">SUM(E32:E39*Produção!$J$8:$J$15)</f>
        <v>0</v>
      </c>
      <c r="N95" s="601">
        <f t="array" aca="1" ref="N95" ca="1">SUM(F32:F39*Produção!$J$8:$J$15)</f>
        <v>0</v>
      </c>
      <c r="O95" s="601">
        <f t="array" aca="1" ref="O95" ca="1">SUM(G32:G39*Produção!$J$8:$J$15)</f>
        <v>0</v>
      </c>
      <c r="P95" s="601">
        <f t="array" aca="1" ref="P95" ca="1">SUM(H32:H39*Produção!$J$8:$J$15)</f>
        <v>0</v>
      </c>
      <c r="Q95" s="601">
        <f t="array" aca="1" ref="Q95" ca="1">SUM(I32:I39*Produção!$J$8:$J$15)</f>
        <v>0</v>
      </c>
      <c r="R95" s="601">
        <f t="array" aca="1" ref="R95" ca="1">SUM(J32:J39*Produção!$J$8:$J$15)</f>
        <v>0</v>
      </c>
      <c r="S95" s="601">
        <f t="array" aca="1" ref="S95" ca="1">SUM(K32:K39*Produção!$J$8:$J$15)</f>
        <v>0</v>
      </c>
      <c r="T95" s="601">
        <f t="array" aca="1" ref="T95" ca="1">SUM(L32:L39*Produção!$J$8:$J$15)</f>
        <v>0</v>
      </c>
      <c r="U95" s="601">
        <f t="array" aca="1" ref="U95" ca="1">SUM(M32:M39*Produção!$J$8:$J$15)</f>
        <v>0</v>
      </c>
      <c r="V95" s="1988">
        <f t="array" aca="1" ref="V95:V103" ca="1">'Distr CV 4'!J95:J103</f>
        <v>0</v>
      </c>
      <c r="W95" s="1988">
        <f ca="1"/>
        <v>0</v>
      </c>
      <c r="X95" s="1988">
        <f ca="1"/>
        <v>0</v>
      </c>
      <c r="Y95" s="2007">
        <f ca="1"/>
        <v>0</v>
      </c>
    </row>
    <row r="96" spans="1:26" ht="15.75" customHeight="1">
      <c r="A96" s="1995" t="str">
        <f t="shared" si="9"/>
        <v>5 meses antes</v>
      </c>
      <c r="B96" s="1991"/>
      <c r="C96" s="1991"/>
      <c r="D96" s="1991"/>
      <c r="E96" s="1991"/>
      <c r="F96" s="1991"/>
      <c r="G96" s="1991"/>
      <c r="H96" s="1991"/>
      <c r="I96" s="601">
        <f t="array" aca="1" ref="I96" ca="1">SUM(B32:B39*Produção!$I$8:$I$15)</f>
        <v>0</v>
      </c>
      <c r="J96" s="601">
        <f t="array" aca="1" ref="J96" ca="1">SUM(C32:C39*Produção!$I$8:$I$15)</f>
        <v>0</v>
      </c>
      <c r="K96" s="601">
        <f t="array" aca="1" ref="K96" ca="1">SUM(D32:D39*Produção!$I$8:$I$15)</f>
        <v>0</v>
      </c>
      <c r="L96" s="601">
        <f t="array" aca="1" ref="L96" ca="1">SUM(E32:E39*Produção!$I$8:$I$15)</f>
        <v>0</v>
      </c>
      <c r="M96" s="601">
        <f t="array" aca="1" ref="M96" ca="1">SUM(F32:F39*Produção!$I$8:$I$15)</f>
        <v>0</v>
      </c>
      <c r="N96" s="601">
        <f t="array" aca="1" ref="N96" ca="1">SUM(G32:G39*Produção!$I$8:$I$15)</f>
        <v>0</v>
      </c>
      <c r="O96" s="601">
        <f t="array" aca="1" ref="O96" ca="1">SUM(H32:H39*Produção!$I$8:$I$15)</f>
        <v>0</v>
      </c>
      <c r="P96" s="601">
        <f t="array" aca="1" ref="P96" ca="1">SUM(I32:I39*Produção!$I$8:$I$15)</f>
        <v>0</v>
      </c>
      <c r="Q96" s="601">
        <f t="array" aca="1" ref="Q96" ca="1">SUM(J32:J39*Produção!$I$8:$I$15)</f>
        <v>0</v>
      </c>
      <c r="R96" s="601">
        <f t="array" aca="1" ref="R96" ca="1">SUM(K32:K39*Produção!$I$8:$I$15)</f>
        <v>0</v>
      </c>
      <c r="S96" s="601">
        <f t="array" aca="1" ref="S96" ca="1">SUM(L32:L39*Produção!$I$8:$I$15)</f>
        <v>0</v>
      </c>
      <c r="T96" s="601">
        <f t="array" aca="1" ref="T96" ca="1">SUM(M32:M39*Produção!$I$8:$I$15)</f>
        <v>0</v>
      </c>
      <c r="U96" s="1988">
        <f t="array" aca="1" ref="U96:U103" ca="1">'Distr CV 4'!I96:I103</f>
        <v>0</v>
      </c>
      <c r="V96" s="1988">
        <f ca="1"/>
        <v>0</v>
      </c>
      <c r="W96" s="1988">
        <f ca="1"/>
        <v>0</v>
      </c>
      <c r="X96" s="1988">
        <f ca="1"/>
        <v>0</v>
      </c>
      <c r="Y96" s="2007">
        <f ca="1"/>
        <v>0</v>
      </c>
    </row>
    <row r="97" spans="1:26" ht="15.75" customHeight="1">
      <c r="A97" s="1995" t="str">
        <f t="shared" si="9"/>
        <v>6 meses antes</v>
      </c>
      <c r="B97" s="1991"/>
      <c r="C97" s="1991"/>
      <c r="D97" s="1991"/>
      <c r="E97" s="1991"/>
      <c r="F97" s="1991"/>
      <c r="G97" s="1991"/>
      <c r="H97" s="601">
        <f t="array" aca="1" ref="H97" ca="1">SUM(B32:B39*Produção!$H$8:$H$15)</f>
        <v>0</v>
      </c>
      <c r="I97" s="601">
        <f t="array" aca="1" ref="I97" ca="1">SUM(C32:C39*Produção!$H$8:$H$15)</f>
        <v>0</v>
      </c>
      <c r="J97" s="601">
        <f t="array" aca="1" ref="J97" ca="1">SUM(D32:D39*Produção!$H$8:$H$15)</f>
        <v>0</v>
      </c>
      <c r="K97" s="601">
        <f t="array" aca="1" ref="K97" ca="1">SUM(E32:E39*Produção!$H$8:$H$15)</f>
        <v>0</v>
      </c>
      <c r="L97" s="601">
        <f t="array" aca="1" ref="L97" ca="1">SUM(F32:F39*Produção!$H$8:$H$15)</f>
        <v>0</v>
      </c>
      <c r="M97" s="601">
        <f t="array" aca="1" ref="M97" ca="1">SUM(G32:G39*Produção!$H$8:$H$15)</f>
        <v>0</v>
      </c>
      <c r="N97" s="601">
        <f t="array" aca="1" ref="N97" ca="1">SUM(H32:H39*Produção!$H$8:$H$15)</f>
        <v>0</v>
      </c>
      <c r="O97" s="601">
        <f t="array" aca="1" ref="O97" ca="1">SUM(I32:I39*Produção!$H$8:$H$15)</f>
        <v>0</v>
      </c>
      <c r="P97" s="601">
        <f t="array" aca="1" ref="P97" ca="1">SUM(J32:J39*Produção!$H$8:$H$15)</f>
        <v>0</v>
      </c>
      <c r="Q97" s="601">
        <f t="array" aca="1" ref="Q97" ca="1">SUM(K32:K39*Produção!$H$8:$H$15)</f>
        <v>0</v>
      </c>
      <c r="R97" s="601">
        <f t="array" aca="1" ref="R97" ca="1">SUM(L32:L39*Produção!$H$8:$H$15)</f>
        <v>0</v>
      </c>
      <c r="S97" s="601">
        <f t="array" aca="1" ref="S97" ca="1">SUM(M32:M39*Produção!$H$8:$H$15)</f>
        <v>0</v>
      </c>
      <c r="T97" s="1988">
        <f t="array" aca="1" ref="T97:T103" ca="1">'Distr CV 4'!H97:H103</f>
        <v>0</v>
      </c>
      <c r="U97" s="1988">
        <f ca="1"/>
        <v>0</v>
      </c>
      <c r="V97" s="1988">
        <f ca="1"/>
        <v>0</v>
      </c>
      <c r="W97" s="1988">
        <f ca="1"/>
        <v>0</v>
      </c>
      <c r="X97" s="1988">
        <f ca="1"/>
        <v>0</v>
      </c>
      <c r="Y97" s="2007">
        <f ca="1"/>
        <v>0</v>
      </c>
    </row>
    <row r="98" spans="1:26" ht="15.75" customHeight="1">
      <c r="A98" s="1995" t="str">
        <f t="shared" si="9"/>
        <v>7 meses antes</v>
      </c>
      <c r="B98" s="1991"/>
      <c r="C98" s="1991"/>
      <c r="D98" s="1991"/>
      <c r="E98" s="1991"/>
      <c r="F98" s="1991"/>
      <c r="G98" s="603">
        <f t="array" aca="1" ref="G98" ca="1">SUM(B32:B39*Produção!$G$8:$G$15)</f>
        <v>0</v>
      </c>
      <c r="H98" s="603">
        <f t="array" aca="1" ref="H98" ca="1">SUM(C32:C39*Produção!$G$8:$G$15)</f>
        <v>0</v>
      </c>
      <c r="I98" s="603">
        <f t="array" aca="1" ref="I98" ca="1">SUM(D32:D39*Produção!$G$8:$G$15)</f>
        <v>0</v>
      </c>
      <c r="J98" s="603">
        <f t="array" aca="1" ref="J98" ca="1">SUM(E32:E39*Produção!$G$8:$G$15)</f>
        <v>0</v>
      </c>
      <c r="K98" s="603">
        <f t="array" aca="1" ref="K98" ca="1">SUM(F32:F39*Produção!$G$8:$G$15)</f>
        <v>0</v>
      </c>
      <c r="L98" s="603">
        <f t="array" aca="1" ref="L98" ca="1">SUM(G32:G39*Produção!$G$8:$G$15)</f>
        <v>0</v>
      </c>
      <c r="M98" s="603">
        <f t="array" aca="1" ref="M98" ca="1">SUM(H32:H39*Produção!$G$8:$G$15)</f>
        <v>0</v>
      </c>
      <c r="N98" s="603">
        <f t="array" aca="1" ref="N98" ca="1">SUM(I32:I39*Produção!$G$8:$G$15)</f>
        <v>0</v>
      </c>
      <c r="O98" s="603">
        <f t="array" aca="1" ref="O98" ca="1">SUM(J32:J39*Produção!$G$8:$G$15)</f>
        <v>0</v>
      </c>
      <c r="P98" s="603">
        <f t="array" aca="1" ref="P98" ca="1">SUM(K32:K39*Produção!$G$8:$G$15)</f>
        <v>0</v>
      </c>
      <c r="Q98" s="603">
        <f t="array" aca="1" ref="Q98" ca="1">SUM(L32:L39*Produção!$G$8:$G$15)</f>
        <v>0</v>
      </c>
      <c r="R98" s="603">
        <f t="array" aca="1" ref="R98" ca="1">SUM(M32:M39*Produção!$G$8:$G$15)</f>
        <v>0</v>
      </c>
      <c r="S98" s="1992">
        <f t="array" aca="1" ref="S98:S103" ca="1">'Distr CV 4'!G98:G103</f>
        <v>0</v>
      </c>
      <c r="T98" s="1992">
        <f ca="1"/>
        <v>0</v>
      </c>
      <c r="U98" s="1992">
        <f ca="1"/>
        <v>0</v>
      </c>
      <c r="V98" s="1992">
        <f ca="1"/>
        <v>0</v>
      </c>
      <c r="W98" s="1992">
        <f ca="1"/>
        <v>0</v>
      </c>
      <c r="X98" s="1992">
        <f ca="1"/>
        <v>0</v>
      </c>
      <c r="Y98" s="2010">
        <f ca="1"/>
        <v>0</v>
      </c>
    </row>
    <row r="99" spans="1:26" ht="15.75" customHeight="1">
      <c r="A99" s="1995" t="str">
        <f t="shared" si="9"/>
        <v>8 meses antes</v>
      </c>
      <c r="B99" s="1991"/>
      <c r="C99" s="1991"/>
      <c r="D99" s="1991"/>
      <c r="E99" s="1991"/>
      <c r="F99" s="603">
        <f t="array" aca="1" ref="F99" ca="1">SUM(B32:B39*Produção!$F$8:$F$15)</f>
        <v>0</v>
      </c>
      <c r="G99" s="603">
        <f t="array" aca="1" ref="G99" ca="1">SUM(C32:C39*Produção!$F$8:$F$15)</f>
        <v>0</v>
      </c>
      <c r="H99" s="603">
        <f t="array" aca="1" ref="H99" ca="1">SUM(D32:D39*Produção!$F$8:$F$15)</f>
        <v>0</v>
      </c>
      <c r="I99" s="603">
        <f t="array" aca="1" ref="I99" ca="1">SUM(E32:E39*Produção!$F$8:$F$15)</f>
        <v>0</v>
      </c>
      <c r="J99" s="603">
        <f t="array" aca="1" ref="J99" ca="1">SUM(F32:F39*Produção!$F$8:$F$15)</f>
        <v>0</v>
      </c>
      <c r="K99" s="603">
        <f t="array" aca="1" ref="K99" ca="1">SUM(G32:G39*Produção!$F$8:$F$15)</f>
        <v>0</v>
      </c>
      <c r="L99" s="603">
        <f t="array" aca="1" ref="L99" ca="1">SUM(H32:H39*Produção!$F$8:$F$15)</f>
        <v>0</v>
      </c>
      <c r="M99" s="603">
        <f t="array" aca="1" ref="M99" ca="1">SUM(I32:I39*Produção!$F$8:$F$15)</f>
        <v>0</v>
      </c>
      <c r="N99" s="603">
        <f t="array" aca="1" ref="N99" ca="1">SUM(J32:J39*Produção!$F$8:$F$15)</f>
        <v>0</v>
      </c>
      <c r="O99" s="603">
        <f t="array" aca="1" ref="O99" ca="1">SUM(K32:K39*Produção!$F$8:$F$15)</f>
        <v>0</v>
      </c>
      <c r="P99" s="603">
        <f t="array" aca="1" ref="P99" ca="1">SUM(L32:L39*Produção!$F$8:$F$15)</f>
        <v>0</v>
      </c>
      <c r="Q99" s="603">
        <f t="array" aca="1" ref="Q99" ca="1">SUM(M32:M39*Produção!$F$8:$F$15)</f>
        <v>0</v>
      </c>
      <c r="R99" s="1992">
        <f t="array" aca="1" ref="R99:R103" ca="1">'Distr CV 4'!F99:F103</f>
        <v>0</v>
      </c>
      <c r="S99" s="1992">
        <f ca="1"/>
        <v>0</v>
      </c>
      <c r="T99" s="1992">
        <f ca="1"/>
        <v>0</v>
      </c>
      <c r="U99" s="1992">
        <f ca="1"/>
        <v>0</v>
      </c>
      <c r="V99" s="1992">
        <f ca="1"/>
        <v>0</v>
      </c>
      <c r="W99" s="1992">
        <f ca="1"/>
        <v>0</v>
      </c>
      <c r="X99" s="1992">
        <f ca="1"/>
        <v>0</v>
      </c>
      <c r="Y99" s="2010">
        <f ca="1"/>
        <v>0</v>
      </c>
    </row>
    <row r="100" spans="1:26" ht="15.75" customHeight="1">
      <c r="A100" s="1995" t="str">
        <f t="shared" si="9"/>
        <v>9 meses antes</v>
      </c>
      <c r="B100" s="1991"/>
      <c r="C100" s="1991"/>
      <c r="D100" s="1991"/>
      <c r="E100" s="603">
        <f t="array" aca="1" ref="E100" ca="1">SUM(B32:B39*Produção!$E$8:$E$15)</f>
        <v>0</v>
      </c>
      <c r="F100" s="603">
        <f t="array" aca="1" ref="F100" ca="1">SUM(C32:C39*Produção!$E$8:$E$15)</f>
        <v>0</v>
      </c>
      <c r="G100" s="603">
        <f t="array" aca="1" ref="G100" ca="1">SUM(D32:D39*Produção!$E$8:$E$15)</f>
        <v>0</v>
      </c>
      <c r="H100" s="603">
        <f t="array" aca="1" ref="H100" ca="1">SUM(E32:E39*Produção!$E$8:$E$15)</f>
        <v>0</v>
      </c>
      <c r="I100" s="603">
        <f t="array" aca="1" ref="I100" ca="1">SUM(F32:F39*Produção!$E$8:$E$15)</f>
        <v>0</v>
      </c>
      <c r="J100" s="603">
        <f t="array" aca="1" ref="J100" ca="1">SUM(G32:G39*Produção!$E$8:$E$15)</f>
        <v>0</v>
      </c>
      <c r="K100" s="603">
        <f t="array" aca="1" ref="K100" ca="1">SUM(H32:H39*Produção!$E$8:$E$15)</f>
        <v>0</v>
      </c>
      <c r="L100" s="603">
        <f t="array" aca="1" ref="L100" ca="1">SUM(I32:I39*Produção!$E$8:$E$15)</f>
        <v>0</v>
      </c>
      <c r="M100" s="603">
        <f t="array" aca="1" ref="M100" ca="1">SUM(J32:J39*Produção!$E$8:$E$15)</f>
        <v>0</v>
      </c>
      <c r="N100" s="603">
        <f t="array" aca="1" ref="N100" ca="1">SUM(K32:K39*Produção!$E$8:$E$15)</f>
        <v>0</v>
      </c>
      <c r="O100" s="603">
        <f t="array" aca="1" ref="O100" ca="1">SUM(L32:L39*Produção!$E$8:$E$15)</f>
        <v>0</v>
      </c>
      <c r="P100" s="603">
        <f t="array" aca="1" ref="P100" ca="1">SUM(M32:M39*Produção!$E$8:$E$15)</f>
        <v>0</v>
      </c>
      <c r="Q100" s="1992">
        <f t="array" aca="1" ref="Q100:Q103" ca="1">'Distr CV 4'!E100:E103</f>
        <v>0</v>
      </c>
      <c r="R100" s="1992">
        <f ca="1"/>
        <v>0</v>
      </c>
      <c r="S100" s="1992">
        <f ca="1"/>
        <v>0</v>
      </c>
      <c r="T100" s="1992">
        <f ca="1"/>
        <v>0</v>
      </c>
      <c r="U100" s="1992">
        <f ca="1"/>
        <v>0</v>
      </c>
      <c r="V100" s="1992">
        <f ca="1"/>
        <v>0</v>
      </c>
      <c r="W100" s="1992">
        <f ca="1"/>
        <v>0</v>
      </c>
      <c r="X100" s="1992">
        <f ca="1"/>
        <v>0</v>
      </c>
      <c r="Y100" s="2010">
        <f ca="1"/>
        <v>0</v>
      </c>
    </row>
    <row r="101" spans="1:26" ht="15.75" customHeight="1">
      <c r="A101" s="1995" t="str">
        <f t="shared" si="9"/>
        <v>10 meses antes</v>
      </c>
      <c r="B101" s="1991"/>
      <c r="C101" s="1991"/>
      <c r="D101" s="602">
        <f t="array" aca="1" ref="D101" ca="1">SUM(B32:B39*Produção!$D$8:$D$15)</f>
        <v>0</v>
      </c>
      <c r="E101" s="602">
        <f t="array" aca="1" ref="E101" ca="1">SUM(C32:C39*Produção!$D$8:$D$15)</f>
        <v>0</v>
      </c>
      <c r="F101" s="602">
        <f t="array" aca="1" ref="F101" ca="1">SUM(D32:D39*Produção!$D$8:$D$15)</f>
        <v>0</v>
      </c>
      <c r="G101" s="602">
        <f t="array" aca="1" ref="G101" ca="1">SUM(E32:E39*Produção!$D$8:$D$15)</f>
        <v>0</v>
      </c>
      <c r="H101" s="602">
        <f t="array" aca="1" ref="H101" ca="1">SUM(F32:F39*Produção!$D$8:$D$15)</f>
        <v>0</v>
      </c>
      <c r="I101" s="602">
        <f t="array" aca="1" ref="I101" ca="1">SUM(G32:G39*Produção!$D$8:$D$15)</f>
        <v>0</v>
      </c>
      <c r="J101" s="602">
        <f t="array" aca="1" ref="J101" ca="1">SUM(H32:H39*Produção!$D$8:$D$15)</f>
        <v>0</v>
      </c>
      <c r="K101" s="602">
        <f t="array" aca="1" ref="K101" ca="1">SUM(I32:I39*Produção!$D$8:$D$15)</f>
        <v>0</v>
      </c>
      <c r="L101" s="602">
        <f t="array" aca="1" ref="L101" ca="1">SUM(J32:J39*Produção!$D$8:$D$15)</f>
        <v>0</v>
      </c>
      <c r="M101" s="602">
        <f t="array" aca="1" ref="M101" ca="1">SUM(K32:K39*Produção!$D$8:$D$15)</f>
        <v>0</v>
      </c>
      <c r="N101" s="602">
        <f t="array" aca="1" ref="N101" ca="1">SUM(L32:L39*Produção!$D$8:$D$15)</f>
        <v>0</v>
      </c>
      <c r="O101" s="602">
        <f t="array" aca="1" ref="O101" ca="1">SUM(M32:M39*Produção!$D$8:$D$15)</f>
        <v>0</v>
      </c>
      <c r="P101" s="1992">
        <f t="array" aca="1" ref="P101:P103" ca="1">'Distr CV 4'!D101:D103</f>
        <v>0</v>
      </c>
      <c r="Q101" s="1992">
        <f ca="1"/>
        <v>0</v>
      </c>
      <c r="R101" s="1992">
        <f ca="1"/>
        <v>0</v>
      </c>
      <c r="S101" s="1992">
        <f ca="1"/>
        <v>0</v>
      </c>
      <c r="T101" s="1992">
        <f ca="1"/>
        <v>0</v>
      </c>
      <c r="U101" s="1992">
        <f ca="1"/>
        <v>0</v>
      </c>
      <c r="V101" s="1992">
        <f ca="1"/>
        <v>0</v>
      </c>
      <c r="W101" s="1992">
        <f ca="1"/>
        <v>0</v>
      </c>
      <c r="X101" s="1992">
        <f ca="1"/>
        <v>0</v>
      </c>
      <c r="Y101" s="2010">
        <f ca="1"/>
        <v>0</v>
      </c>
    </row>
    <row r="102" spans="1:26" ht="15.75" customHeight="1">
      <c r="A102" s="1995" t="str">
        <f t="shared" si="9"/>
        <v>11 meses antes</v>
      </c>
      <c r="B102" s="1991"/>
      <c r="C102" s="603">
        <f t="array" aca="1" ref="C102" ca="1">SUM(B32:B39*Produção!$C$8:$C$15)</f>
        <v>0</v>
      </c>
      <c r="D102" s="603">
        <f t="array" aca="1" ref="D102" ca="1">SUM(C32:C39*Produção!$C$8:$C$15)</f>
        <v>0</v>
      </c>
      <c r="E102" s="603">
        <f t="array" aca="1" ref="E102" ca="1">SUM(D32:D39*Produção!$C$8:$C$15)</f>
        <v>0</v>
      </c>
      <c r="F102" s="603">
        <f t="array" aca="1" ref="F102" ca="1">SUM(E32:E39*Produção!$C$8:$C$15)</f>
        <v>0</v>
      </c>
      <c r="G102" s="603">
        <f t="array" aca="1" ref="G102" ca="1">SUM(F32:F39*Produção!$C$8:$C$15)</f>
        <v>0</v>
      </c>
      <c r="H102" s="603">
        <f t="array" aca="1" ref="H102" ca="1">SUM(G32:G39*Produção!$C$8:$C$15)</f>
        <v>0</v>
      </c>
      <c r="I102" s="603">
        <f t="array" aca="1" ref="I102" ca="1">SUM(H32:H39*Produção!$C$8:$C$15)</f>
        <v>0</v>
      </c>
      <c r="J102" s="603">
        <f t="array" aca="1" ref="J102" ca="1">SUM(I32:I39*Produção!$C$8:$C$15)</f>
        <v>0</v>
      </c>
      <c r="K102" s="603">
        <f t="array" aca="1" ref="K102" ca="1">SUM(J32:J39*Produção!$C$8:$C$15)</f>
        <v>0</v>
      </c>
      <c r="L102" s="603">
        <f t="array" aca="1" ref="L102" ca="1">SUM(K32:K39*Produção!$C$8:$C$15)</f>
        <v>0</v>
      </c>
      <c r="M102" s="603">
        <f t="array" aca="1" ref="M102" ca="1">SUM(L32:L39*Produção!$C$8:$C$15)</f>
        <v>0</v>
      </c>
      <c r="N102" s="603">
        <f t="array" aca="1" ref="N102" ca="1">SUM(M32:M39*Produção!$C$8:$C$15)</f>
        <v>0</v>
      </c>
      <c r="O102" s="1992">
        <f ca="1">'Distr CV 4'!C102</f>
        <v>0</v>
      </c>
      <c r="P102" s="1992">
        <f ca="1"/>
        <v>0</v>
      </c>
      <c r="Q102" s="1992">
        <f ca="1"/>
        <v>0</v>
      </c>
      <c r="R102" s="1992">
        <f ca="1"/>
        <v>0</v>
      </c>
      <c r="S102" s="1992">
        <f ca="1"/>
        <v>0</v>
      </c>
      <c r="T102" s="1992">
        <f ca="1"/>
        <v>0</v>
      </c>
      <c r="U102" s="1992">
        <f ca="1"/>
        <v>0</v>
      </c>
      <c r="V102" s="1992">
        <f ca="1"/>
        <v>0</v>
      </c>
      <c r="W102" s="1992">
        <f ca="1"/>
        <v>0</v>
      </c>
      <c r="X102" s="1992">
        <f ca="1"/>
        <v>0</v>
      </c>
      <c r="Y102" s="2010">
        <f ca="1"/>
        <v>0</v>
      </c>
    </row>
    <row r="103" spans="1:26" ht="15.75" customHeight="1" thickBot="1">
      <c r="A103" s="1995" t="str">
        <f t="shared" si="9"/>
        <v>12 meses antes</v>
      </c>
      <c r="B103" s="603">
        <f t="array" aca="1" ref="B103" ca="1">SUM(B32:B39*Produção!$B$8:$B$15)</f>
        <v>0</v>
      </c>
      <c r="C103" s="603">
        <f t="array" aca="1" ref="C103" ca="1">SUM(C32:C39*Produção!$B$8:$B$15)</f>
        <v>0</v>
      </c>
      <c r="D103" s="603">
        <f t="array" aca="1" ref="D103" ca="1">SUM(D32:D39*Produção!$B$8:$B$15)</f>
        <v>0</v>
      </c>
      <c r="E103" s="603">
        <f t="array" aca="1" ref="E103" ca="1">SUM(E32:E39*Produção!$B$8:$B$15)</f>
        <v>0</v>
      </c>
      <c r="F103" s="603">
        <f t="array" aca="1" ref="F103" ca="1">SUM(F32:F39*Produção!$B$8:$B$15)</f>
        <v>0</v>
      </c>
      <c r="G103" s="603">
        <f t="array" aca="1" ref="G103" ca="1">SUM(G32:G39*Produção!$B$8:$B$15)</f>
        <v>0</v>
      </c>
      <c r="H103" s="603">
        <f t="array" aca="1" ref="H103" ca="1">SUM(H32:H39*Produção!$B$8:$B$15)</f>
        <v>0</v>
      </c>
      <c r="I103" s="603">
        <f t="array" aca="1" ref="I103" ca="1">SUM(I32:I39*Produção!$B$8:$B$15)</f>
        <v>0</v>
      </c>
      <c r="J103" s="603">
        <f t="array" aca="1" ref="J103" ca="1">SUM(J32:J39*Produção!$B$8:$B$15)</f>
        <v>0</v>
      </c>
      <c r="K103" s="603">
        <f t="array" aca="1" ref="K103" ca="1">SUM(K32:K39*Produção!$B$8:$B$15)</f>
        <v>0</v>
      </c>
      <c r="L103" s="603">
        <f t="array" aca="1" ref="L103" ca="1">SUM(L32:L39*Produção!$B$8:$B$15)</f>
        <v>0</v>
      </c>
      <c r="M103" s="603">
        <f t="array" aca="1" ref="M103" ca="1">SUM(M32:M39*Produção!$B$8:$B$15)</f>
        <v>0</v>
      </c>
      <c r="N103" s="1992">
        <f ca="1">'Distr CV 4'!B103</f>
        <v>0</v>
      </c>
      <c r="O103" s="1992">
        <f ca="1">'Distr CV 4'!C103</f>
        <v>0</v>
      </c>
      <c r="P103" s="1992">
        <f ca="1"/>
        <v>0</v>
      </c>
      <c r="Q103" s="1992">
        <f ca="1"/>
        <v>0</v>
      </c>
      <c r="R103" s="1992">
        <f ca="1"/>
        <v>0</v>
      </c>
      <c r="S103" s="1992">
        <f ca="1"/>
        <v>0</v>
      </c>
      <c r="T103" s="1992">
        <f ca="1"/>
        <v>0</v>
      </c>
      <c r="U103" s="1992">
        <f ca="1"/>
        <v>0</v>
      </c>
      <c r="V103" s="1992">
        <f ca="1"/>
        <v>0</v>
      </c>
      <c r="W103" s="1992">
        <f ca="1"/>
        <v>0</v>
      </c>
      <c r="X103" s="1992">
        <f ca="1"/>
        <v>0</v>
      </c>
      <c r="Y103" s="2010">
        <f ca="1"/>
        <v>0</v>
      </c>
    </row>
    <row r="104" spans="1:26" ht="15.75" customHeight="1" thickBot="1">
      <c r="A104" s="105" t="str">
        <f>A$28</f>
        <v>Totais</v>
      </c>
      <c r="B104" s="607">
        <f t="shared" ref="B104:Y104" ca="1" si="10">SUM(B91:B103)</f>
        <v>0</v>
      </c>
      <c r="C104" s="607">
        <f t="shared" ca="1" si="10"/>
        <v>0</v>
      </c>
      <c r="D104" s="607">
        <f t="shared" ca="1" si="10"/>
        <v>0</v>
      </c>
      <c r="E104" s="607">
        <f t="shared" ca="1" si="10"/>
        <v>0</v>
      </c>
      <c r="F104" s="607">
        <f t="shared" ca="1" si="10"/>
        <v>0</v>
      </c>
      <c r="G104" s="607">
        <f t="shared" ca="1" si="10"/>
        <v>0</v>
      </c>
      <c r="H104" s="607">
        <f t="shared" ca="1" si="10"/>
        <v>0</v>
      </c>
      <c r="I104" s="607">
        <f t="shared" ca="1" si="10"/>
        <v>0</v>
      </c>
      <c r="J104" s="607">
        <f t="shared" ca="1" si="10"/>
        <v>0</v>
      </c>
      <c r="K104" s="607">
        <f t="shared" ca="1" si="10"/>
        <v>0</v>
      </c>
      <c r="L104" s="607">
        <f t="shared" ca="1" si="10"/>
        <v>0</v>
      </c>
      <c r="M104" s="607">
        <f t="shared" ca="1" si="10"/>
        <v>0</v>
      </c>
      <c r="N104" s="607">
        <f t="shared" ca="1" si="10"/>
        <v>35.4351697014</v>
      </c>
      <c r="O104" s="607">
        <f t="shared" ca="1" si="10"/>
        <v>35.4351697014</v>
      </c>
      <c r="P104" s="607">
        <f t="shared" ca="1" si="10"/>
        <v>35.4351697014</v>
      </c>
      <c r="Q104" s="607">
        <f t="shared" ca="1" si="10"/>
        <v>35.4351697014</v>
      </c>
      <c r="R104" s="607">
        <f t="shared" ca="1" si="10"/>
        <v>35.4351697014</v>
      </c>
      <c r="S104" s="607">
        <f t="shared" ca="1" si="10"/>
        <v>35.4351697014</v>
      </c>
      <c r="T104" s="607">
        <f t="shared" ca="1" si="10"/>
        <v>35.4351697014</v>
      </c>
      <c r="U104" s="607">
        <f t="shared" ca="1" si="10"/>
        <v>35.4351697014</v>
      </c>
      <c r="V104" s="607">
        <f t="shared" ca="1" si="10"/>
        <v>35.4351697014</v>
      </c>
      <c r="W104" s="607">
        <f t="shared" ca="1" si="10"/>
        <v>35.4351697014</v>
      </c>
      <c r="X104" s="607">
        <f t="shared" ca="1" si="10"/>
        <v>35.4351697014</v>
      </c>
      <c r="Y104" s="2008">
        <f t="shared" ca="1" si="10"/>
        <v>35.4351697014</v>
      </c>
    </row>
    <row r="106" spans="1:26">
      <c r="A106" s="239" t="str">
        <f>'Dados Básicos'!A28&amp;" del pendiente anterior"</f>
        <v>IVA del pendiente anterior</v>
      </c>
      <c r="B106" s="62">
        <f ca="1">SUM(B104:M104)</f>
        <v>0</v>
      </c>
    </row>
    <row r="108" spans="1:26">
      <c r="F108" s="62" t="str">
        <f>'Distr CV 0'!F108</f>
        <v>(PARA PODERMOS CALCULAR OS PAGAMENTOS NOS MESES APROPRIADOS)</v>
      </c>
      <c r="K108" s="62" t="str">
        <f>'Distr CV 0'!K108</f>
        <v>Totais custos / compras para a produção do producto 1 pelos meses nos que se produzir os custos</v>
      </c>
    </row>
    <row r="109" spans="1:26" ht="18.75" thickBot="1">
      <c r="A109" s="1993" t="str">
        <f>'Distr CV 0'!A109</f>
        <v>Compras / custos de produção por meses de produto 1</v>
      </c>
      <c r="I109" s="1993" t="str">
        <f>I$44</f>
        <v>IVA NÃO incluido</v>
      </c>
      <c r="K109" s="2005">
        <f>Parametros!$F$24</f>
        <v>0.21</v>
      </c>
    </row>
    <row r="110" spans="1:26" s="456" customFormat="1" ht="30" customHeight="1" thickBot="1">
      <c r="A110" s="457" t="str">
        <f>'Distr CV 0'!A110</f>
        <v>mes de compra / custo</v>
      </c>
      <c r="B110" s="2011" t="str">
        <f t="array" ref="B110:Y110">B$71:Y$71</f>
        <v>janeiro 
2028</v>
      </c>
      <c r="C110" s="2011" t="str">
        <v>fevereiro 
2028</v>
      </c>
      <c r="D110" s="2011" t="str">
        <v>março 
2028</v>
      </c>
      <c r="E110" s="2011" t="str">
        <v>abril 
2028</v>
      </c>
      <c r="F110" s="2011" t="str">
        <v>maio 
2028</v>
      </c>
      <c r="G110" s="2011" t="str">
        <v>junho 
2028</v>
      </c>
      <c r="H110" s="2011" t="str">
        <v>julho 
2028</v>
      </c>
      <c r="I110" s="2011" t="str">
        <v>agosto 
2028</v>
      </c>
      <c r="J110" s="2011" t="str">
        <v>setembro 
2028</v>
      </c>
      <c r="K110" s="2011" t="str">
        <v>outubro 
2028</v>
      </c>
      <c r="L110" s="2011" t="str">
        <v>novembro 
2028</v>
      </c>
      <c r="M110" s="2011" t="str">
        <v>dezembro 
2028</v>
      </c>
      <c r="N110" s="2734" t="str">
        <v>janeiro 
2029</v>
      </c>
      <c r="O110" s="2735" t="str">
        <v>fevereiro 
2029</v>
      </c>
      <c r="P110" s="2735" t="str">
        <v>março 
2029</v>
      </c>
      <c r="Q110" s="2735" t="str">
        <v>abril 
2029</v>
      </c>
      <c r="R110" s="2735" t="str">
        <v>maio 
2029</v>
      </c>
      <c r="S110" s="2735" t="str">
        <v>junho 
2029</v>
      </c>
      <c r="T110" s="2735" t="str">
        <v>julho 
2029</v>
      </c>
      <c r="U110" s="2735" t="str">
        <v>agosto 
2029</v>
      </c>
      <c r="V110" s="2735" t="str">
        <v>setembro 
2029</v>
      </c>
      <c r="W110" s="2735" t="str">
        <v>outubro 
2029</v>
      </c>
      <c r="X110" s="2735" t="str">
        <v>novembro 
2029</v>
      </c>
      <c r="Y110" s="2736" t="str">
        <v>dezembro 
2029</v>
      </c>
      <c r="Z110" s="62"/>
    </row>
    <row r="111" spans="1:26">
      <c r="A111" s="1994" t="str">
        <f>A$72</f>
        <v>mismo mes</v>
      </c>
      <c r="B111" s="1991"/>
      <c r="C111" s="1991"/>
      <c r="D111" s="1991"/>
      <c r="E111" s="1991"/>
      <c r="F111" s="1991"/>
      <c r="G111" s="1991"/>
      <c r="H111" s="1991"/>
      <c r="I111" s="1991"/>
      <c r="J111" s="1991"/>
      <c r="K111" s="1991"/>
      <c r="L111" s="1991"/>
      <c r="M111" s="1991"/>
      <c r="N111" s="603">
        <f t="array" aca="1" ref="N111:Y111" ca="1">B$20:M20*Produção!$N$8</f>
        <v>168.73890334000001</v>
      </c>
      <c r="O111" s="603">
        <f ca="1"/>
        <v>168.73890334000001</v>
      </c>
      <c r="P111" s="603">
        <f ca="1"/>
        <v>168.73890334000001</v>
      </c>
      <c r="Q111" s="603">
        <f ca="1"/>
        <v>168.73890334000001</v>
      </c>
      <c r="R111" s="603">
        <f ca="1"/>
        <v>168.73890334000001</v>
      </c>
      <c r="S111" s="603">
        <f ca="1"/>
        <v>168.73890334000001</v>
      </c>
      <c r="T111" s="603">
        <f ca="1"/>
        <v>168.73890334000001</v>
      </c>
      <c r="U111" s="603">
        <f ca="1"/>
        <v>168.73890334000001</v>
      </c>
      <c r="V111" s="603">
        <f ca="1"/>
        <v>168.73890334000001</v>
      </c>
      <c r="W111" s="603">
        <f ca="1"/>
        <v>168.73890334000001</v>
      </c>
      <c r="X111" s="603">
        <f ca="1"/>
        <v>168.73890334000001</v>
      </c>
      <c r="Y111" s="2006">
        <f ca="1"/>
        <v>168.73890334000001</v>
      </c>
    </row>
    <row r="112" spans="1:26">
      <c r="A112" s="1995" t="str">
        <f>A$73</f>
        <v>1 mes antes</v>
      </c>
      <c r="B112" s="1991"/>
      <c r="C112" s="1991"/>
      <c r="D112" s="1991"/>
      <c r="E112" s="1991"/>
      <c r="F112" s="1991"/>
      <c r="G112" s="1991"/>
      <c r="H112" s="1991"/>
      <c r="I112" s="1991"/>
      <c r="J112" s="1991"/>
      <c r="K112" s="1991"/>
      <c r="L112" s="1991"/>
      <c r="M112" s="603">
        <f t="array" aca="1" ref="M112:X112" ca="1">B$20:M20*Produção!$M$8</f>
        <v>0</v>
      </c>
      <c r="N112" s="603">
        <f ca="1"/>
        <v>0</v>
      </c>
      <c r="O112" s="603">
        <f ca="1"/>
        <v>0</v>
      </c>
      <c r="P112" s="603">
        <f ca="1"/>
        <v>0</v>
      </c>
      <c r="Q112" s="603">
        <f ca="1"/>
        <v>0</v>
      </c>
      <c r="R112" s="603">
        <f ca="1"/>
        <v>0</v>
      </c>
      <c r="S112" s="603">
        <f ca="1"/>
        <v>0</v>
      </c>
      <c r="T112" s="603">
        <f ca="1"/>
        <v>0</v>
      </c>
      <c r="U112" s="603">
        <f ca="1"/>
        <v>0</v>
      </c>
      <c r="V112" s="603">
        <f ca="1"/>
        <v>0</v>
      </c>
      <c r="W112" s="603">
        <f ca="1"/>
        <v>0</v>
      </c>
      <c r="X112" s="603">
        <f ca="1"/>
        <v>0</v>
      </c>
      <c r="Y112" s="2007">
        <f t="array" aca="1" ref="Y112:Y123" ca="1">'Distr CV 4'!M112:M123</f>
        <v>0</v>
      </c>
    </row>
    <row r="113" spans="1:25">
      <c r="A113" s="1995" t="str">
        <f>A$74</f>
        <v>2 meses antes</v>
      </c>
      <c r="B113" s="1991"/>
      <c r="C113" s="1991"/>
      <c r="D113" s="1991"/>
      <c r="E113" s="1991"/>
      <c r="F113" s="1991"/>
      <c r="G113" s="1991"/>
      <c r="H113" s="1991"/>
      <c r="I113" s="1991"/>
      <c r="J113" s="1991"/>
      <c r="K113" s="1991"/>
      <c r="L113" s="603">
        <f t="array" aca="1" ref="L113:W113" ca="1">B$20:M20*Produção!$L$8</f>
        <v>0</v>
      </c>
      <c r="M113" s="603">
        <f ca="1"/>
        <v>0</v>
      </c>
      <c r="N113" s="603">
        <f ca="1"/>
        <v>0</v>
      </c>
      <c r="O113" s="603">
        <f ca="1"/>
        <v>0</v>
      </c>
      <c r="P113" s="603">
        <f ca="1"/>
        <v>0</v>
      </c>
      <c r="Q113" s="603">
        <f ca="1"/>
        <v>0</v>
      </c>
      <c r="R113" s="603">
        <f ca="1"/>
        <v>0</v>
      </c>
      <c r="S113" s="603">
        <f ca="1"/>
        <v>0</v>
      </c>
      <c r="T113" s="603">
        <f ca="1"/>
        <v>0</v>
      </c>
      <c r="U113" s="603">
        <f ca="1"/>
        <v>0</v>
      </c>
      <c r="V113" s="603">
        <f ca="1"/>
        <v>0</v>
      </c>
      <c r="W113" s="603">
        <f ca="1"/>
        <v>0</v>
      </c>
      <c r="X113" s="1988">
        <f t="array" aca="1" ref="X113:X123" ca="1">'Distr CV 4'!L113:L123</f>
        <v>0</v>
      </c>
      <c r="Y113" s="2007">
        <f ca="1"/>
        <v>0</v>
      </c>
    </row>
    <row r="114" spans="1:25">
      <c r="A114" s="1995" t="str">
        <f>A$75</f>
        <v>3 meses antes</v>
      </c>
      <c r="B114" s="1991"/>
      <c r="C114" s="1991"/>
      <c r="D114" s="1991"/>
      <c r="E114" s="1991"/>
      <c r="F114" s="1991"/>
      <c r="G114" s="1991"/>
      <c r="H114" s="1991"/>
      <c r="I114" s="1991"/>
      <c r="J114" s="1991"/>
      <c r="K114" s="603">
        <f t="array" aca="1" ref="K114:V114" ca="1">B$20:M20*Produção!$K$8</f>
        <v>0</v>
      </c>
      <c r="L114" s="603">
        <f ca="1"/>
        <v>0</v>
      </c>
      <c r="M114" s="603">
        <f ca="1"/>
        <v>0</v>
      </c>
      <c r="N114" s="603">
        <f ca="1"/>
        <v>0</v>
      </c>
      <c r="O114" s="603">
        <f ca="1"/>
        <v>0</v>
      </c>
      <c r="P114" s="603">
        <f ca="1"/>
        <v>0</v>
      </c>
      <c r="Q114" s="603">
        <f ca="1"/>
        <v>0</v>
      </c>
      <c r="R114" s="603">
        <f ca="1"/>
        <v>0</v>
      </c>
      <c r="S114" s="603">
        <f ca="1"/>
        <v>0</v>
      </c>
      <c r="T114" s="603">
        <f ca="1"/>
        <v>0</v>
      </c>
      <c r="U114" s="603">
        <f ca="1"/>
        <v>0</v>
      </c>
      <c r="V114" s="603">
        <f ca="1"/>
        <v>0</v>
      </c>
      <c r="W114" s="1988">
        <f t="array" aca="1" ref="W114:W123" ca="1">'Distr CV 4'!K114:K123</f>
        <v>0</v>
      </c>
      <c r="X114" s="1988">
        <f ca="1"/>
        <v>0</v>
      </c>
      <c r="Y114" s="2007">
        <f ca="1"/>
        <v>0</v>
      </c>
    </row>
    <row r="115" spans="1:25">
      <c r="A115" s="1995" t="str">
        <f>A$76</f>
        <v>4 meses antes</v>
      </c>
      <c r="B115" s="1991"/>
      <c r="C115" s="1991"/>
      <c r="D115" s="1991"/>
      <c r="E115" s="1991"/>
      <c r="F115" s="1991"/>
      <c r="G115" s="1991"/>
      <c r="H115" s="1991"/>
      <c r="I115" s="1991"/>
      <c r="J115" s="603">
        <f t="array" aca="1" ref="J115:U115" ca="1">B$20:M20*Produção!$J$8</f>
        <v>0</v>
      </c>
      <c r="K115" s="603">
        <f ca="1"/>
        <v>0</v>
      </c>
      <c r="L115" s="603">
        <f ca="1"/>
        <v>0</v>
      </c>
      <c r="M115" s="603">
        <f ca="1"/>
        <v>0</v>
      </c>
      <c r="N115" s="603">
        <f ca="1"/>
        <v>0</v>
      </c>
      <c r="O115" s="603">
        <f ca="1"/>
        <v>0</v>
      </c>
      <c r="P115" s="603">
        <f ca="1"/>
        <v>0</v>
      </c>
      <c r="Q115" s="603">
        <f ca="1"/>
        <v>0</v>
      </c>
      <c r="R115" s="603">
        <f ca="1"/>
        <v>0</v>
      </c>
      <c r="S115" s="603">
        <f ca="1"/>
        <v>0</v>
      </c>
      <c r="T115" s="603">
        <f ca="1"/>
        <v>0</v>
      </c>
      <c r="U115" s="603">
        <f ca="1"/>
        <v>0</v>
      </c>
      <c r="V115" s="1988">
        <f t="array" aca="1" ref="V115:V123" ca="1">'Distr CV 4'!J115:J123</f>
        <v>0</v>
      </c>
      <c r="W115" s="1988">
        <f ca="1"/>
        <v>0</v>
      </c>
      <c r="X115" s="1988">
        <f ca="1"/>
        <v>0</v>
      </c>
      <c r="Y115" s="2007">
        <f ca="1"/>
        <v>0</v>
      </c>
    </row>
    <row r="116" spans="1:25">
      <c r="A116" s="1995" t="str">
        <f>A$77</f>
        <v>5 meses antes</v>
      </c>
      <c r="B116" s="1991"/>
      <c r="C116" s="1991"/>
      <c r="D116" s="1991"/>
      <c r="E116" s="1991"/>
      <c r="F116" s="1991"/>
      <c r="G116" s="1991"/>
      <c r="H116" s="1991"/>
      <c r="I116" s="603">
        <f t="array" aca="1" ref="I116:T116" ca="1">B$20:M20*Produção!$I$8</f>
        <v>0</v>
      </c>
      <c r="J116" s="603">
        <f ca="1"/>
        <v>0</v>
      </c>
      <c r="K116" s="603">
        <f ca="1"/>
        <v>0</v>
      </c>
      <c r="L116" s="603">
        <f ca="1"/>
        <v>0</v>
      </c>
      <c r="M116" s="603">
        <f ca="1"/>
        <v>0</v>
      </c>
      <c r="N116" s="603">
        <f ca="1"/>
        <v>0</v>
      </c>
      <c r="O116" s="603">
        <f ca="1"/>
        <v>0</v>
      </c>
      <c r="P116" s="603">
        <f ca="1"/>
        <v>0</v>
      </c>
      <c r="Q116" s="603">
        <f ca="1"/>
        <v>0</v>
      </c>
      <c r="R116" s="603">
        <f ca="1"/>
        <v>0</v>
      </c>
      <c r="S116" s="603">
        <f ca="1"/>
        <v>0</v>
      </c>
      <c r="T116" s="603">
        <f ca="1"/>
        <v>0</v>
      </c>
      <c r="U116" s="1988">
        <f t="array" aca="1" ref="U116:U123" ca="1">'Distr CV 4'!I116:I123</f>
        <v>0</v>
      </c>
      <c r="V116" s="1988">
        <f ca="1"/>
        <v>0</v>
      </c>
      <c r="W116" s="1988">
        <f ca="1"/>
        <v>0</v>
      </c>
      <c r="X116" s="1988">
        <f ca="1"/>
        <v>0</v>
      </c>
      <c r="Y116" s="2007">
        <f ca="1"/>
        <v>0</v>
      </c>
    </row>
    <row r="117" spans="1:25">
      <c r="A117" s="1995" t="str">
        <f>A$78</f>
        <v>6 meses antes</v>
      </c>
      <c r="B117" s="1991"/>
      <c r="C117" s="1991"/>
      <c r="D117" s="1991"/>
      <c r="E117" s="1991"/>
      <c r="F117" s="1991"/>
      <c r="G117" s="1991"/>
      <c r="H117" s="603">
        <f t="array" aca="1" ref="H117:S117" ca="1">B$20:M20*Produção!$H$8</f>
        <v>0</v>
      </c>
      <c r="I117" s="603">
        <f ca="1"/>
        <v>0</v>
      </c>
      <c r="J117" s="603">
        <f ca="1"/>
        <v>0</v>
      </c>
      <c r="K117" s="603">
        <f ca="1"/>
        <v>0</v>
      </c>
      <c r="L117" s="603">
        <f ca="1"/>
        <v>0</v>
      </c>
      <c r="M117" s="603">
        <f ca="1"/>
        <v>0</v>
      </c>
      <c r="N117" s="603">
        <f ca="1"/>
        <v>0</v>
      </c>
      <c r="O117" s="603">
        <f ca="1"/>
        <v>0</v>
      </c>
      <c r="P117" s="603">
        <f ca="1"/>
        <v>0</v>
      </c>
      <c r="Q117" s="603">
        <f ca="1"/>
        <v>0</v>
      </c>
      <c r="R117" s="603">
        <f ca="1"/>
        <v>0</v>
      </c>
      <c r="S117" s="603">
        <f ca="1"/>
        <v>0</v>
      </c>
      <c r="T117" s="1988">
        <f t="array" aca="1" ref="T117:T123" ca="1">'Distr CV 4'!H117:H123</f>
        <v>0</v>
      </c>
      <c r="U117" s="1988">
        <f ca="1"/>
        <v>0</v>
      </c>
      <c r="V117" s="1988">
        <f ca="1"/>
        <v>0</v>
      </c>
      <c r="W117" s="1988">
        <f ca="1"/>
        <v>0</v>
      </c>
      <c r="X117" s="1988">
        <f ca="1"/>
        <v>0</v>
      </c>
      <c r="Y117" s="2007">
        <f ca="1"/>
        <v>0</v>
      </c>
    </row>
    <row r="118" spans="1:25">
      <c r="A118" s="1995" t="str">
        <f>A$79</f>
        <v>7 meses antes</v>
      </c>
      <c r="B118" s="1991"/>
      <c r="C118" s="1991"/>
      <c r="D118" s="1991"/>
      <c r="E118" s="1991"/>
      <c r="F118" s="1991"/>
      <c r="G118" s="603">
        <f t="array" aca="1" ref="G118:R118" ca="1">B$20:M20*Produção!$G$8</f>
        <v>0</v>
      </c>
      <c r="H118" s="603">
        <f ca="1"/>
        <v>0</v>
      </c>
      <c r="I118" s="603">
        <f ca="1"/>
        <v>0</v>
      </c>
      <c r="J118" s="603">
        <f ca="1"/>
        <v>0</v>
      </c>
      <c r="K118" s="603">
        <f ca="1"/>
        <v>0</v>
      </c>
      <c r="L118" s="603">
        <f ca="1"/>
        <v>0</v>
      </c>
      <c r="M118" s="603">
        <f ca="1"/>
        <v>0</v>
      </c>
      <c r="N118" s="603">
        <f ca="1"/>
        <v>0</v>
      </c>
      <c r="O118" s="603">
        <f ca="1"/>
        <v>0</v>
      </c>
      <c r="P118" s="603">
        <f ca="1"/>
        <v>0</v>
      </c>
      <c r="Q118" s="603">
        <f ca="1"/>
        <v>0</v>
      </c>
      <c r="R118" s="603">
        <f ca="1"/>
        <v>0</v>
      </c>
      <c r="S118" s="1992">
        <f t="array" aca="1" ref="S118:S123" ca="1">'Distr CV 4'!G118:G123</f>
        <v>0</v>
      </c>
      <c r="T118" s="1992">
        <f ca="1"/>
        <v>0</v>
      </c>
      <c r="U118" s="1992">
        <f ca="1"/>
        <v>0</v>
      </c>
      <c r="V118" s="1992">
        <f ca="1"/>
        <v>0</v>
      </c>
      <c r="W118" s="1992">
        <f ca="1"/>
        <v>0</v>
      </c>
      <c r="X118" s="1992">
        <f ca="1"/>
        <v>0</v>
      </c>
      <c r="Y118" s="2010">
        <f ca="1"/>
        <v>0</v>
      </c>
    </row>
    <row r="119" spans="1:25">
      <c r="A119" s="1995" t="str">
        <f>A$80</f>
        <v>8 meses antes</v>
      </c>
      <c r="B119" s="1991"/>
      <c r="C119" s="1991"/>
      <c r="D119" s="1991"/>
      <c r="E119" s="1991"/>
      <c r="F119" s="603">
        <f t="array" aca="1" ref="F119:Q119" ca="1">B$20:M20*Produção!$F$8</f>
        <v>0</v>
      </c>
      <c r="G119" s="603">
        <f ca="1"/>
        <v>0</v>
      </c>
      <c r="H119" s="603">
        <f ca="1"/>
        <v>0</v>
      </c>
      <c r="I119" s="603">
        <f ca="1"/>
        <v>0</v>
      </c>
      <c r="J119" s="603">
        <f ca="1"/>
        <v>0</v>
      </c>
      <c r="K119" s="603">
        <f ca="1"/>
        <v>0</v>
      </c>
      <c r="L119" s="603">
        <f ca="1"/>
        <v>0</v>
      </c>
      <c r="M119" s="603">
        <f ca="1"/>
        <v>0</v>
      </c>
      <c r="N119" s="603">
        <f ca="1"/>
        <v>0</v>
      </c>
      <c r="O119" s="603">
        <f ca="1"/>
        <v>0</v>
      </c>
      <c r="P119" s="603">
        <f ca="1"/>
        <v>0</v>
      </c>
      <c r="Q119" s="603">
        <f ca="1"/>
        <v>0</v>
      </c>
      <c r="R119" s="1992">
        <f t="array" aca="1" ref="R119:R123" ca="1">'Distr CV 4'!F119:F123</f>
        <v>0</v>
      </c>
      <c r="S119" s="1992">
        <f ca="1"/>
        <v>0</v>
      </c>
      <c r="T119" s="1992">
        <f ca="1"/>
        <v>0</v>
      </c>
      <c r="U119" s="1992">
        <f ca="1"/>
        <v>0</v>
      </c>
      <c r="V119" s="1992">
        <f ca="1"/>
        <v>0</v>
      </c>
      <c r="W119" s="1992">
        <f ca="1"/>
        <v>0</v>
      </c>
      <c r="X119" s="1992">
        <f ca="1"/>
        <v>0</v>
      </c>
      <c r="Y119" s="2010">
        <f ca="1"/>
        <v>0</v>
      </c>
    </row>
    <row r="120" spans="1:25">
      <c r="A120" s="1995" t="str">
        <f>A$81</f>
        <v>9 meses antes</v>
      </c>
      <c r="B120" s="1991"/>
      <c r="C120" s="1991"/>
      <c r="D120" s="1991"/>
      <c r="E120" s="603">
        <f t="array" aca="1" ref="E120:P120" ca="1">B$20:M20*Produção!$E$8</f>
        <v>0</v>
      </c>
      <c r="F120" s="603">
        <f ca="1"/>
        <v>0</v>
      </c>
      <c r="G120" s="603">
        <f ca="1"/>
        <v>0</v>
      </c>
      <c r="H120" s="603">
        <f ca="1"/>
        <v>0</v>
      </c>
      <c r="I120" s="603">
        <f ca="1"/>
        <v>0</v>
      </c>
      <c r="J120" s="603">
        <f ca="1"/>
        <v>0</v>
      </c>
      <c r="K120" s="603">
        <f ca="1"/>
        <v>0</v>
      </c>
      <c r="L120" s="603">
        <f ca="1"/>
        <v>0</v>
      </c>
      <c r="M120" s="603">
        <f ca="1"/>
        <v>0</v>
      </c>
      <c r="N120" s="603">
        <f ca="1"/>
        <v>0</v>
      </c>
      <c r="O120" s="603">
        <f ca="1"/>
        <v>0</v>
      </c>
      <c r="P120" s="603">
        <f ca="1"/>
        <v>0</v>
      </c>
      <c r="Q120" s="1992">
        <f t="array" aca="1" ref="Q120:Q123" ca="1">'Distr CV 4'!E120:E123</f>
        <v>0</v>
      </c>
      <c r="R120" s="1992">
        <f ca="1"/>
        <v>0</v>
      </c>
      <c r="S120" s="1992">
        <f ca="1"/>
        <v>0</v>
      </c>
      <c r="T120" s="1992">
        <f ca="1"/>
        <v>0</v>
      </c>
      <c r="U120" s="1992">
        <f ca="1"/>
        <v>0</v>
      </c>
      <c r="V120" s="1992">
        <f ca="1"/>
        <v>0</v>
      </c>
      <c r="W120" s="1992">
        <f ca="1"/>
        <v>0</v>
      </c>
      <c r="X120" s="1992">
        <f ca="1"/>
        <v>0</v>
      </c>
      <c r="Y120" s="2010">
        <f ca="1"/>
        <v>0</v>
      </c>
    </row>
    <row r="121" spans="1:25">
      <c r="A121" s="1995" t="str">
        <f>A$82</f>
        <v>10 meses antes</v>
      </c>
      <c r="B121" s="1991"/>
      <c r="C121" s="1991"/>
      <c r="D121" s="603">
        <f t="array" aca="1" ref="D121:O121" ca="1">B$20:M20*Produção!$D$8</f>
        <v>0</v>
      </c>
      <c r="E121" s="603">
        <f ca="1"/>
        <v>0</v>
      </c>
      <c r="F121" s="603">
        <f ca="1"/>
        <v>0</v>
      </c>
      <c r="G121" s="603">
        <f ca="1"/>
        <v>0</v>
      </c>
      <c r="H121" s="603">
        <f ca="1"/>
        <v>0</v>
      </c>
      <c r="I121" s="603">
        <f ca="1"/>
        <v>0</v>
      </c>
      <c r="J121" s="603">
        <f ca="1"/>
        <v>0</v>
      </c>
      <c r="K121" s="603">
        <f ca="1"/>
        <v>0</v>
      </c>
      <c r="L121" s="603">
        <f ca="1"/>
        <v>0</v>
      </c>
      <c r="M121" s="603">
        <f ca="1"/>
        <v>0</v>
      </c>
      <c r="N121" s="603">
        <f ca="1"/>
        <v>0</v>
      </c>
      <c r="O121" s="603">
        <f ca="1"/>
        <v>0</v>
      </c>
      <c r="P121" s="1992">
        <f t="array" aca="1" ref="P121:P123" ca="1">'Distr CV 4'!D121:D123</f>
        <v>0</v>
      </c>
      <c r="Q121" s="1992">
        <f ca="1"/>
        <v>0</v>
      </c>
      <c r="R121" s="1992">
        <f ca="1"/>
        <v>0</v>
      </c>
      <c r="S121" s="1992">
        <f ca="1"/>
        <v>0</v>
      </c>
      <c r="T121" s="1992">
        <f ca="1"/>
        <v>0</v>
      </c>
      <c r="U121" s="1992">
        <f ca="1"/>
        <v>0</v>
      </c>
      <c r="V121" s="1992">
        <f ca="1"/>
        <v>0</v>
      </c>
      <c r="W121" s="1992">
        <f ca="1"/>
        <v>0</v>
      </c>
      <c r="X121" s="1992">
        <f ca="1"/>
        <v>0</v>
      </c>
      <c r="Y121" s="2010">
        <f ca="1"/>
        <v>0</v>
      </c>
    </row>
    <row r="122" spans="1:25">
      <c r="A122" s="1995" t="str">
        <f>A$83</f>
        <v>11 meses antes</v>
      </c>
      <c r="B122" s="1991"/>
      <c r="C122" s="603">
        <f t="array" aca="1" ref="C122:N122" ca="1">B$20:M20*Produção!$C$8</f>
        <v>0</v>
      </c>
      <c r="D122" s="603">
        <f ca="1"/>
        <v>0</v>
      </c>
      <c r="E122" s="603">
        <f ca="1"/>
        <v>0</v>
      </c>
      <c r="F122" s="603">
        <f ca="1"/>
        <v>0</v>
      </c>
      <c r="G122" s="603">
        <f ca="1"/>
        <v>0</v>
      </c>
      <c r="H122" s="603">
        <f ca="1"/>
        <v>0</v>
      </c>
      <c r="I122" s="603">
        <f ca="1"/>
        <v>0</v>
      </c>
      <c r="J122" s="603">
        <f ca="1"/>
        <v>0</v>
      </c>
      <c r="K122" s="603">
        <f ca="1"/>
        <v>0</v>
      </c>
      <c r="L122" s="603">
        <f ca="1"/>
        <v>0</v>
      </c>
      <c r="M122" s="603">
        <f ca="1"/>
        <v>0</v>
      </c>
      <c r="N122" s="603">
        <f ca="1"/>
        <v>0</v>
      </c>
      <c r="O122" s="1992">
        <f ca="1">'Distr CV 4'!C122</f>
        <v>0</v>
      </c>
      <c r="P122" s="1992">
        <f ca="1"/>
        <v>0</v>
      </c>
      <c r="Q122" s="1992">
        <f ca="1"/>
        <v>0</v>
      </c>
      <c r="R122" s="1992">
        <f ca="1"/>
        <v>0</v>
      </c>
      <c r="S122" s="1992">
        <f ca="1"/>
        <v>0</v>
      </c>
      <c r="T122" s="1992">
        <f ca="1"/>
        <v>0</v>
      </c>
      <c r="U122" s="1992">
        <f ca="1"/>
        <v>0</v>
      </c>
      <c r="V122" s="1992">
        <f ca="1"/>
        <v>0</v>
      </c>
      <c r="W122" s="1992">
        <f ca="1"/>
        <v>0</v>
      </c>
      <c r="X122" s="1992">
        <f ca="1"/>
        <v>0</v>
      </c>
      <c r="Y122" s="2010">
        <f ca="1"/>
        <v>0</v>
      </c>
    </row>
    <row r="123" spans="1:25" ht="13.5" thickBot="1">
      <c r="A123" s="1995" t="str">
        <f>A$84</f>
        <v>12 meses antes</v>
      </c>
      <c r="B123" s="603">
        <f t="array" aca="1" ref="B123:M123" ca="1">B$20:M20*Produção!$B$8</f>
        <v>0</v>
      </c>
      <c r="C123" s="603">
        <f ca="1"/>
        <v>0</v>
      </c>
      <c r="D123" s="603">
        <f ca="1"/>
        <v>0</v>
      </c>
      <c r="E123" s="603">
        <f ca="1"/>
        <v>0</v>
      </c>
      <c r="F123" s="603">
        <f ca="1"/>
        <v>0</v>
      </c>
      <c r="G123" s="603">
        <f ca="1"/>
        <v>0</v>
      </c>
      <c r="H123" s="603">
        <f ca="1"/>
        <v>0</v>
      </c>
      <c r="I123" s="603">
        <f ca="1"/>
        <v>0</v>
      </c>
      <c r="J123" s="603">
        <f ca="1"/>
        <v>0</v>
      </c>
      <c r="K123" s="603">
        <f ca="1"/>
        <v>0</v>
      </c>
      <c r="L123" s="603">
        <f ca="1"/>
        <v>0</v>
      </c>
      <c r="M123" s="603">
        <f ca="1"/>
        <v>0</v>
      </c>
      <c r="N123" s="1992">
        <f ca="1">'Distr CV 4'!B123</f>
        <v>0</v>
      </c>
      <c r="O123" s="1992">
        <f ca="1">'Distr CV 4'!C123</f>
        <v>0</v>
      </c>
      <c r="P123" s="1992">
        <f ca="1"/>
        <v>0</v>
      </c>
      <c r="Q123" s="1992">
        <f ca="1"/>
        <v>0</v>
      </c>
      <c r="R123" s="1992">
        <f ca="1"/>
        <v>0</v>
      </c>
      <c r="S123" s="1992">
        <f ca="1"/>
        <v>0</v>
      </c>
      <c r="T123" s="1992">
        <f ca="1"/>
        <v>0</v>
      </c>
      <c r="U123" s="1992">
        <f ca="1"/>
        <v>0</v>
      </c>
      <c r="V123" s="1992">
        <f ca="1"/>
        <v>0</v>
      </c>
      <c r="W123" s="1992">
        <f ca="1"/>
        <v>0</v>
      </c>
      <c r="X123" s="1992">
        <f ca="1"/>
        <v>0</v>
      </c>
      <c r="Y123" s="2010">
        <f ca="1"/>
        <v>0</v>
      </c>
    </row>
    <row r="124" spans="1:25" ht="15.75" customHeight="1" thickBot="1">
      <c r="A124" s="105" t="str">
        <f>"Totales CV "&amp;A$8</f>
        <v>Totales CV produto 1</v>
      </c>
      <c r="B124" s="607">
        <f t="shared" ref="B124:Y124" ca="1" si="11">SUM(B111:B123)</f>
        <v>0</v>
      </c>
      <c r="C124" s="607">
        <f t="shared" ca="1" si="11"/>
        <v>0</v>
      </c>
      <c r="D124" s="607">
        <f t="shared" ca="1" si="11"/>
        <v>0</v>
      </c>
      <c r="E124" s="607">
        <f t="shared" ca="1" si="11"/>
        <v>0</v>
      </c>
      <c r="F124" s="607">
        <f t="shared" ca="1" si="11"/>
        <v>0</v>
      </c>
      <c r="G124" s="607">
        <f t="shared" ca="1" si="11"/>
        <v>0</v>
      </c>
      <c r="H124" s="607">
        <f t="shared" ca="1" si="11"/>
        <v>0</v>
      </c>
      <c r="I124" s="607">
        <f t="shared" ca="1" si="11"/>
        <v>0</v>
      </c>
      <c r="J124" s="607">
        <f t="shared" ca="1" si="11"/>
        <v>0</v>
      </c>
      <c r="K124" s="607">
        <f t="shared" ca="1" si="11"/>
        <v>0</v>
      </c>
      <c r="L124" s="607">
        <f t="shared" ca="1" si="11"/>
        <v>0</v>
      </c>
      <c r="M124" s="607">
        <f t="shared" ca="1" si="11"/>
        <v>0</v>
      </c>
      <c r="N124" s="607">
        <f t="shared" ca="1" si="11"/>
        <v>168.73890334000001</v>
      </c>
      <c r="O124" s="607">
        <f t="shared" ca="1" si="11"/>
        <v>168.73890334000001</v>
      </c>
      <c r="P124" s="607">
        <f t="shared" ca="1" si="11"/>
        <v>168.73890334000001</v>
      </c>
      <c r="Q124" s="607">
        <f t="shared" ca="1" si="11"/>
        <v>168.73890334000001</v>
      </c>
      <c r="R124" s="607">
        <f t="shared" ca="1" si="11"/>
        <v>168.73890334000001</v>
      </c>
      <c r="S124" s="607">
        <f t="shared" ca="1" si="11"/>
        <v>168.73890334000001</v>
      </c>
      <c r="T124" s="607">
        <f t="shared" ca="1" si="11"/>
        <v>168.73890334000001</v>
      </c>
      <c r="U124" s="607">
        <f t="shared" ca="1" si="11"/>
        <v>168.73890334000001</v>
      </c>
      <c r="V124" s="607">
        <f t="shared" ca="1" si="11"/>
        <v>168.73890334000001</v>
      </c>
      <c r="W124" s="607">
        <f t="shared" ca="1" si="11"/>
        <v>168.73890334000001</v>
      </c>
      <c r="X124" s="607">
        <f t="shared" ca="1" si="11"/>
        <v>168.73890334000001</v>
      </c>
      <c r="Y124" s="2008">
        <f t="shared" ca="1" si="11"/>
        <v>168.73890334000001</v>
      </c>
    </row>
    <row r="125" spans="1:25" ht="15.75" customHeight="1" thickBot="1">
      <c r="A125" s="105" t="str">
        <f>'Dados Básicos'!A28&amp;" sop. CV "&amp;$A$8</f>
        <v>IVA sop. CV produto 1</v>
      </c>
      <c r="B125" s="607">
        <f t="array" aca="1" ref="B125:Y125" ca="1">$K$109*B124:Y124</f>
        <v>0</v>
      </c>
      <c r="C125" s="607">
        <f ca="1"/>
        <v>0</v>
      </c>
      <c r="D125" s="607">
        <f ca="1"/>
        <v>0</v>
      </c>
      <c r="E125" s="607">
        <f ca="1"/>
        <v>0</v>
      </c>
      <c r="F125" s="607">
        <f ca="1"/>
        <v>0</v>
      </c>
      <c r="G125" s="607">
        <f ca="1"/>
        <v>0</v>
      </c>
      <c r="H125" s="607">
        <f ca="1"/>
        <v>0</v>
      </c>
      <c r="I125" s="607">
        <f ca="1"/>
        <v>0</v>
      </c>
      <c r="J125" s="607">
        <f ca="1"/>
        <v>0</v>
      </c>
      <c r="K125" s="607">
        <f ca="1"/>
        <v>0</v>
      </c>
      <c r="L125" s="607">
        <f ca="1"/>
        <v>0</v>
      </c>
      <c r="M125" s="607">
        <f ca="1"/>
        <v>0</v>
      </c>
      <c r="N125" s="607">
        <f ca="1"/>
        <v>35.4351697014</v>
      </c>
      <c r="O125" s="607">
        <f ca="1"/>
        <v>35.4351697014</v>
      </c>
      <c r="P125" s="607">
        <f ca="1"/>
        <v>35.4351697014</v>
      </c>
      <c r="Q125" s="607">
        <f ca="1"/>
        <v>35.4351697014</v>
      </c>
      <c r="R125" s="607">
        <f ca="1"/>
        <v>35.4351697014</v>
      </c>
      <c r="S125" s="607">
        <f ca="1"/>
        <v>35.4351697014</v>
      </c>
      <c r="T125" s="607">
        <f ca="1"/>
        <v>35.4351697014</v>
      </c>
      <c r="U125" s="607">
        <f ca="1"/>
        <v>35.4351697014</v>
      </c>
      <c r="V125" s="607">
        <f ca="1"/>
        <v>35.4351697014</v>
      </c>
      <c r="W125" s="607">
        <f ca="1"/>
        <v>35.4351697014</v>
      </c>
      <c r="X125" s="607">
        <f ca="1"/>
        <v>35.4351697014</v>
      </c>
      <c r="Y125" s="2008">
        <f ca="1"/>
        <v>35.4351697014</v>
      </c>
    </row>
    <row r="127" spans="1:25" ht="18.75" thickBot="1">
      <c r="A127" s="1993" t="str">
        <f>'Distr CV 0'!A127</f>
        <v xml:space="preserve">Compras / custos de producción por meses de </v>
      </c>
      <c r="I127" s="1993" t="str">
        <f>$I$109</f>
        <v>IVA NÃO incluido</v>
      </c>
      <c r="K127" s="2005">
        <f>Parametros!$F$25</f>
        <v>0.21</v>
      </c>
    </row>
    <row r="128" spans="1:25" ht="30" customHeight="1" thickBot="1">
      <c r="A128" s="457" t="str">
        <f>'Distr CV 0'!A128</f>
        <v>mes de compra / custo</v>
      </c>
      <c r="B128" s="2011" t="str">
        <f t="array" ref="B128:Y128">B$71:Y$71</f>
        <v>janeiro 
2028</v>
      </c>
      <c r="C128" s="2011" t="str">
        <v>fevereiro 
2028</v>
      </c>
      <c r="D128" s="2011" t="str">
        <v>março 
2028</v>
      </c>
      <c r="E128" s="2011" t="str">
        <v>abril 
2028</v>
      </c>
      <c r="F128" s="2011" t="str">
        <v>maio 
2028</v>
      </c>
      <c r="G128" s="2011" t="str">
        <v>junho 
2028</v>
      </c>
      <c r="H128" s="2011" t="str">
        <v>julho 
2028</v>
      </c>
      <c r="I128" s="2011" t="str">
        <v>agosto 
2028</v>
      </c>
      <c r="J128" s="2011" t="str">
        <v>setembro 
2028</v>
      </c>
      <c r="K128" s="2011" t="str">
        <v>outubro 
2028</v>
      </c>
      <c r="L128" s="2011" t="str">
        <v>novembro 
2028</v>
      </c>
      <c r="M128" s="2011" t="str">
        <v>dezembro 
2028</v>
      </c>
      <c r="N128" s="2734" t="str">
        <v>janeiro 
2029</v>
      </c>
      <c r="O128" s="2735" t="str">
        <v>fevereiro 
2029</v>
      </c>
      <c r="P128" s="2735" t="str">
        <v>março 
2029</v>
      </c>
      <c r="Q128" s="2735" t="str">
        <v>abril 
2029</v>
      </c>
      <c r="R128" s="2735" t="str">
        <v>maio 
2029</v>
      </c>
      <c r="S128" s="2735" t="str">
        <v>junho 
2029</v>
      </c>
      <c r="T128" s="2735" t="str">
        <v>julho 
2029</v>
      </c>
      <c r="U128" s="2735" t="str">
        <v>agosto 
2029</v>
      </c>
      <c r="V128" s="2735" t="str">
        <v>setembro 
2029</v>
      </c>
      <c r="W128" s="2735" t="str">
        <v>outubro 
2029</v>
      </c>
      <c r="X128" s="2735" t="str">
        <v>novembro 
2029</v>
      </c>
      <c r="Y128" s="2736" t="str">
        <v>dezembro 
2029</v>
      </c>
    </row>
    <row r="129" spans="1:25">
      <c r="A129" s="1994" t="str">
        <f>A$72</f>
        <v>mismo mes</v>
      </c>
      <c r="B129" s="1991"/>
      <c r="C129" s="1991"/>
      <c r="D129" s="1991"/>
      <c r="E129" s="1991"/>
      <c r="F129" s="1991"/>
      <c r="G129" s="1991"/>
      <c r="H129" s="1991"/>
      <c r="I129" s="1991"/>
      <c r="J129" s="1991"/>
      <c r="K129" s="1991"/>
      <c r="L129" s="1991"/>
      <c r="M129" s="1991"/>
      <c r="N129" s="603">
        <f t="array" aca="1" ref="N129:Y129" ca="1">B21:M21*Produção!$N$9</f>
        <v>0</v>
      </c>
      <c r="O129" s="603">
        <f ca="1"/>
        <v>0</v>
      </c>
      <c r="P129" s="603">
        <f ca="1"/>
        <v>0</v>
      </c>
      <c r="Q129" s="603">
        <f ca="1"/>
        <v>0</v>
      </c>
      <c r="R129" s="603">
        <f ca="1"/>
        <v>0</v>
      </c>
      <c r="S129" s="603">
        <f ca="1"/>
        <v>0</v>
      </c>
      <c r="T129" s="603">
        <f ca="1"/>
        <v>0</v>
      </c>
      <c r="U129" s="603">
        <f ca="1"/>
        <v>0</v>
      </c>
      <c r="V129" s="603">
        <f ca="1"/>
        <v>0</v>
      </c>
      <c r="W129" s="603">
        <f ca="1"/>
        <v>0</v>
      </c>
      <c r="X129" s="603">
        <f ca="1"/>
        <v>0</v>
      </c>
      <c r="Y129" s="2006">
        <f ca="1"/>
        <v>0</v>
      </c>
    </row>
    <row r="130" spans="1:25">
      <c r="A130" s="1995" t="str">
        <f>A$73</f>
        <v>1 mes antes</v>
      </c>
      <c r="B130" s="1991"/>
      <c r="C130" s="1991"/>
      <c r="D130" s="1991"/>
      <c r="E130" s="1991"/>
      <c r="F130" s="1991"/>
      <c r="G130" s="1991"/>
      <c r="H130" s="1991"/>
      <c r="I130" s="1991"/>
      <c r="J130" s="1991"/>
      <c r="K130" s="1991"/>
      <c r="L130" s="1991"/>
      <c r="M130" s="603">
        <f t="array" aca="1" ref="M130:X130" ca="1">B21:M21*Produção!$M$9</f>
        <v>0</v>
      </c>
      <c r="N130" s="603">
        <f ca="1"/>
        <v>0</v>
      </c>
      <c r="O130" s="603">
        <f ca="1"/>
        <v>0</v>
      </c>
      <c r="P130" s="603">
        <f ca="1"/>
        <v>0</v>
      </c>
      <c r="Q130" s="603">
        <f ca="1"/>
        <v>0</v>
      </c>
      <c r="R130" s="603">
        <f ca="1"/>
        <v>0</v>
      </c>
      <c r="S130" s="603">
        <f ca="1"/>
        <v>0</v>
      </c>
      <c r="T130" s="603">
        <f ca="1"/>
        <v>0</v>
      </c>
      <c r="U130" s="603">
        <f ca="1"/>
        <v>0</v>
      </c>
      <c r="V130" s="603">
        <f ca="1"/>
        <v>0</v>
      </c>
      <c r="W130" s="603">
        <f ca="1"/>
        <v>0</v>
      </c>
      <c r="X130" s="603">
        <f ca="1"/>
        <v>0</v>
      </c>
      <c r="Y130" s="2007">
        <f t="array" aca="1" ref="Y130:Y141" ca="1">'Distr CV 4'!M130:M141</f>
        <v>0</v>
      </c>
    </row>
    <row r="131" spans="1:25">
      <c r="A131" s="1995" t="str">
        <f>A$74</f>
        <v>2 meses antes</v>
      </c>
      <c r="B131" s="1991"/>
      <c r="C131" s="1991"/>
      <c r="D131" s="1991"/>
      <c r="E131" s="1991"/>
      <c r="F131" s="1991"/>
      <c r="G131" s="1991"/>
      <c r="H131" s="1991"/>
      <c r="I131" s="1991"/>
      <c r="J131" s="1991"/>
      <c r="K131" s="1991"/>
      <c r="L131" s="603">
        <f t="array" aca="1" ref="L131:W131" ca="1">B21:M21*Produção!$L$9</f>
        <v>0</v>
      </c>
      <c r="M131" s="603">
        <f ca="1"/>
        <v>0</v>
      </c>
      <c r="N131" s="603">
        <f ca="1"/>
        <v>0</v>
      </c>
      <c r="O131" s="603">
        <f ca="1"/>
        <v>0</v>
      </c>
      <c r="P131" s="603">
        <f ca="1"/>
        <v>0</v>
      </c>
      <c r="Q131" s="603">
        <f ca="1"/>
        <v>0</v>
      </c>
      <c r="R131" s="603">
        <f ca="1"/>
        <v>0</v>
      </c>
      <c r="S131" s="603">
        <f ca="1"/>
        <v>0</v>
      </c>
      <c r="T131" s="603">
        <f ca="1"/>
        <v>0</v>
      </c>
      <c r="U131" s="603">
        <f ca="1"/>
        <v>0</v>
      </c>
      <c r="V131" s="603">
        <f ca="1"/>
        <v>0</v>
      </c>
      <c r="W131" s="603">
        <f ca="1"/>
        <v>0</v>
      </c>
      <c r="X131" s="1988">
        <f t="array" aca="1" ref="X131:X141" ca="1">'Distr CV 4'!L131:L141</f>
        <v>0</v>
      </c>
      <c r="Y131" s="2007">
        <f ca="1"/>
        <v>0</v>
      </c>
    </row>
    <row r="132" spans="1:25">
      <c r="A132" s="1995" t="str">
        <f>A$75</f>
        <v>3 meses antes</v>
      </c>
      <c r="B132" s="1991"/>
      <c r="C132" s="1991"/>
      <c r="D132" s="1991"/>
      <c r="E132" s="1991"/>
      <c r="F132" s="1991"/>
      <c r="G132" s="1991"/>
      <c r="H132" s="1991"/>
      <c r="I132" s="1991"/>
      <c r="J132" s="1991"/>
      <c r="K132" s="603">
        <f t="array" aca="1" ref="K132:V132" ca="1">B21:M21*Produção!$K$9</f>
        <v>0</v>
      </c>
      <c r="L132" s="603">
        <f ca="1"/>
        <v>0</v>
      </c>
      <c r="M132" s="603">
        <f ca="1"/>
        <v>0</v>
      </c>
      <c r="N132" s="603">
        <f ca="1"/>
        <v>0</v>
      </c>
      <c r="O132" s="603">
        <f ca="1"/>
        <v>0</v>
      </c>
      <c r="P132" s="603">
        <f ca="1"/>
        <v>0</v>
      </c>
      <c r="Q132" s="603">
        <f ca="1"/>
        <v>0</v>
      </c>
      <c r="R132" s="603">
        <f ca="1"/>
        <v>0</v>
      </c>
      <c r="S132" s="603">
        <f ca="1"/>
        <v>0</v>
      </c>
      <c r="T132" s="603">
        <f ca="1"/>
        <v>0</v>
      </c>
      <c r="U132" s="603">
        <f ca="1"/>
        <v>0</v>
      </c>
      <c r="V132" s="603">
        <f ca="1"/>
        <v>0</v>
      </c>
      <c r="W132" s="1988">
        <f t="array" aca="1" ref="W132:W141" ca="1">'Distr CV 4'!K132:K141</f>
        <v>0</v>
      </c>
      <c r="X132" s="1988">
        <f ca="1"/>
        <v>0</v>
      </c>
      <c r="Y132" s="2007">
        <f ca="1"/>
        <v>0</v>
      </c>
    </row>
    <row r="133" spans="1:25">
      <c r="A133" s="1995" t="str">
        <f>A$76</f>
        <v>4 meses antes</v>
      </c>
      <c r="B133" s="1991"/>
      <c r="C133" s="1991"/>
      <c r="D133" s="1991"/>
      <c r="E133" s="1991"/>
      <c r="F133" s="1991"/>
      <c r="G133" s="1991"/>
      <c r="H133" s="1991"/>
      <c r="I133" s="1991"/>
      <c r="J133" s="603">
        <f t="array" aca="1" ref="J133:U133" ca="1">B21:M21*Produção!$J$9</f>
        <v>0</v>
      </c>
      <c r="K133" s="603">
        <f ca="1"/>
        <v>0</v>
      </c>
      <c r="L133" s="603">
        <f ca="1"/>
        <v>0</v>
      </c>
      <c r="M133" s="603">
        <f ca="1"/>
        <v>0</v>
      </c>
      <c r="N133" s="603">
        <f ca="1"/>
        <v>0</v>
      </c>
      <c r="O133" s="603">
        <f ca="1"/>
        <v>0</v>
      </c>
      <c r="P133" s="603">
        <f ca="1"/>
        <v>0</v>
      </c>
      <c r="Q133" s="603">
        <f ca="1"/>
        <v>0</v>
      </c>
      <c r="R133" s="603">
        <f ca="1"/>
        <v>0</v>
      </c>
      <c r="S133" s="603">
        <f ca="1"/>
        <v>0</v>
      </c>
      <c r="T133" s="603">
        <f ca="1"/>
        <v>0</v>
      </c>
      <c r="U133" s="603">
        <f ca="1"/>
        <v>0</v>
      </c>
      <c r="V133" s="1988">
        <f t="array" aca="1" ref="V133:V141" ca="1">'Distr CV 4'!J133:J141</f>
        <v>0</v>
      </c>
      <c r="W133" s="1988">
        <f ca="1"/>
        <v>0</v>
      </c>
      <c r="X133" s="1988">
        <f ca="1"/>
        <v>0</v>
      </c>
      <c r="Y133" s="2007">
        <f ca="1"/>
        <v>0</v>
      </c>
    </row>
    <row r="134" spans="1:25">
      <c r="A134" s="1995" t="str">
        <f>A$77</f>
        <v>5 meses antes</v>
      </c>
      <c r="B134" s="1991"/>
      <c r="C134" s="1991"/>
      <c r="D134" s="1991"/>
      <c r="E134" s="1991"/>
      <c r="F134" s="1991"/>
      <c r="G134" s="1991"/>
      <c r="H134" s="1991"/>
      <c r="I134" s="603">
        <f t="array" aca="1" ref="I134:T134" ca="1">B21:M21*Produção!$I$9</f>
        <v>0</v>
      </c>
      <c r="J134" s="603">
        <f ca="1"/>
        <v>0</v>
      </c>
      <c r="K134" s="603">
        <f ca="1"/>
        <v>0</v>
      </c>
      <c r="L134" s="603">
        <f ca="1"/>
        <v>0</v>
      </c>
      <c r="M134" s="603">
        <f ca="1"/>
        <v>0</v>
      </c>
      <c r="N134" s="603">
        <f ca="1"/>
        <v>0</v>
      </c>
      <c r="O134" s="603">
        <f ca="1"/>
        <v>0</v>
      </c>
      <c r="P134" s="603">
        <f ca="1"/>
        <v>0</v>
      </c>
      <c r="Q134" s="603">
        <f ca="1"/>
        <v>0</v>
      </c>
      <c r="R134" s="603">
        <f ca="1"/>
        <v>0</v>
      </c>
      <c r="S134" s="603">
        <f ca="1"/>
        <v>0</v>
      </c>
      <c r="T134" s="603">
        <f ca="1"/>
        <v>0</v>
      </c>
      <c r="U134" s="1988">
        <f t="array" aca="1" ref="U134:U141" ca="1">'Distr CV 4'!I134:I141</f>
        <v>0</v>
      </c>
      <c r="V134" s="1988">
        <f ca="1"/>
        <v>0</v>
      </c>
      <c r="W134" s="1988">
        <f ca="1"/>
        <v>0</v>
      </c>
      <c r="X134" s="1988">
        <f ca="1"/>
        <v>0</v>
      </c>
      <c r="Y134" s="2007">
        <f ca="1"/>
        <v>0</v>
      </c>
    </row>
    <row r="135" spans="1:25">
      <c r="A135" s="1995" t="str">
        <f>A$78</f>
        <v>6 meses antes</v>
      </c>
      <c r="B135" s="1991"/>
      <c r="C135" s="1991"/>
      <c r="D135" s="1991"/>
      <c r="E135" s="1991"/>
      <c r="F135" s="1991"/>
      <c r="G135" s="1991"/>
      <c r="H135" s="603">
        <f t="array" aca="1" ref="H135:S135" ca="1">B21:M21*Produção!$H$9</f>
        <v>0</v>
      </c>
      <c r="I135" s="603">
        <f ca="1"/>
        <v>0</v>
      </c>
      <c r="J135" s="603">
        <f ca="1"/>
        <v>0</v>
      </c>
      <c r="K135" s="603">
        <f ca="1"/>
        <v>0</v>
      </c>
      <c r="L135" s="603">
        <f ca="1"/>
        <v>0</v>
      </c>
      <c r="M135" s="603">
        <f ca="1"/>
        <v>0</v>
      </c>
      <c r="N135" s="603">
        <f ca="1"/>
        <v>0</v>
      </c>
      <c r="O135" s="603">
        <f ca="1"/>
        <v>0</v>
      </c>
      <c r="P135" s="603">
        <f ca="1"/>
        <v>0</v>
      </c>
      <c r="Q135" s="603">
        <f ca="1"/>
        <v>0</v>
      </c>
      <c r="R135" s="603">
        <f ca="1"/>
        <v>0</v>
      </c>
      <c r="S135" s="603">
        <f ca="1"/>
        <v>0</v>
      </c>
      <c r="T135" s="1988">
        <f t="array" aca="1" ref="T135:T141" ca="1">'Distr CV 4'!H135:H141</f>
        <v>0</v>
      </c>
      <c r="U135" s="1988">
        <f ca="1"/>
        <v>0</v>
      </c>
      <c r="V135" s="1988">
        <f ca="1"/>
        <v>0</v>
      </c>
      <c r="W135" s="1988">
        <f ca="1"/>
        <v>0</v>
      </c>
      <c r="X135" s="1988">
        <f ca="1"/>
        <v>0</v>
      </c>
      <c r="Y135" s="2007">
        <f ca="1"/>
        <v>0</v>
      </c>
    </row>
    <row r="136" spans="1:25">
      <c r="A136" s="1995" t="str">
        <f>A$79</f>
        <v>7 meses antes</v>
      </c>
      <c r="B136" s="1991"/>
      <c r="C136" s="1991"/>
      <c r="D136" s="1991"/>
      <c r="E136" s="1991"/>
      <c r="F136" s="1991"/>
      <c r="G136" s="603">
        <f t="array" aca="1" ref="G136:R136" ca="1">B21:M21*Produção!$G$9</f>
        <v>0</v>
      </c>
      <c r="H136" s="603">
        <f ca="1"/>
        <v>0</v>
      </c>
      <c r="I136" s="603">
        <f ca="1"/>
        <v>0</v>
      </c>
      <c r="J136" s="603">
        <f ca="1"/>
        <v>0</v>
      </c>
      <c r="K136" s="603">
        <f ca="1"/>
        <v>0</v>
      </c>
      <c r="L136" s="603">
        <f ca="1"/>
        <v>0</v>
      </c>
      <c r="M136" s="603">
        <f ca="1"/>
        <v>0</v>
      </c>
      <c r="N136" s="603">
        <f ca="1"/>
        <v>0</v>
      </c>
      <c r="O136" s="603">
        <f ca="1"/>
        <v>0</v>
      </c>
      <c r="P136" s="603">
        <f ca="1"/>
        <v>0</v>
      </c>
      <c r="Q136" s="603">
        <f ca="1"/>
        <v>0</v>
      </c>
      <c r="R136" s="603">
        <f ca="1"/>
        <v>0</v>
      </c>
      <c r="S136" s="1992">
        <f t="array" aca="1" ref="S136:S141" ca="1">'Distr CV 4'!G136:G141</f>
        <v>0</v>
      </c>
      <c r="T136" s="1992">
        <f ca="1"/>
        <v>0</v>
      </c>
      <c r="U136" s="1992">
        <f ca="1"/>
        <v>0</v>
      </c>
      <c r="V136" s="1992">
        <f ca="1"/>
        <v>0</v>
      </c>
      <c r="W136" s="1992">
        <f ca="1"/>
        <v>0</v>
      </c>
      <c r="X136" s="1992">
        <f ca="1"/>
        <v>0</v>
      </c>
      <c r="Y136" s="2010">
        <f ca="1"/>
        <v>0</v>
      </c>
    </row>
    <row r="137" spans="1:25">
      <c r="A137" s="1995" t="str">
        <f>A$80</f>
        <v>8 meses antes</v>
      </c>
      <c r="B137" s="1991"/>
      <c r="C137" s="1991"/>
      <c r="D137" s="1991"/>
      <c r="E137" s="1991"/>
      <c r="F137" s="603">
        <f t="array" aca="1" ref="F137:Q137" ca="1">B21:M21*Produção!$F$9</f>
        <v>0</v>
      </c>
      <c r="G137" s="603">
        <f ca="1"/>
        <v>0</v>
      </c>
      <c r="H137" s="603">
        <f ca="1"/>
        <v>0</v>
      </c>
      <c r="I137" s="603">
        <f ca="1"/>
        <v>0</v>
      </c>
      <c r="J137" s="603">
        <f ca="1"/>
        <v>0</v>
      </c>
      <c r="K137" s="603">
        <f ca="1"/>
        <v>0</v>
      </c>
      <c r="L137" s="603">
        <f ca="1"/>
        <v>0</v>
      </c>
      <c r="M137" s="603">
        <f ca="1"/>
        <v>0</v>
      </c>
      <c r="N137" s="603">
        <f ca="1"/>
        <v>0</v>
      </c>
      <c r="O137" s="603">
        <f ca="1"/>
        <v>0</v>
      </c>
      <c r="P137" s="603">
        <f ca="1"/>
        <v>0</v>
      </c>
      <c r="Q137" s="603">
        <f ca="1"/>
        <v>0</v>
      </c>
      <c r="R137" s="1992">
        <f t="array" aca="1" ref="R137:R141" ca="1">'Distr CV 4'!F137:F141</f>
        <v>0</v>
      </c>
      <c r="S137" s="1992">
        <f ca="1"/>
        <v>0</v>
      </c>
      <c r="T137" s="1992">
        <f ca="1"/>
        <v>0</v>
      </c>
      <c r="U137" s="1992">
        <f ca="1"/>
        <v>0</v>
      </c>
      <c r="V137" s="1992">
        <f ca="1"/>
        <v>0</v>
      </c>
      <c r="W137" s="1992">
        <f ca="1"/>
        <v>0</v>
      </c>
      <c r="X137" s="1992">
        <f ca="1"/>
        <v>0</v>
      </c>
      <c r="Y137" s="2010">
        <f ca="1"/>
        <v>0</v>
      </c>
    </row>
    <row r="138" spans="1:25">
      <c r="A138" s="1995" t="str">
        <f>A$81</f>
        <v>9 meses antes</v>
      </c>
      <c r="B138" s="1991"/>
      <c r="C138" s="1991"/>
      <c r="D138" s="1991"/>
      <c r="E138" s="603">
        <f t="array" aca="1" ref="E138:P138" ca="1">B21:M21*Produção!$E$9</f>
        <v>0</v>
      </c>
      <c r="F138" s="603">
        <f ca="1"/>
        <v>0</v>
      </c>
      <c r="G138" s="603">
        <f ca="1"/>
        <v>0</v>
      </c>
      <c r="H138" s="603">
        <f ca="1"/>
        <v>0</v>
      </c>
      <c r="I138" s="603">
        <f ca="1"/>
        <v>0</v>
      </c>
      <c r="J138" s="603">
        <f ca="1"/>
        <v>0</v>
      </c>
      <c r="K138" s="603">
        <f ca="1"/>
        <v>0</v>
      </c>
      <c r="L138" s="603">
        <f ca="1"/>
        <v>0</v>
      </c>
      <c r="M138" s="603">
        <f ca="1"/>
        <v>0</v>
      </c>
      <c r="N138" s="603">
        <f ca="1"/>
        <v>0</v>
      </c>
      <c r="O138" s="603">
        <f ca="1"/>
        <v>0</v>
      </c>
      <c r="P138" s="603">
        <f ca="1"/>
        <v>0</v>
      </c>
      <c r="Q138" s="1992">
        <f t="array" aca="1" ref="Q138:Q141" ca="1">'Distr CV 4'!E138:E141</f>
        <v>0</v>
      </c>
      <c r="R138" s="1992">
        <f ca="1"/>
        <v>0</v>
      </c>
      <c r="S138" s="1992">
        <f ca="1"/>
        <v>0</v>
      </c>
      <c r="T138" s="1992">
        <f ca="1"/>
        <v>0</v>
      </c>
      <c r="U138" s="1992">
        <f ca="1"/>
        <v>0</v>
      </c>
      <c r="V138" s="1992">
        <f ca="1"/>
        <v>0</v>
      </c>
      <c r="W138" s="1992">
        <f ca="1"/>
        <v>0</v>
      </c>
      <c r="X138" s="1992">
        <f ca="1"/>
        <v>0</v>
      </c>
      <c r="Y138" s="2010">
        <f ca="1"/>
        <v>0</v>
      </c>
    </row>
    <row r="139" spans="1:25">
      <c r="A139" s="1995" t="str">
        <f>A$82</f>
        <v>10 meses antes</v>
      </c>
      <c r="B139" s="1991"/>
      <c r="C139" s="1991"/>
      <c r="D139" s="603">
        <f t="array" aca="1" ref="D139:O139" ca="1">B21:M21*Produção!$D$9</f>
        <v>0</v>
      </c>
      <c r="E139" s="603">
        <f ca="1"/>
        <v>0</v>
      </c>
      <c r="F139" s="603">
        <f ca="1"/>
        <v>0</v>
      </c>
      <c r="G139" s="603">
        <f ca="1"/>
        <v>0</v>
      </c>
      <c r="H139" s="603">
        <f ca="1"/>
        <v>0</v>
      </c>
      <c r="I139" s="603">
        <f ca="1"/>
        <v>0</v>
      </c>
      <c r="J139" s="603">
        <f ca="1"/>
        <v>0</v>
      </c>
      <c r="K139" s="603">
        <f ca="1"/>
        <v>0</v>
      </c>
      <c r="L139" s="603">
        <f ca="1"/>
        <v>0</v>
      </c>
      <c r="M139" s="603">
        <f ca="1"/>
        <v>0</v>
      </c>
      <c r="N139" s="603">
        <f ca="1"/>
        <v>0</v>
      </c>
      <c r="O139" s="603">
        <f ca="1"/>
        <v>0</v>
      </c>
      <c r="P139" s="1992">
        <f t="array" aca="1" ref="P139:P141" ca="1">'Distr CV 4'!D139:D141</f>
        <v>0</v>
      </c>
      <c r="Q139" s="1992">
        <f ca="1"/>
        <v>0</v>
      </c>
      <c r="R139" s="1992">
        <f ca="1"/>
        <v>0</v>
      </c>
      <c r="S139" s="1992">
        <f ca="1"/>
        <v>0</v>
      </c>
      <c r="T139" s="1992">
        <f ca="1"/>
        <v>0</v>
      </c>
      <c r="U139" s="1992">
        <f ca="1"/>
        <v>0</v>
      </c>
      <c r="V139" s="1992">
        <f ca="1"/>
        <v>0</v>
      </c>
      <c r="W139" s="1992">
        <f ca="1"/>
        <v>0</v>
      </c>
      <c r="X139" s="1992">
        <f ca="1"/>
        <v>0</v>
      </c>
      <c r="Y139" s="2010">
        <f ca="1"/>
        <v>0</v>
      </c>
    </row>
    <row r="140" spans="1:25">
      <c r="A140" s="1995" t="str">
        <f>A$83</f>
        <v>11 meses antes</v>
      </c>
      <c r="B140" s="1991"/>
      <c r="C140" s="603">
        <f t="array" aca="1" ref="C140:N140" ca="1">B21:M21*Produção!$C$9</f>
        <v>0</v>
      </c>
      <c r="D140" s="603">
        <f ca="1"/>
        <v>0</v>
      </c>
      <c r="E140" s="603">
        <f ca="1"/>
        <v>0</v>
      </c>
      <c r="F140" s="603">
        <f ca="1"/>
        <v>0</v>
      </c>
      <c r="G140" s="603">
        <f ca="1"/>
        <v>0</v>
      </c>
      <c r="H140" s="603">
        <f ca="1"/>
        <v>0</v>
      </c>
      <c r="I140" s="603">
        <f ca="1"/>
        <v>0</v>
      </c>
      <c r="J140" s="603">
        <f ca="1"/>
        <v>0</v>
      </c>
      <c r="K140" s="603">
        <f ca="1"/>
        <v>0</v>
      </c>
      <c r="L140" s="603">
        <f ca="1"/>
        <v>0</v>
      </c>
      <c r="M140" s="603">
        <f ca="1"/>
        <v>0</v>
      </c>
      <c r="N140" s="603">
        <f ca="1"/>
        <v>0</v>
      </c>
      <c r="O140" s="1992">
        <f ca="1">'Distr CV 4'!C140</f>
        <v>0</v>
      </c>
      <c r="P140" s="1992">
        <f ca="1"/>
        <v>0</v>
      </c>
      <c r="Q140" s="1992">
        <f ca="1"/>
        <v>0</v>
      </c>
      <c r="R140" s="1992">
        <f ca="1"/>
        <v>0</v>
      </c>
      <c r="S140" s="1992">
        <f ca="1"/>
        <v>0</v>
      </c>
      <c r="T140" s="1992">
        <f ca="1"/>
        <v>0</v>
      </c>
      <c r="U140" s="1992">
        <f ca="1"/>
        <v>0</v>
      </c>
      <c r="V140" s="1992">
        <f ca="1"/>
        <v>0</v>
      </c>
      <c r="W140" s="1992">
        <f ca="1"/>
        <v>0</v>
      </c>
      <c r="X140" s="1992">
        <f ca="1"/>
        <v>0</v>
      </c>
      <c r="Y140" s="2010">
        <f ca="1"/>
        <v>0</v>
      </c>
    </row>
    <row r="141" spans="1:25" ht="13.5" thickBot="1">
      <c r="A141" s="1995" t="str">
        <f>A$84</f>
        <v>12 meses antes</v>
      </c>
      <c r="B141" s="603">
        <f t="array" aca="1" ref="B141:M141" ca="1">B21:M21*Produção!$B$9</f>
        <v>0</v>
      </c>
      <c r="C141" s="603">
        <f ca="1"/>
        <v>0</v>
      </c>
      <c r="D141" s="603">
        <f ca="1"/>
        <v>0</v>
      </c>
      <c r="E141" s="603">
        <f ca="1"/>
        <v>0</v>
      </c>
      <c r="F141" s="603">
        <f ca="1"/>
        <v>0</v>
      </c>
      <c r="G141" s="603">
        <f ca="1"/>
        <v>0</v>
      </c>
      <c r="H141" s="603">
        <f ca="1"/>
        <v>0</v>
      </c>
      <c r="I141" s="603">
        <f ca="1"/>
        <v>0</v>
      </c>
      <c r="J141" s="603">
        <f ca="1"/>
        <v>0</v>
      </c>
      <c r="K141" s="603">
        <f ca="1"/>
        <v>0</v>
      </c>
      <c r="L141" s="603">
        <f ca="1"/>
        <v>0</v>
      </c>
      <c r="M141" s="603">
        <f ca="1"/>
        <v>0</v>
      </c>
      <c r="N141" s="1991">
        <f ca="1">'Distr CV 4'!B141</f>
        <v>0</v>
      </c>
      <c r="O141" s="1992">
        <f ca="1">'Distr CV 4'!C141</f>
        <v>0</v>
      </c>
      <c r="P141" s="1992">
        <f ca="1"/>
        <v>0</v>
      </c>
      <c r="Q141" s="1992">
        <f ca="1"/>
        <v>0</v>
      </c>
      <c r="R141" s="1992">
        <f ca="1"/>
        <v>0</v>
      </c>
      <c r="S141" s="1992">
        <f ca="1"/>
        <v>0</v>
      </c>
      <c r="T141" s="1992">
        <f ca="1"/>
        <v>0</v>
      </c>
      <c r="U141" s="1992">
        <f ca="1"/>
        <v>0</v>
      </c>
      <c r="V141" s="1992">
        <f ca="1"/>
        <v>0</v>
      </c>
      <c r="W141" s="1992">
        <f ca="1"/>
        <v>0</v>
      </c>
      <c r="X141" s="1992">
        <f ca="1"/>
        <v>0</v>
      </c>
      <c r="Y141" s="2010">
        <f ca="1"/>
        <v>0</v>
      </c>
    </row>
    <row r="142" spans="1:25" ht="13.5" thickBot="1">
      <c r="A142" s="105" t="str">
        <f>"Totales CV "&amp;A$9</f>
        <v xml:space="preserve">Totales CV </v>
      </c>
      <c r="B142" s="607">
        <f t="shared" ref="B142:Y142" ca="1" si="12">SUM(B129:B141)</f>
        <v>0</v>
      </c>
      <c r="C142" s="607">
        <f t="shared" ca="1" si="12"/>
        <v>0</v>
      </c>
      <c r="D142" s="607">
        <f t="shared" ca="1" si="12"/>
        <v>0</v>
      </c>
      <c r="E142" s="607">
        <f t="shared" ca="1" si="12"/>
        <v>0</v>
      </c>
      <c r="F142" s="607">
        <f t="shared" ca="1" si="12"/>
        <v>0</v>
      </c>
      <c r="G142" s="607">
        <f t="shared" ca="1" si="12"/>
        <v>0</v>
      </c>
      <c r="H142" s="607">
        <f t="shared" ca="1" si="12"/>
        <v>0</v>
      </c>
      <c r="I142" s="607">
        <f t="shared" ca="1" si="12"/>
        <v>0</v>
      </c>
      <c r="J142" s="607">
        <f t="shared" ca="1" si="12"/>
        <v>0</v>
      </c>
      <c r="K142" s="607">
        <f t="shared" ca="1" si="12"/>
        <v>0</v>
      </c>
      <c r="L142" s="607">
        <f t="shared" ca="1" si="12"/>
        <v>0</v>
      </c>
      <c r="M142" s="607">
        <f t="shared" ca="1" si="12"/>
        <v>0</v>
      </c>
      <c r="N142" s="607">
        <f t="shared" ca="1" si="12"/>
        <v>0</v>
      </c>
      <c r="O142" s="607">
        <f t="shared" ca="1" si="12"/>
        <v>0</v>
      </c>
      <c r="P142" s="607">
        <f t="shared" ca="1" si="12"/>
        <v>0</v>
      </c>
      <c r="Q142" s="607">
        <f t="shared" ca="1" si="12"/>
        <v>0</v>
      </c>
      <c r="R142" s="607">
        <f t="shared" ca="1" si="12"/>
        <v>0</v>
      </c>
      <c r="S142" s="607">
        <f t="shared" ca="1" si="12"/>
        <v>0</v>
      </c>
      <c r="T142" s="607">
        <f t="shared" ca="1" si="12"/>
        <v>0</v>
      </c>
      <c r="U142" s="607">
        <f t="shared" ca="1" si="12"/>
        <v>0</v>
      </c>
      <c r="V142" s="607">
        <f t="shared" ca="1" si="12"/>
        <v>0</v>
      </c>
      <c r="W142" s="607">
        <f t="shared" ca="1" si="12"/>
        <v>0</v>
      </c>
      <c r="X142" s="607">
        <f t="shared" ca="1" si="12"/>
        <v>0</v>
      </c>
      <c r="Y142" s="2008">
        <f t="shared" ca="1" si="12"/>
        <v>0</v>
      </c>
    </row>
    <row r="143" spans="1:25" ht="13.5" thickBot="1">
      <c r="A143" s="105" t="str">
        <f>'Dados Básicos'!A28&amp;" sop. CV "&amp;$A$9</f>
        <v xml:space="preserve">IVA sop. CV </v>
      </c>
      <c r="B143" s="607">
        <f t="array" aca="1" ref="B143:Y143" ca="1">$K$127*B142:Y142</f>
        <v>0</v>
      </c>
      <c r="C143" s="607">
        <f ca="1"/>
        <v>0</v>
      </c>
      <c r="D143" s="607">
        <f ca="1"/>
        <v>0</v>
      </c>
      <c r="E143" s="607">
        <f ca="1"/>
        <v>0</v>
      </c>
      <c r="F143" s="607">
        <f ca="1"/>
        <v>0</v>
      </c>
      <c r="G143" s="607">
        <f ca="1"/>
        <v>0</v>
      </c>
      <c r="H143" s="607">
        <f ca="1"/>
        <v>0</v>
      </c>
      <c r="I143" s="607">
        <f ca="1"/>
        <v>0</v>
      </c>
      <c r="J143" s="607">
        <f ca="1"/>
        <v>0</v>
      </c>
      <c r="K143" s="607">
        <f ca="1"/>
        <v>0</v>
      </c>
      <c r="L143" s="607">
        <f ca="1"/>
        <v>0</v>
      </c>
      <c r="M143" s="607">
        <f ca="1"/>
        <v>0</v>
      </c>
      <c r="N143" s="607">
        <f ca="1"/>
        <v>0</v>
      </c>
      <c r="O143" s="607">
        <f ca="1"/>
        <v>0</v>
      </c>
      <c r="P143" s="607">
        <f ca="1"/>
        <v>0</v>
      </c>
      <c r="Q143" s="607">
        <f ca="1"/>
        <v>0</v>
      </c>
      <c r="R143" s="607">
        <f ca="1"/>
        <v>0</v>
      </c>
      <c r="S143" s="607">
        <f ca="1"/>
        <v>0</v>
      </c>
      <c r="T143" s="607">
        <f ca="1"/>
        <v>0</v>
      </c>
      <c r="U143" s="607">
        <f ca="1"/>
        <v>0</v>
      </c>
      <c r="V143" s="607">
        <f ca="1"/>
        <v>0</v>
      </c>
      <c r="W143" s="607">
        <f ca="1"/>
        <v>0</v>
      </c>
      <c r="X143" s="607">
        <f ca="1"/>
        <v>0</v>
      </c>
      <c r="Y143" s="2008">
        <f ca="1"/>
        <v>0</v>
      </c>
    </row>
    <row r="145" spans="1:25" ht="18.75" thickBot="1">
      <c r="A145" s="1993" t="str">
        <f>'Distr CV 0'!A145</f>
        <v xml:space="preserve">Compras / custos de producción por meses de </v>
      </c>
      <c r="I145" s="1993" t="str">
        <f>$I$109</f>
        <v>IVA NÃO incluido</v>
      </c>
      <c r="K145" s="2005">
        <f>Parametros!$F$26</f>
        <v>0.21</v>
      </c>
    </row>
    <row r="146" spans="1:25" ht="30" customHeight="1" thickBot="1">
      <c r="A146" s="457" t="str">
        <f>'Distr CV 0'!A146</f>
        <v>mes de compra / custo</v>
      </c>
      <c r="B146" s="2011" t="str">
        <f t="array" ref="B146:Y146">B$71:Y$71</f>
        <v>janeiro 
2028</v>
      </c>
      <c r="C146" s="2011" t="str">
        <v>fevereiro 
2028</v>
      </c>
      <c r="D146" s="2011" t="str">
        <v>março 
2028</v>
      </c>
      <c r="E146" s="2011" t="str">
        <v>abril 
2028</v>
      </c>
      <c r="F146" s="2011" t="str">
        <v>maio 
2028</v>
      </c>
      <c r="G146" s="2011" t="str">
        <v>junho 
2028</v>
      </c>
      <c r="H146" s="2011" t="str">
        <v>julho 
2028</v>
      </c>
      <c r="I146" s="2011" t="str">
        <v>agosto 
2028</v>
      </c>
      <c r="J146" s="2011" t="str">
        <v>setembro 
2028</v>
      </c>
      <c r="K146" s="2011" t="str">
        <v>outubro 
2028</v>
      </c>
      <c r="L146" s="2011" t="str">
        <v>novembro 
2028</v>
      </c>
      <c r="M146" s="2011" t="str">
        <v>dezembro 
2028</v>
      </c>
      <c r="N146" s="2734" t="str">
        <v>janeiro 
2029</v>
      </c>
      <c r="O146" s="2735" t="str">
        <v>fevereiro 
2029</v>
      </c>
      <c r="P146" s="2735" t="str">
        <v>março 
2029</v>
      </c>
      <c r="Q146" s="2735" t="str">
        <v>abril 
2029</v>
      </c>
      <c r="R146" s="2735" t="str">
        <v>maio 
2029</v>
      </c>
      <c r="S146" s="2735" t="str">
        <v>junho 
2029</v>
      </c>
      <c r="T146" s="2735" t="str">
        <v>julho 
2029</v>
      </c>
      <c r="U146" s="2735" t="str">
        <v>agosto 
2029</v>
      </c>
      <c r="V146" s="2735" t="str">
        <v>setembro 
2029</v>
      </c>
      <c r="W146" s="2735" t="str">
        <v>outubro 
2029</v>
      </c>
      <c r="X146" s="2735" t="str">
        <v>novembro 
2029</v>
      </c>
      <c r="Y146" s="2736" t="str">
        <v>dezembro 
2029</v>
      </c>
    </row>
    <row r="147" spans="1:25">
      <c r="A147" s="1994" t="str">
        <f>A$72</f>
        <v>mismo mes</v>
      </c>
      <c r="B147" s="1991"/>
      <c r="C147" s="1991"/>
      <c r="D147" s="1991"/>
      <c r="E147" s="1991"/>
      <c r="F147" s="1991"/>
      <c r="G147" s="1991"/>
      <c r="H147" s="1991"/>
      <c r="I147" s="1991"/>
      <c r="J147" s="1991"/>
      <c r="K147" s="1991"/>
      <c r="L147" s="1991"/>
      <c r="M147" s="1991"/>
      <c r="N147" s="603">
        <f t="array" aca="1" ref="N147:Y147" ca="1">B22:M22*Produção!$N$10</f>
        <v>0</v>
      </c>
      <c r="O147" s="603">
        <f ca="1"/>
        <v>0</v>
      </c>
      <c r="P147" s="603">
        <f ca="1"/>
        <v>0</v>
      </c>
      <c r="Q147" s="603">
        <f ca="1"/>
        <v>0</v>
      </c>
      <c r="R147" s="603">
        <f ca="1"/>
        <v>0</v>
      </c>
      <c r="S147" s="603">
        <f ca="1"/>
        <v>0</v>
      </c>
      <c r="T147" s="603">
        <f ca="1"/>
        <v>0</v>
      </c>
      <c r="U147" s="603">
        <f ca="1"/>
        <v>0</v>
      </c>
      <c r="V147" s="603">
        <f ca="1"/>
        <v>0</v>
      </c>
      <c r="W147" s="603">
        <f ca="1"/>
        <v>0</v>
      </c>
      <c r="X147" s="603">
        <f ca="1"/>
        <v>0</v>
      </c>
      <c r="Y147" s="2006">
        <f ca="1"/>
        <v>0</v>
      </c>
    </row>
    <row r="148" spans="1:25">
      <c r="A148" s="1995" t="str">
        <f>A$73</f>
        <v>1 mes antes</v>
      </c>
      <c r="B148" s="1991"/>
      <c r="C148" s="1991"/>
      <c r="D148" s="1991"/>
      <c r="E148" s="1991"/>
      <c r="F148" s="1991"/>
      <c r="G148" s="1991"/>
      <c r="H148" s="1991"/>
      <c r="I148" s="1991"/>
      <c r="J148" s="1991"/>
      <c r="K148" s="1991"/>
      <c r="L148" s="1991"/>
      <c r="M148" s="603">
        <f t="array" aca="1" ref="M148:X148" ca="1">B22:M22*Produção!$M$10</f>
        <v>0</v>
      </c>
      <c r="N148" s="603">
        <f ca="1"/>
        <v>0</v>
      </c>
      <c r="O148" s="603">
        <f ca="1"/>
        <v>0</v>
      </c>
      <c r="P148" s="603">
        <f ca="1"/>
        <v>0</v>
      </c>
      <c r="Q148" s="603">
        <f ca="1"/>
        <v>0</v>
      </c>
      <c r="R148" s="603">
        <f ca="1"/>
        <v>0</v>
      </c>
      <c r="S148" s="603">
        <f ca="1"/>
        <v>0</v>
      </c>
      <c r="T148" s="603">
        <f ca="1"/>
        <v>0</v>
      </c>
      <c r="U148" s="603">
        <f ca="1"/>
        <v>0</v>
      </c>
      <c r="V148" s="603">
        <f ca="1"/>
        <v>0</v>
      </c>
      <c r="W148" s="603">
        <f ca="1"/>
        <v>0</v>
      </c>
      <c r="X148" s="603">
        <f ca="1"/>
        <v>0</v>
      </c>
      <c r="Y148" s="2007">
        <f t="array" aca="1" ref="Y148:Y159" ca="1">'Distr CV 4'!M148:M159</f>
        <v>0</v>
      </c>
    </row>
    <row r="149" spans="1:25">
      <c r="A149" s="1995" t="str">
        <f>A$74</f>
        <v>2 meses antes</v>
      </c>
      <c r="B149" s="1991"/>
      <c r="C149" s="1991"/>
      <c r="D149" s="1991"/>
      <c r="E149" s="1991"/>
      <c r="F149" s="1991"/>
      <c r="G149" s="1991"/>
      <c r="H149" s="1991"/>
      <c r="I149" s="1991"/>
      <c r="J149" s="1991"/>
      <c r="K149" s="1991"/>
      <c r="L149" s="603">
        <f t="array" aca="1" ref="L149:W149" ca="1">B22:M22*Produção!$L$10</f>
        <v>0</v>
      </c>
      <c r="M149" s="603">
        <f ca="1"/>
        <v>0</v>
      </c>
      <c r="N149" s="603">
        <f ca="1"/>
        <v>0</v>
      </c>
      <c r="O149" s="603">
        <f ca="1"/>
        <v>0</v>
      </c>
      <c r="P149" s="603">
        <f ca="1"/>
        <v>0</v>
      </c>
      <c r="Q149" s="603">
        <f ca="1"/>
        <v>0</v>
      </c>
      <c r="R149" s="603">
        <f ca="1"/>
        <v>0</v>
      </c>
      <c r="S149" s="603">
        <f ca="1"/>
        <v>0</v>
      </c>
      <c r="T149" s="603">
        <f ca="1"/>
        <v>0</v>
      </c>
      <c r="U149" s="603">
        <f ca="1"/>
        <v>0</v>
      </c>
      <c r="V149" s="603">
        <f ca="1"/>
        <v>0</v>
      </c>
      <c r="W149" s="603">
        <f ca="1"/>
        <v>0</v>
      </c>
      <c r="X149" s="1988">
        <f t="array" aca="1" ref="X149:X159" ca="1">'Distr CV 4'!L149:L159</f>
        <v>0</v>
      </c>
      <c r="Y149" s="2007">
        <f ca="1"/>
        <v>0</v>
      </c>
    </row>
    <row r="150" spans="1:25">
      <c r="A150" s="1995" t="str">
        <f>A$75</f>
        <v>3 meses antes</v>
      </c>
      <c r="B150" s="1991"/>
      <c r="C150" s="1991"/>
      <c r="D150" s="1991"/>
      <c r="E150" s="1991"/>
      <c r="F150" s="1991"/>
      <c r="G150" s="1991"/>
      <c r="H150" s="1991"/>
      <c r="I150" s="1991"/>
      <c r="J150" s="1991"/>
      <c r="K150" s="603">
        <f t="array" aca="1" ref="K150:V150" ca="1">B22:M22*Produção!$K$10</f>
        <v>0</v>
      </c>
      <c r="L150" s="603">
        <f ca="1"/>
        <v>0</v>
      </c>
      <c r="M150" s="603">
        <f ca="1"/>
        <v>0</v>
      </c>
      <c r="N150" s="603">
        <f ca="1"/>
        <v>0</v>
      </c>
      <c r="O150" s="603">
        <f ca="1"/>
        <v>0</v>
      </c>
      <c r="P150" s="603">
        <f ca="1"/>
        <v>0</v>
      </c>
      <c r="Q150" s="603">
        <f ca="1"/>
        <v>0</v>
      </c>
      <c r="R150" s="603">
        <f ca="1"/>
        <v>0</v>
      </c>
      <c r="S150" s="603">
        <f ca="1"/>
        <v>0</v>
      </c>
      <c r="T150" s="603">
        <f ca="1"/>
        <v>0</v>
      </c>
      <c r="U150" s="603">
        <f ca="1"/>
        <v>0</v>
      </c>
      <c r="V150" s="603">
        <f ca="1"/>
        <v>0</v>
      </c>
      <c r="W150" s="1988">
        <f t="array" aca="1" ref="W150:W159" ca="1">'Distr CV 4'!K150:K159</f>
        <v>0</v>
      </c>
      <c r="X150" s="1988">
        <f ca="1"/>
        <v>0</v>
      </c>
      <c r="Y150" s="2007">
        <f ca="1"/>
        <v>0</v>
      </c>
    </row>
    <row r="151" spans="1:25">
      <c r="A151" s="1995" t="str">
        <f>A$76</f>
        <v>4 meses antes</v>
      </c>
      <c r="B151" s="1991"/>
      <c r="C151" s="1991"/>
      <c r="D151" s="1991"/>
      <c r="E151" s="1991"/>
      <c r="F151" s="1991"/>
      <c r="G151" s="1991"/>
      <c r="H151" s="1991"/>
      <c r="I151" s="1991"/>
      <c r="J151" s="603">
        <f t="array" aca="1" ref="J151:U151" ca="1">B22:M22*Produção!$J$10</f>
        <v>0</v>
      </c>
      <c r="K151" s="603">
        <f ca="1"/>
        <v>0</v>
      </c>
      <c r="L151" s="603">
        <f ca="1"/>
        <v>0</v>
      </c>
      <c r="M151" s="603">
        <f ca="1"/>
        <v>0</v>
      </c>
      <c r="N151" s="603">
        <f ca="1"/>
        <v>0</v>
      </c>
      <c r="O151" s="603">
        <f ca="1"/>
        <v>0</v>
      </c>
      <c r="P151" s="603">
        <f ca="1"/>
        <v>0</v>
      </c>
      <c r="Q151" s="603">
        <f ca="1"/>
        <v>0</v>
      </c>
      <c r="R151" s="603">
        <f ca="1"/>
        <v>0</v>
      </c>
      <c r="S151" s="603">
        <f ca="1"/>
        <v>0</v>
      </c>
      <c r="T151" s="603">
        <f ca="1"/>
        <v>0</v>
      </c>
      <c r="U151" s="603">
        <f ca="1"/>
        <v>0</v>
      </c>
      <c r="V151" s="1988">
        <f t="array" aca="1" ref="V151:V159" ca="1">'Distr CV 4'!J151:J159</f>
        <v>0</v>
      </c>
      <c r="W151" s="1988">
        <f ca="1"/>
        <v>0</v>
      </c>
      <c r="X151" s="1988">
        <f ca="1"/>
        <v>0</v>
      </c>
      <c r="Y151" s="2007">
        <f ca="1"/>
        <v>0</v>
      </c>
    </row>
    <row r="152" spans="1:25">
      <c r="A152" s="1995" t="str">
        <f>A$77</f>
        <v>5 meses antes</v>
      </c>
      <c r="B152" s="1991"/>
      <c r="C152" s="1991"/>
      <c r="D152" s="1991"/>
      <c r="E152" s="1991"/>
      <c r="F152" s="1991"/>
      <c r="G152" s="1991"/>
      <c r="H152" s="1991"/>
      <c r="I152" s="603">
        <f t="array" aca="1" ref="I152:T152" ca="1">B22:M22*Produção!$I$10</f>
        <v>0</v>
      </c>
      <c r="J152" s="603">
        <f ca="1"/>
        <v>0</v>
      </c>
      <c r="K152" s="603">
        <f ca="1"/>
        <v>0</v>
      </c>
      <c r="L152" s="603">
        <f ca="1"/>
        <v>0</v>
      </c>
      <c r="M152" s="603">
        <f ca="1"/>
        <v>0</v>
      </c>
      <c r="N152" s="603">
        <f ca="1"/>
        <v>0</v>
      </c>
      <c r="O152" s="603">
        <f ca="1"/>
        <v>0</v>
      </c>
      <c r="P152" s="603">
        <f ca="1"/>
        <v>0</v>
      </c>
      <c r="Q152" s="603">
        <f ca="1"/>
        <v>0</v>
      </c>
      <c r="R152" s="603">
        <f ca="1"/>
        <v>0</v>
      </c>
      <c r="S152" s="603">
        <f ca="1"/>
        <v>0</v>
      </c>
      <c r="T152" s="603">
        <f ca="1"/>
        <v>0</v>
      </c>
      <c r="U152" s="1988">
        <f t="array" aca="1" ref="U152:U159" ca="1">'Distr CV 4'!I152:I159</f>
        <v>0</v>
      </c>
      <c r="V152" s="1988">
        <f ca="1"/>
        <v>0</v>
      </c>
      <c r="W152" s="1988">
        <f ca="1"/>
        <v>0</v>
      </c>
      <c r="X152" s="1988">
        <f ca="1"/>
        <v>0</v>
      </c>
      <c r="Y152" s="2007">
        <f ca="1"/>
        <v>0</v>
      </c>
    </row>
    <row r="153" spans="1:25">
      <c r="A153" s="1995" t="str">
        <f>A$78</f>
        <v>6 meses antes</v>
      </c>
      <c r="B153" s="1991"/>
      <c r="C153" s="1991"/>
      <c r="D153" s="1991"/>
      <c r="E153" s="1991"/>
      <c r="F153" s="1991"/>
      <c r="G153" s="1991"/>
      <c r="H153" s="603">
        <f t="array" aca="1" ref="H153:S153" ca="1">B22:M22*Produção!$H$10</f>
        <v>0</v>
      </c>
      <c r="I153" s="603">
        <f ca="1"/>
        <v>0</v>
      </c>
      <c r="J153" s="603">
        <f ca="1"/>
        <v>0</v>
      </c>
      <c r="K153" s="603">
        <f ca="1"/>
        <v>0</v>
      </c>
      <c r="L153" s="603">
        <f ca="1"/>
        <v>0</v>
      </c>
      <c r="M153" s="603">
        <f ca="1"/>
        <v>0</v>
      </c>
      <c r="N153" s="603">
        <f ca="1"/>
        <v>0</v>
      </c>
      <c r="O153" s="603">
        <f ca="1"/>
        <v>0</v>
      </c>
      <c r="P153" s="603">
        <f ca="1"/>
        <v>0</v>
      </c>
      <c r="Q153" s="603">
        <f ca="1"/>
        <v>0</v>
      </c>
      <c r="R153" s="603">
        <f ca="1"/>
        <v>0</v>
      </c>
      <c r="S153" s="603">
        <f ca="1"/>
        <v>0</v>
      </c>
      <c r="T153" s="1988">
        <f t="array" aca="1" ref="T153:T159" ca="1">'Distr CV 4'!H153:H159</f>
        <v>0</v>
      </c>
      <c r="U153" s="1988">
        <f ca="1"/>
        <v>0</v>
      </c>
      <c r="V153" s="1988">
        <f ca="1"/>
        <v>0</v>
      </c>
      <c r="W153" s="1988">
        <f ca="1"/>
        <v>0</v>
      </c>
      <c r="X153" s="1988">
        <f ca="1"/>
        <v>0</v>
      </c>
      <c r="Y153" s="2007">
        <f ca="1"/>
        <v>0</v>
      </c>
    </row>
    <row r="154" spans="1:25">
      <c r="A154" s="1995" t="str">
        <f>A$79</f>
        <v>7 meses antes</v>
      </c>
      <c r="B154" s="1991"/>
      <c r="C154" s="1991"/>
      <c r="D154" s="1991"/>
      <c r="E154" s="1991"/>
      <c r="F154" s="1991"/>
      <c r="G154" s="603">
        <f t="array" aca="1" ref="G154:R154" ca="1">B22:M22*Produção!$G$10</f>
        <v>0</v>
      </c>
      <c r="H154" s="603">
        <f ca="1"/>
        <v>0</v>
      </c>
      <c r="I154" s="603">
        <f ca="1"/>
        <v>0</v>
      </c>
      <c r="J154" s="603">
        <f ca="1"/>
        <v>0</v>
      </c>
      <c r="K154" s="603">
        <f ca="1"/>
        <v>0</v>
      </c>
      <c r="L154" s="603">
        <f ca="1"/>
        <v>0</v>
      </c>
      <c r="M154" s="603">
        <f ca="1"/>
        <v>0</v>
      </c>
      <c r="N154" s="603">
        <f ca="1"/>
        <v>0</v>
      </c>
      <c r="O154" s="603">
        <f ca="1"/>
        <v>0</v>
      </c>
      <c r="P154" s="603">
        <f ca="1"/>
        <v>0</v>
      </c>
      <c r="Q154" s="603">
        <f ca="1"/>
        <v>0</v>
      </c>
      <c r="R154" s="603">
        <f ca="1"/>
        <v>0</v>
      </c>
      <c r="S154" s="1992">
        <f t="array" aca="1" ref="S154:S159" ca="1">'Distr CV 4'!G154:G159</f>
        <v>0</v>
      </c>
      <c r="T154" s="1992">
        <f ca="1"/>
        <v>0</v>
      </c>
      <c r="U154" s="1992">
        <f ca="1"/>
        <v>0</v>
      </c>
      <c r="V154" s="1992">
        <f ca="1"/>
        <v>0</v>
      </c>
      <c r="W154" s="1992">
        <f ca="1"/>
        <v>0</v>
      </c>
      <c r="X154" s="1992">
        <f ca="1"/>
        <v>0</v>
      </c>
      <c r="Y154" s="2010">
        <f ca="1"/>
        <v>0</v>
      </c>
    </row>
    <row r="155" spans="1:25">
      <c r="A155" s="1995" t="str">
        <f>A$80</f>
        <v>8 meses antes</v>
      </c>
      <c r="B155" s="1991"/>
      <c r="C155" s="1991"/>
      <c r="D155" s="1991"/>
      <c r="E155" s="1991"/>
      <c r="F155" s="603">
        <f t="array" aca="1" ref="F155:Q155" ca="1">B22:M22*Produção!$F$10</f>
        <v>0</v>
      </c>
      <c r="G155" s="603">
        <f ca="1"/>
        <v>0</v>
      </c>
      <c r="H155" s="603">
        <f ca="1"/>
        <v>0</v>
      </c>
      <c r="I155" s="603">
        <f ca="1"/>
        <v>0</v>
      </c>
      <c r="J155" s="603">
        <f ca="1"/>
        <v>0</v>
      </c>
      <c r="K155" s="603">
        <f ca="1"/>
        <v>0</v>
      </c>
      <c r="L155" s="603">
        <f ca="1"/>
        <v>0</v>
      </c>
      <c r="M155" s="603">
        <f ca="1"/>
        <v>0</v>
      </c>
      <c r="N155" s="603">
        <f ca="1"/>
        <v>0</v>
      </c>
      <c r="O155" s="603">
        <f ca="1"/>
        <v>0</v>
      </c>
      <c r="P155" s="603">
        <f ca="1"/>
        <v>0</v>
      </c>
      <c r="Q155" s="603">
        <f ca="1"/>
        <v>0</v>
      </c>
      <c r="R155" s="1992">
        <f t="array" aca="1" ref="R155:R159" ca="1">'Distr CV 4'!F155:F159</f>
        <v>0</v>
      </c>
      <c r="S155" s="1992">
        <f ca="1"/>
        <v>0</v>
      </c>
      <c r="T155" s="1992">
        <f ca="1"/>
        <v>0</v>
      </c>
      <c r="U155" s="1992">
        <f ca="1"/>
        <v>0</v>
      </c>
      <c r="V155" s="1992">
        <f ca="1"/>
        <v>0</v>
      </c>
      <c r="W155" s="1992">
        <f ca="1"/>
        <v>0</v>
      </c>
      <c r="X155" s="1992">
        <f ca="1"/>
        <v>0</v>
      </c>
      <c r="Y155" s="2010">
        <f ca="1"/>
        <v>0</v>
      </c>
    </row>
    <row r="156" spans="1:25">
      <c r="A156" s="1995" t="str">
        <f>A$81</f>
        <v>9 meses antes</v>
      </c>
      <c r="B156" s="1991"/>
      <c r="C156" s="1991"/>
      <c r="D156" s="1991"/>
      <c r="E156" s="603">
        <f t="array" aca="1" ref="E156:P156" ca="1">B22:M22*Produção!$E$10</f>
        <v>0</v>
      </c>
      <c r="F156" s="603">
        <f ca="1"/>
        <v>0</v>
      </c>
      <c r="G156" s="603">
        <f ca="1"/>
        <v>0</v>
      </c>
      <c r="H156" s="603">
        <f ca="1"/>
        <v>0</v>
      </c>
      <c r="I156" s="603">
        <f ca="1"/>
        <v>0</v>
      </c>
      <c r="J156" s="603">
        <f ca="1"/>
        <v>0</v>
      </c>
      <c r="K156" s="603">
        <f ca="1"/>
        <v>0</v>
      </c>
      <c r="L156" s="603">
        <f ca="1"/>
        <v>0</v>
      </c>
      <c r="M156" s="603">
        <f ca="1"/>
        <v>0</v>
      </c>
      <c r="N156" s="603">
        <f ca="1"/>
        <v>0</v>
      </c>
      <c r="O156" s="603">
        <f ca="1"/>
        <v>0</v>
      </c>
      <c r="P156" s="603">
        <f ca="1"/>
        <v>0</v>
      </c>
      <c r="Q156" s="1992">
        <f t="array" aca="1" ref="Q156:Q159" ca="1">'Distr CV 4'!E156:E159</f>
        <v>0</v>
      </c>
      <c r="R156" s="1992">
        <f ca="1"/>
        <v>0</v>
      </c>
      <c r="S156" s="1992">
        <f ca="1"/>
        <v>0</v>
      </c>
      <c r="T156" s="1992">
        <f ca="1"/>
        <v>0</v>
      </c>
      <c r="U156" s="1992">
        <f ca="1"/>
        <v>0</v>
      </c>
      <c r="V156" s="1992">
        <f ca="1"/>
        <v>0</v>
      </c>
      <c r="W156" s="1992">
        <f ca="1"/>
        <v>0</v>
      </c>
      <c r="X156" s="1992">
        <f ca="1"/>
        <v>0</v>
      </c>
      <c r="Y156" s="2010">
        <f ca="1"/>
        <v>0</v>
      </c>
    </row>
    <row r="157" spans="1:25">
      <c r="A157" s="1995" t="str">
        <f>A$82</f>
        <v>10 meses antes</v>
      </c>
      <c r="B157" s="1991"/>
      <c r="C157" s="1991"/>
      <c r="D157" s="603">
        <f t="array" aca="1" ref="D157:O157" ca="1">B22:M22*Produção!$D$10</f>
        <v>0</v>
      </c>
      <c r="E157" s="603">
        <f ca="1"/>
        <v>0</v>
      </c>
      <c r="F157" s="603">
        <f ca="1"/>
        <v>0</v>
      </c>
      <c r="G157" s="603">
        <f ca="1"/>
        <v>0</v>
      </c>
      <c r="H157" s="603">
        <f ca="1"/>
        <v>0</v>
      </c>
      <c r="I157" s="603">
        <f ca="1"/>
        <v>0</v>
      </c>
      <c r="J157" s="603">
        <f ca="1"/>
        <v>0</v>
      </c>
      <c r="K157" s="603">
        <f ca="1"/>
        <v>0</v>
      </c>
      <c r="L157" s="603">
        <f ca="1"/>
        <v>0</v>
      </c>
      <c r="M157" s="603">
        <f ca="1"/>
        <v>0</v>
      </c>
      <c r="N157" s="603">
        <f ca="1"/>
        <v>0</v>
      </c>
      <c r="O157" s="603">
        <f ca="1"/>
        <v>0</v>
      </c>
      <c r="P157" s="1992">
        <f t="array" aca="1" ref="P157:P159" ca="1">'Distr CV 4'!D157:D159</f>
        <v>0</v>
      </c>
      <c r="Q157" s="1992">
        <f ca="1"/>
        <v>0</v>
      </c>
      <c r="R157" s="1992">
        <f ca="1"/>
        <v>0</v>
      </c>
      <c r="S157" s="1992">
        <f ca="1"/>
        <v>0</v>
      </c>
      <c r="T157" s="1992">
        <f ca="1"/>
        <v>0</v>
      </c>
      <c r="U157" s="1992">
        <f ca="1"/>
        <v>0</v>
      </c>
      <c r="V157" s="1992">
        <f ca="1"/>
        <v>0</v>
      </c>
      <c r="W157" s="1992">
        <f ca="1"/>
        <v>0</v>
      </c>
      <c r="X157" s="1992">
        <f ca="1"/>
        <v>0</v>
      </c>
      <c r="Y157" s="2010">
        <f ca="1"/>
        <v>0</v>
      </c>
    </row>
    <row r="158" spans="1:25">
      <c r="A158" s="1995" t="str">
        <f>A$83</f>
        <v>11 meses antes</v>
      </c>
      <c r="B158" s="1991"/>
      <c r="C158" s="603">
        <f t="array" aca="1" ref="C158:N158" ca="1">B22:M22*Produção!$C$10</f>
        <v>0</v>
      </c>
      <c r="D158" s="603">
        <f ca="1"/>
        <v>0</v>
      </c>
      <c r="E158" s="603">
        <f ca="1"/>
        <v>0</v>
      </c>
      <c r="F158" s="603">
        <f ca="1"/>
        <v>0</v>
      </c>
      <c r="G158" s="603">
        <f ca="1"/>
        <v>0</v>
      </c>
      <c r="H158" s="603">
        <f ca="1"/>
        <v>0</v>
      </c>
      <c r="I158" s="603">
        <f ca="1"/>
        <v>0</v>
      </c>
      <c r="J158" s="603">
        <f ca="1"/>
        <v>0</v>
      </c>
      <c r="K158" s="603">
        <f ca="1"/>
        <v>0</v>
      </c>
      <c r="L158" s="603">
        <f ca="1"/>
        <v>0</v>
      </c>
      <c r="M158" s="603">
        <f ca="1"/>
        <v>0</v>
      </c>
      <c r="N158" s="603">
        <f ca="1"/>
        <v>0</v>
      </c>
      <c r="O158" s="1992">
        <f ca="1">'Distr CV 4'!C158</f>
        <v>0</v>
      </c>
      <c r="P158" s="1992">
        <f ca="1"/>
        <v>0</v>
      </c>
      <c r="Q158" s="1992">
        <f ca="1"/>
        <v>0</v>
      </c>
      <c r="R158" s="1992">
        <f ca="1"/>
        <v>0</v>
      </c>
      <c r="S158" s="1992">
        <f ca="1"/>
        <v>0</v>
      </c>
      <c r="T158" s="1992">
        <f ca="1"/>
        <v>0</v>
      </c>
      <c r="U158" s="1992">
        <f ca="1"/>
        <v>0</v>
      </c>
      <c r="V158" s="1992">
        <f ca="1"/>
        <v>0</v>
      </c>
      <c r="W158" s="1992">
        <f ca="1"/>
        <v>0</v>
      </c>
      <c r="X158" s="1992">
        <f ca="1"/>
        <v>0</v>
      </c>
      <c r="Y158" s="2010">
        <f ca="1"/>
        <v>0</v>
      </c>
    </row>
    <row r="159" spans="1:25" ht="13.5" thickBot="1">
      <c r="A159" s="1995" t="str">
        <f>A$84</f>
        <v>12 meses antes</v>
      </c>
      <c r="B159" s="603">
        <f t="array" aca="1" ref="B159:M159" ca="1">B22:M22*Produção!$B$10</f>
        <v>0</v>
      </c>
      <c r="C159" s="603">
        <f ca="1"/>
        <v>0</v>
      </c>
      <c r="D159" s="603">
        <f ca="1"/>
        <v>0</v>
      </c>
      <c r="E159" s="603">
        <f ca="1"/>
        <v>0</v>
      </c>
      <c r="F159" s="603">
        <f ca="1"/>
        <v>0</v>
      </c>
      <c r="G159" s="603">
        <f ca="1"/>
        <v>0</v>
      </c>
      <c r="H159" s="603">
        <f ca="1"/>
        <v>0</v>
      </c>
      <c r="I159" s="603">
        <f ca="1"/>
        <v>0</v>
      </c>
      <c r="J159" s="603">
        <f ca="1"/>
        <v>0</v>
      </c>
      <c r="K159" s="603">
        <f ca="1"/>
        <v>0</v>
      </c>
      <c r="L159" s="603">
        <f ca="1"/>
        <v>0</v>
      </c>
      <c r="M159" s="603">
        <f ca="1"/>
        <v>0</v>
      </c>
      <c r="N159" s="1991">
        <f ca="1">'Distr CV 4'!B159</f>
        <v>0</v>
      </c>
      <c r="O159" s="1992">
        <f ca="1">'Distr CV 4'!C159</f>
        <v>0</v>
      </c>
      <c r="P159" s="1992">
        <f ca="1"/>
        <v>0</v>
      </c>
      <c r="Q159" s="1992">
        <f ca="1"/>
        <v>0</v>
      </c>
      <c r="R159" s="1992">
        <f ca="1"/>
        <v>0</v>
      </c>
      <c r="S159" s="1992">
        <f ca="1"/>
        <v>0</v>
      </c>
      <c r="T159" s="1992">
        <f ca="1"/>
        <v>0</v>
      </c>
      <c r="U159" s="1992">
        <f ca="1"/>
        <v>0</v>
      </c>
      <c r="V159" s="1992">
        <f ca="1"/>
        <v>0</v>
      </c>
      <c r="W159" s="1992">
        <f ca="1"/>
        <v>0</v>
      </c>
      <c r="X159" s="1992">
        <f ca="1"/>
        <v>0</v>
      </c>
      <c r="Y159" s="2010">
        <f ca="1"/>
        <v>0</v>
      </c>
    </row>
    <row r="160" spans="1:25" ht="13.5" thickBot="1">
      <c r="A160" s="105" t="str">
        <f>"Totales CV "&amp;A$10</f>
        <v xml:space="preserve">Totales CV </v>
      </c>
      <c r="B160" s="607">
        <f t="shared" ref="B160:Y160" ca="1" si="13">SUM(B147:B159)</f>
        <v>0</v>
      </c>
      <c r="C160" s="607">
        <f t="shared" ca="1" si="13"/>
        <v>0</v>
      </c>
      <c r="D160" s="607">
        <f t="shared" ca="1" si="13"/>
        <v>0</v>
      </c>
      <c r="E160" s="607">
        <f t="shared" ca="1" si="13"/>
        <v>0</v>
      </c>
      <c r="F160" s="607">
        <f t="shared" ca="1" si="13"/>
        <v>0</v>
      </c>
      <c r="G160" s="607">
        <f t="shared" ca="1" si="13"/>
        <v>0</v>
      </c>
      <c r="H160" s="607">
        <f t="shared" ca="1" si="13"/>
        <v>0</v>
      </c>
      <c r="I160" s="607">
        <f t="shared" ca="1" si="13"/>
        <v>0</v>
      </c>
      <c r="J160" s="607">
        <f t="shared" ca="1" si="13"/>
        <v>0</v>
      </c>
      <c r="K160" s="607">
        <f t="shared" ca="1" si="13"/>
        <v>0</v>
      </c>
      <c r="L160" s="607">
        <f t="shared" ca="1" si="13"/>
        <v>0</v>
      </c>
      <c r="M160" s="607">
        <f t="shared" ca="1" si="13"/>
        <v>0</v>
      </c>
      <c r="N160" s="607">
        <f t="shared" ca="1" si="13"/>
        <v>0</v>
      </c>
      <c r="O160" s="607">
        <f t="shared" ca="1" si="13"/>
        <v>0</v>
      </c>
      <c r="P160" s="607">
        <f t="shared" ca="1" si="13"/>
        <v>0</v>
      </c>
      <c r="Q160" s="607">
        <f t="shared" ca="1" si="13"/>
        <v>0</v>
      </c>
      <c r="R160" s="607">
        <f t="shared" ca="1" si="13"/>
        <v>0</v>
      </c>
      <c r="S160" s="607">
        <f t="shared" ca="1" si="13"/>
        <v>0</v>
      </c>
      <c r="T160" s="607">
        <f t="shared" ca="1" si="13"/>
        <v>0</v>
      </c>
      <c r="U160" s="607">
        <f t="shared" ca="1" si="13"/>
        <v>0</v>
      </c>
      <c r="V160" s="607">
        <f t="shared" ca="1" si="13"/>
        <v>0</v>
      </c>
      <c r="W160" s="607">
        <f t="shared" ca="1" si="13"/>
        <v>0</v>
      </c>
      <c r="X160" s="607">
        <f t="shared" ca="1" si="13"/>
        <v>0</v>
      </c>
      <c r="Y160" s="2008">
        <f t="shared" ca="1" si="13"/>
        <v>0</v>
      </c>
    </row>
    <row r="161" spans="1:25" ht="13.5" thickBot="1">
      <c r="A161" s="105" t="str">
        <f>'Dados Básicos'!A28&amp;" sop. CV "&amp;$A$10</f>
        <v xml:space="preserve">IVA sop. CV </v>
      </c>
      <c r="B161" s="607">
        <f t="array" aca="1" ref="B161:Y161" ca="1">$K$145*B160:Y160</f>
        <v>0</v>
      </c>
      <c r="C161" s="607">
        <f ca="1"/>
        <v>0</v>
      </c>
      <c r="D161" s="607">
        <f ca="1"/>
        <v>0</v>
      </c>
      <c r="E161" s="607">
        <f ca="1"/>
        <v>0</v>
      </c>
      <c r="F161" s="607">
        <f ca="1"/>
        <v>0</v>
      </c>
      <c r="G161" s="607">
        <f ca="1"/>
        <v>0</v>
      </c>
      <c r="H161" s="607">
        <f ca="1"/>
        <v>0</v>
      </c>
      <c r="I161" s="607">
        <f ca="1"/>
        <v>0</v>
      </c>
      <c r="J161" s="607">
        <f ca="1"/>
        <v>0</v>
      </c>
      <c r="K161" s="607">
        <f ca="1"/>
        <v>0</v>
      </c>
      <c r="L161" s="607">
        <f ca="1"/>
        <v>0</v>
      </c>
      <c r="M161" s="607">
        <f ca="1"/>
        <v>0</v>
      </c>
      <c r="N161" s="607">
        <f ca="1"/>
        <v>0</v>
      </c>
      <c r="O161" s="607">
        <f ca="1"/>
        <v>0</v>
      </c>
      <c r="P161" s="607">
        <f ca="1"/>
        <v>0</v>
      </c>
      <c r="Q161" s="607">
        <f ca="1"/>
        <v>0</v>
      </c>
      <c r="R161" s="607">
        <f ca="1"/>
        <v>0</v>
      </c>
      <c r="S161" s="607">
        <f ca="1"/>
        <v>0</v>
      </c>
      <c r="T161" s="607">
        <f ca="1"/>
        <v>0</v>
      </c>
      <c r="U161" s="607">
        <f ca="1"/>
        <v>0</v>
      </c>
      <c r="V161" s="607">
        <f ca="1"/>
        <v>0</v>
      </c>
      <c r="W161" s="607">
        <f ca="1"/>
        <v>0</v>
      </c>
      <c r="X161" s="607">
        <f ca="1"/>
        <v>0</v>
      </c>
      <c r="Y161" s="2008">
        <f ca="1"/>
        <v>0</v>
      </c>
    </row>
    <row r="163" spans="1:25" ht="18.75" thickBot="1">
      <c r="A163" s="1993" t="str">
        <f>'Distr CV 0'!A163</f>
        <v xml:space="preserve">Compras / custos de producción por meses de </v>
      </c>
      <c r="I163" s="1993" t="str">
        <f>$I$109</f>
        <v>IVA NÃO incluido</v>
      </c>
      <c r="K163" s="2005">
        <f>Parametros!$F$27</f>
        <v>0.21</v>
      </c>
    </row>
    <row r="164" spans="1:25" ht="30" customHeight="1" thickBot="1">
      <c r="A164" s="457" t="str">
        <f>'Distr CV 0'!A164</f>
        <v>mes de compra / custo</v>
      </c>
      <c r="B164" s="2011" t="str">
        <f t="array" ref="B164:Y164">B$71:Y$71</f>
        <v>janeiro 
2028</v>
      </c>
      <c r="C164" s="2011" t="str">
        <v>fevereiro 
2028</v>
      </c>
      <c r="D164" s="2011" t="str">
        <v>março 
2028</v>
      </c>
      <c r="E164" s="2011" t="str">
        <v>abril 
2028</v>
      </c>
      <c r="F164" s="2011" t="str">
        <v>maio 
2028</v>
      </c>
      <c r="G164" s="2011" t="str">
        <v>junho 
2028</v>
      </c>
      <c r="H164" s="2011" t="str">
        <v>julho 
2028</v>
      </c>
      <c r="I164" s="2011" t="str">
        <v>agosto 
2028</v>
      </c>
      <c r="J164" s="2011" t="str">
        <v>setembro 
2028</v>
      </c>
      <c r="K164" s="2011" t="str">
        <v>outubro 
2028</v>
      </c>
      <c r="L164" s="2011" t="str">
        <v>novembro 
2028</v>
      </c>
      <c r="M164" s="2011" t="str">
        <v>dezembro 
2028</v>
      </c>
      <c r="N164" s="2734" t="str">
        <v>janeiro 
2029</v>
      </c>
      <c r="O164" s="2735" t="str">
        <v>fevereiro 
2029</v>
      </c>
      <c r="P164" s="2735" t="str">
        <v>março 
2029</v>
      </c>
      <c r="Q164" s="2735" t="str">
        <v>abril 
2029</v>
      </c>
      <c r="R164" s="2735" t="str">
        <v>maio 
2029</v>
      </c>
      <c r="S164" s="2735" t="str">
        <v>junho 
2029</v>
      </c>
      <c r="T164" s="2735" t="str">
        <v>julho 
2029</v>
      </c>
      <c r="U164" s="2735" t="str">
        <v>agosto 
2029</v>
      </c>
      <c r="V164" s="2735" t="str">
        <v>setembro 
2029</v>
      </c>
      <c r="W164" s="2735" t="str">
        <v>outubro 
2029</v>
      </c>
      <c r="X164" s="2735" t="str">
        <v>novembro 
2029</v>
      </c>
      <c r="Y164" s="2736" t="str">
        <v>dezembro 
2029</v>
      </c>
    </row>
    <row r="165" spans="1:25">
      <c r="A165" s="1994" t="str">
        <f>A$72</f>
        <v>mismo mes</v>
      </c>
      <c r="B165" s="1991"/>
      <c r="C165" s="1991"/>
      <c r="D165" s="1991"/>
      <c r="E165" s="1991"/>
      <c r="F165" s="1991"/>
      <c r="G165" s="1991"/>
      <c r="H165" s="1991"/>
      <c r="I165" s="1991"/>
      <c r="J165" s="1991"/>
      <c r="K165" s="1991"/>
      <c r="L165" s="1991"/>
      <c r="M165" s="1991"/>
      <c r="N165" s="603">
        <f t="array" aca="1" ref="N165:Y165" ca="1">B23:M23*Produção!$N$11</f>
        <v>0</v>
      </c>
      <c r="O165" s="603">
        <f ca="1"/>
        <v>0</v>
      </c>
      <c r="P165" s="603">
        <f ca="1"/>
        <v>0</v>
      </c>
      <c r="Q165" s="603">
        <f ca="1"/>
        <v>0</v>
      </c>
      <c r="R165" s="603">
        <f ca="1"/>
        <v>0</v>
      </c>
      <c r="S165" s="603">
        <f ca="1"/>
        <v>0</v>
      </c>
      <c r="T165" s="603">
        <f ca="1"/>
        <v>0</v>
      </c>
      <c r="U165" s="603">
        <f ca="1"/>
        <v>0</v>
      </c>
      <c r="V165" s="603">
        <f ca="1"/>
        <v>0</v>
      </c>
      <c r="W165" s="603">
        <f ca="1"/>
        <v>0</v>
      </c>
      <c r="X165" s="603">
        <f ca="1"/>
        <v>0</v>
      </c>
      <c r="Y165" s="2006">
        <f ca="1"/>
        <v>0</v>
      </c>
    </row>
    <row r="166" spans="1:25">
      <c r="A166" s="1995" t="str">
        <f>A$73</f>
        <v>1 mes antes</v>
      </c>
      <c r="B166" s="1991"/>
      <c r="C166" s="1991"/>
      <c r="D166" s="1991"/>
      <c r="E166" s="1991"/>
      <c r="F166" s="1991"/>
      <c r="G166" s="1991"/>
      <c r="H166" s="1991"/>
      <c r="I166" s="1991"/>
      <c r="J166" s="1991"/>
      <c r="K166" s="1991"/>
      <c r="L166" s="1991"/>
      <c r="M166" s="603">
        <f t="array" aca="1" ref="M166:X166" ca="1">B23:M23*Produção!$M$11</f>
        <v>0</v>
      </c>
      <c r="N166" s="603">
        <f ca="1"/>
        <v>0</v>
      </c>
      <c r="O166" s="603">
        <f ca="1"/>
        <v>0</v>
      </c>
      <c r="P166" s="603">
        <f ca="1"/>
        <v>0</v>
      </c>
      <c r="Q166" s="603">
        <f ca="1"/>
        <v>0</v>
      </c>
      <c r="R166" s="603">
        <f ca="1"/>
        <v>0</v>
      </c>
      <c r="S166" s="603">
        <f ca="1"/>
        <v>0</v>
      </c>
      <c r="T166" s="603">
        <f ca="1"/>
        <v>0</v>
      </c>
      <c r="U166" s="603">
        <f ca="1"/>
        <v>0</v>
      </c>
      <c r="V166" s="603">
        <f ca="1"/>
        <v>0</v>
      </c>
      <c r="W166" s="603">
        <f ca="1"/>
        <v>0</v>
      </c>
      <c r="X166" s="603">
        <f ca="1"/>
        <v>0</v>
      </c>
      <c r="Y166" s="2007">
        <f t="array" aca="1" ref="Y166:Y177" ca="1">'Distr CV 4'!M166:M177</f>
        <v>0</v>
      </c>
    </row>
    <row r="167" spans="1:25">
      <c r="A167" s="1995" t="str">
        <f>A$74</f>
        <v>2 meses antes</v>
      </c>
      <c r="B167" s="1991"/>
      <c r="C167" s="1991"/>
      <c r="D167" s="1991"/>
      <c r="E167" s="1991"/>
      <c r="F167" s="1991"/>
      <c r="G167" s="1991"/>
      <c r="H167" s="1991"/>
      <c r="I167" s="1991"/>
      <c r="J167" s="1991"/>
      <c r="K167" s="1991"/>
      <c r="L167" s="603">
        <f t="array" aca="1" ref="L167:W167" ca="1">B23:M23*Produção!$L$11</f>
        <v>0</v>
      </c>
      <c r="M167" s="603">
        <f ca="1"/>
        <v>0</v>
      </c>
      <c r="N167" s="603">
        <f ca="1"/>
        <v>0</v>
      </c>
      <c r="O167" s="603">
        <f ca="1"/>
        <v>0</v>
      </c>
      <c r="P167" s="603">
        <f ca="1"/>
        <v>0</v>
      </c>
      <c r="Q167" s="603">
        <f ca="1"/>
        <v>0</v>
      </c>
      <c r="R167" s="603">
        <f ca="1"/>
        <v>0</v>
      </c>
      <c r="S167" s="603">
        <f ca="1"/>
        <v>0</v>
      </c>
      <c r="T167" s="603">
        <f ca="1"/>
        <v>0</v>
      </c>
      <c r="U167" s="603">
        <f ca="1"/>
        <v>0</v>
      </c>
      <c r="V167" s="603">
        <f ca="1"/>
        <v>0</v>
      </c>
      <c r="W167" s="603">
        <f ca="1"/>
        <v>0</v>
      </c>
      <c r="X167" s="1988">
        <f t="array" aca="1" ref="X167:X177" ca="1">'Distr CV 4'!L167:L177</f>
        <v>0</v>
      </c>
      <c r="Y167" s="2007">
        <f ca="1"/>
        <v>0</v>
      </c>
    </row>
    <row r="168" spans="1:25">
      <c r="A168" s="1995" t="str">
        <f>A$75</f>
        <v>3 meses antes</v>
      </c>
      <c r="B168" s="1991"/>
      <c r="C168" s="1991"/>
      <c r="D168" s="1991"/>
      <c r="E168" s="1991"/>
      <c r="F168" s="1991"/>
      <c r="G168" s="1991"/>
      <c r="H168" s="1991"/>
      <c r="I168" s="1991"/>
      <c r="J168" s="1991"/>
      <c r="K168" s="603">
        <f t="array" aca="1" ref="K168:V168" ca="1">B23:M23*Produção!$K$11</f>
        <v>0</v>
      </c>
      <c r="L168" s="603">
        <f ca="1"/>
        <v>0</v>
      </c>
      <c r="M168" s="603">
        <f ca="1"/>
        <v>0</v>
      </c>
      <c r="N168" s="603">
        <f ca="1"/>
        <v>0</v>
      </c>
      <c r="O168" s="603">
        <f ca="1"/>
        <v>0</v>
      </c>
      <c r="P168" s="603">
        <f ca="1"/>
        <v>0</v>
      </c>
      <c r="Q168" s="603">
        <f ca="1"/>
        <v>0</v>
      </c>
      <c r="R168" s="603">
        <f ca="1"/>
        <v>0</v>
      </c>
      <c r="S168" s="603">
        <f ca="1"/>
        <v>0</v>
      </c>
      <c r="T168" s="603">
        <f ca="1"/>
        <v>0</v>
      </c>
      <c r="U168" s="603">
        <f ca="1"/>
        <v>0</v>
      </c>
      <c r="V168" s="603">
        <f ca="1"/>
        <v>0</v>
      </c>
      <c r="W168" s="1988">
        <f t="array" aca="1" ref="W168:W177" ca="1">'Distr CV 4'!K168:K177</f>
        <v>0</v>
      </c>
      <c r="X168" s="1988">
        <f ca="1"/>
        <v>0</v>
      </c>
      <c r="Y168" s="2007">
        <f ca="1"/>
        <v>0</v>
      </c>
    </row>
    <row r="169" spans="1:25">
      <c r="A169" s="1995" t="str">
        <f>A$76</f>
        <v>4 meses antes</v>
      </c>
      <c r="B169" s="1991"/>
      <c r="C169" s="1991"/>
      <c r="D169" s="1991"/>
      <c r="E169" s="1991"/>
      <c r="F169" s="1991"/>
      <c r="G169" s="1991"/>
      <c r="H169" s="1991"/>
      <c r="I169" s="1991"/>
      <c r="J169" s="603">
        <f t="array" aca="1" ref="J169:U169" ca="1">B23:M23*Produção!$J$11</f>
        <v>0</v>
      </c>
      <c r="K169" s="603">
        <f ca="1"/>
        <v>0</v>
      </c>
      <c r="L169" s="603">
        <f ca="1"/>
        <v>0</v>
      </c>
      <c r="M169" s="603">
        <f ca="1"/>
        <v>0</v>
      </c>
      <c r="N169" s="603">
        <f ca="1"/>
        <v>0</v>
      </c>
      <c r="O169" s="603">
        <f ca="1"/>
        <v>0</v>
      </c>
      <c r="P169" s="603">
        <f ca="1"/>
        <v>0</v>
      </c>
      <c r="Q169" s="603">
        <f ca="1"/>
        <v>0</v>
      </c>
      <c r="R169" s="603">
        <f ca="1"/>
        <v>0</v>
      </c>
      <c r="S169" s="603">
        <f ca="1"/>
        <v>0</v>
      </c>
      <c r="T169" s="603">
        <f ca="1"/>
        <v>0</v>
      </c>
      <c r="U169" s="603">
        <f ca="1"/>
        <v>0</v>
      </c>
      <c r="V169" s="1988">
        <f t="array" aca="1" ref="V169:V177" ca="1">'Distr CV 4'!J169:J177</f>
        <v>0</v>
      </c>
      <c r="W169" s="1988">
        <f ca="1"/>
        <v>0</v>
      </c>
      <c r="X169" s="1988">
        <f ca="1"/>
        <v>0</v>
      </c>
      <c r="Y169" s="2007">
        <f ca="1"/>
        <v>0</v>
      </c>
    </row>
    <row r="170" spans="1:25">
      <c r="A170" s="1995" t="str">
        <f>A$77</f>
        <v>5 meses antes</v>
      </c>
      <c r="B170" s="1991"/>
      <c r="C170" s="1991"/>
      <c r="D170" s="1991"/>
      <c r="E170" s="1991"/>
      <c r="F170" s="1991"/>
      <c r="G170" s="1991"/>
      <c r="H170" s="1991"/>
      <c r="I170" s="603">
        <f t="array" aca="1" ref="I170:T170" ca="1">B23:M23*Produção!$I$11</f>
        <v>0</v>
      </c>
      <c r="J170" s="603">
        <f ca="1"/>
        <v>0</v>
      </c>
      <c r="K170" s="603">
        <f ca="1"/>
        <v>0</v>
      </c>
      <c r="L170" s="603">
        <f ca="1"/>
        <v>0</v>
      </c>
      <c r="M170" s="603">
        <f ca="1"/>
        <v>0</v>
      </c>
      <c r="N170" s="603">
        <f ca="1"/>
        <v>0</v>
      </c>
      <c r="O170" s="603">
        <f ca="1"/>
        <v>0</v>
      </c>
      <c r="P170" s="603">
        <f ca="1"/>
        <v>0</v>
      </c>
      <c r="Q170" s="603">
        <f ca="1"/>
        <v>0</v>
      </c>
      <c r="R170" s="603">
        <f ca="1"/>
        <v>0</v>
      </c>
      <c r="S170" s="603">
        <f ca="1"/>
        <v>0</v>
      </c>
      <c r="T170" s="603">
        <f ca="1"/>
        <v>0</v>
      </c>
      <c r="U170" s="1988">
        <f t="array" aca="1" ref="U170:U177" ca="1">'Distr CV 4'!I170:I177</f>
        <v>0</v>
      </c>
      <c r="V170" s="1988">
        <f ca="1"/>
        <v>0</v>
      </c>
      <c r="W170" s="1988">
        <f ca="1"/>
        <v>0</v>
      </c>
      <c r="X170" s="1988">
        <f ca="1"/>
        <v>0</v>
      </c>
      <c r="Y170" s="2007">
        <f ca="1"/>
        <v>0</v>
      </c>
    </row>
    <row r="171" spans="1:25">
      <c r="A171" s="1995" t="str">
        <f>A$78</f>
        <v>6 meses antes</v>
      </c>
      <c r="B171" s="1991"/>
      <c r="C171" s="1991"/>
      <c r="D171" s="1991"/>
      <c r="E171" s="1991"/>
      <c r="F171" s="1991"/>
      <c r="G171" s="1991"/>
      <c r="H171" s="603">
        <f t="array" aca="1" ref="H171:S171" ca="1">B23:M23*Produção!$H$11</f>
        <v>0</v>
      </c>
      <c r="I171" s="603">
        <f ca="1"/>
        <v>0</v>
      </c>
      <c r="J171" s="603">
        <f ca="1"/>
        <v>0</v>
      </c>
      <c r="K171" s="603">
        <f ca="1"/>
        <v>0</v>
      </c>
      <c r="L171" s="603">
        <f ca="1"/>
        <v>0</v>
      </c>
      <c r="M171" s="603">
        <f ca="1"/>
        <v>0</v>
      </c>
      <c r="N171" s="603">
        <f ca="1"/>
        <v>0</v>
      </c>
      <c r="O171" s="603">
        <f ca="1"/>
        <v>0</v>
      </c>
      <c r="P171" s="603">
        <f ca="1"/>
        <v>0</v>
      </c>
      <c r="Q171" s="603">
        <f ca="1"/>
        <v>0</v>
      </c>
      <c r="R171" s="603">
        <f ca="1"/>
        <v>0</v>
      </c>
      <c r="S171" s="603">
        <f ca="1"/>
        <v>0</v>
      </c>
      <c r="T171" s="1988">
        <f t="array" aca="1" ref="T171:T177" ca="1">'Distr CV 4'!H171:H177</f>
        <v>0</v>
      </c>
      <c r="U171" s="1988">
        <f ca="1"/>
        <v>0</v>
      </c>
      <c r="V171" s="1988">
        <f ca="1"/>
        <v>0</v>
      </c>
      <c r="W171" s="1988">
        <f ca="1"/>
        <v>0</v>
      </c>
      <c r="X171" s="1988">
        <f ca="1"/>
        <v>0</v>
      </c>
      <c r="Y171" s="2007">
        <f ca="1"/>
        <v>0</v>
      </c>
    </row>
    <row r="172" spans="1:25">
      <c r="A172" s="1995" t="str">
        <f>A$79</f>
        <v>7 meses antes</v>
      </c>
      <c r="B172" s="1991"/>
      <c r="C172" s="1991"/>
      <c r="D172" s="1991"/>
      <c r="E172" s="1991"/>
      <c r="F172" s="1991"/>
      <c r="G172" s="603">
        <f t="array" aca="1" ref="G172:R172" ca="1">B23:M23*Produção!$G$11</f>
        <v>0</v>
      </c>
      <c r="H172" s="603">
        <f ca="1"/>
        <v>0</v>
      </c>
      <c r="I172" s="603">
        <f ca="1"/>
        <v>0</v>
      </c>
      <c r="J172" s="603">
        <f ca="1"/>
        <v>0</v>
      </c>
      <c r="K172" s="603">
        <f ca="1"/>
        <v>0</v>
      </c>
      <c r="L172" s="603">
        <f ca="1"/>
        <v>0</v>
      </c>
      <c r="M172" s="603">
        <f ca="1"/>
        <v>0</v>
      </c>
      <c r="N172" s="603">
        <f ca="1"/>
        <v>0</v>
      </c>
      <c r="O172" s="603">
        <f ca="1"/>
        <v>0</v>
      </c>
      <c r="P172" s="603">
        <f ca="1"/>
        <v>0</v>
      </c>
      <c r="Q172" s="603">
        <f ca="1"/>
        <v>0</v>
      </c>
      <c r="R172" s="603">
        <f ca="1"/>
        <v>0</v>
      </c>
      <c r="S172" s="1992">
        <f t="array" aca="1" ref="S172:S177" ca="1">'Distr CV 4'!G172:G177</f>
        <v>0</v>
      </c>
      <c r="T172" s="1992">
        <f ca="1"/>
        <v>0</v>
      </c>
      <c r="U172" s="1992">
        <f ca="1"/>
        <v>0</v>
      </c>
      <c r="V172" s="1992">
        <f ca="1"/>
        <v>0</v>
      </c>
      <c r="W172" s="1992">
        <f ca="1"/>
        <v>0</v>
      </c>
      <c r="X172" s="1992">
        <f ca="1"/>
        <v>0</v>
      </c>
      <c r="Y172" s="2010">
        <f ca="1"/>
        <v>0</v>
      </c>
    </row>
    <row r="173" spans="1:25">
      <c r="A173" s="1995" t="str">
        <f>A$80</f>
        <v>8 meses antes</v>
      </c>
      <c r="B173" s="1991"/>
      <c r="C173" s="1991"/>
      <c r="D173" s="1991"/>
      <c r="E173" s="1991"/>
      <c r="F173" s="603">
        <f t="array" aca="1" ref="F173:Q173" ca="1">B23:M23*Produção!$F$11</f>
        <v>0</v>
      </c>
      <c r="G173" s="603">
        <f ca="1"/>
        <v>0</v>
      </c>
      <c r="H173" s="603">
        <f ca="1"/>
        <v>0</v>
      </c>
      <c r="I173" s="603">
        <f ca="1"/>
        <v>0</v>
      </c>
      <c r="J173" s="603">
        <f ca="1"/>
        <v>0</v>
      </c>
      <c r="K173" s="603">
        <f ca="1"/>
        <v>0</v>
      </c>
      <c r="L173" s="603">
        <f ca="1"/>
        <v>0</v>
      </c>
      <c r="M173" s="603">
        <f ca="1"/>
        <v>0</v>
      </c>
      <c r="N173" s="603">
        <f ca="1"/>
        <v>0</v>
      </c>
      <c r="O173" s="603">
        <f ca="1"/>
        <v>0</v>
      </c>
      <c r="P173" s="603">
        <f ca="1"/>
        <v>0</v>
      </c>
      <c r="Q173" s="603">
        <f ca="1"/>
        <v>0</v>
      </c>
      <c r="R173" s="1992">
        <f t="array" aca="1" ref="R173:R177" ca="1">'Distr CV 4'!F173:F177</f>
        <v>0</v>
      </c>
      <c r="S173" s="1992">
        <f ca="1"/>
        <v>0</v>
      </c>
      <c r="T173" s="1992">
        <f ca="1"/>
        <v>0</v>
      </c>
      <c r="U173" s="1992">
        <f ca="1"/>
        <v>0</v>
      </c>
      <c r="V173" s="1992">
        <f ca="1"/>
        <v>0</v>
      </c>
      <c r="W173" s="1992">
        <f ca="1"/>
        <v>0</v>
      </c>
      <c r="X173" s="1992">
        <f ca="1"/>
        <v>0</v>
      </c>
      <c r="Y173" s="2010">
        <f ca="1"/>
        <v>0</v>
      </c>
    </row>
    <row r="174" spans="1:25">
      <c r="A174" s="1995" t="str">
        <f>A$81</f>
        <v>9 meses antes</v>
      </c>
      <c r="B174" s="1991"/>
      <c r="C174" s="1991"/>
      <c r="D174" s="1991"/>
      <c r="E174" s="603">
        <f t="array" aca="1" ref="E174:P174" ca="1">B23:M23*Produção!$E$11</f>
        <v>0</v>
      </c>
      <c r="F174" s="603">
        <f ca="1"/>
        <v>0</v>
      </c>
      <c r="G174" s="603">
        <f ca="1"/>
        <v>0</v>
      </c>
      <c r="H174" s="603">
        <f ca="1"/>
        <v>0</v>
      </c>
      <c r="I174" s="603">
        <f ca="1"/>
        <v>0</v>
      </c>
      <c r="J174" s="603">
        <f ca="1"/>
        <v>0</v>
      </c>
      <c r="K174" s="603">
        <f ca="1"/>
        <v>0</v>
      </c>
      <c r="L174" s="603">
        <f ca="1"/>
        <v>0</v>
      </c>
      <c r="M174" s="603">
        <f ca="1"/>
        <v>0</v>
      </c>
      <c r="N174" s="603">
        <f ca="1"/>
        <v>0</v>
      </c>
      <c r="O174" s="603">
        <f ca="1"/>
        <v>0</v>
      </c>
      <c r="P174" s="603">
        <f ca="1"/>
        <v>0</v>
      </c>
      <c r="Q174" s="1992">
        <f t="array" aca="1" ref="Q174:Q177" ca="1">'Distr CV 4'!E174:E177</f>
        <v>0</v>
      </c>
      <c r="R174" s="1992">
        <f ca="1"/>
        <v>0</v>
      </c>
      <c r="S174" s="1992">
        <f ca="1"/>
        <v>0</v>
      </c>
      <c r="T174" s="1992">
        <f ca="1"/>
        <v>0</v>
      </c>
      <c r="U174" s="1992">
        <f ca="1"/>
        <v>0</v>
      </c>
      <c r="V174" s="1992">
        <f ca="1"/>
        <v>0</v>
      </c>
      <c r="W174" s="1992">
        <f ca="1"/>
        <v>0</v>
      </c>
      <c r="X174" s="1992">
        <f ca="1"/>
        <v>0</v>
      </c>
      <c r="Y174" s="2010">
        <f ca="1"/>
        <v>0</v>
      </c>
    </row>
    <row r="175" spans="1:25">
      <c r="A175" s="1995" t="str">
        <f>A$82</f>
        <v>10 meses antes</v>
      </c>
      <c r="B175" s="1991"/>
      <c r="C175" s="1991"/>
      <c r="D175" s="603">
        <f t="array" aca="1" ref="D175:O175" ca="1">B23:M23*Produção!$D$11</f>
        <v>0</v>
      </c>
      <c r="E175" s="603">
        <f ca="1"/>
        <v>0</v>
      </c>
      <c r="F175" s="603">
        <f ca="1"/>
        <v>0</v>
      </c>
      <c r="G175" s="603">
        <f ca="1"/>
        <v>0</v>
      </c>
      <c r="H175" s="603">
        <f ca="1"/>
        <v>0</v>
      </c>
      <c r="I175" s="603">
        <f ca="1"/>
        <v>0</v>
      </c>
      <c r="J175" s="603">
        <f ca="1"/>
        <v>0</v>
      </c>
      <c r="K175" s="603">
        <f ca="1"/>
        <v>0</v>
      </c>
      <c r="L175" s="603">
        <f ca="1"/>
        <v>0</v>
      </c>
      <c r="M175" s="603">
        <f ca="1"/>
        <v>0</v>
      </c>
      <c r="N175" s="603">
        <f ca="1"/>
        <v>0</v>
      </c>
      <c r="O175" s="603">
        <f ca="1"/>
        <v>0</v>
      </c>
      <c r="P175" s="1992">
        <f t="array" aca="1" ref="P175:P177" ca="1">'Distr CV 4'!D175:D177</f>
        <v>0</v>
      </c>
      <c r="Q175" s="1992">
        <f ca="1"/>
        <v>0</v>
      </c>
      <c r="R175" s="1992">
        <f ca="1"/>
        <v>0</v>
      </c>
      <c r="S175" s="1992">
        <f ca="1"/>
        <v>0</v>
      </c>
      <c r="T175" s="1992">
        <f ca="1"/>
        <v>0</v>
      </c>
      <c r="U175" s="1992">
        <f ca="1"/>
        <v>0</v>
      </c>
      <c r="V175" s="1992">
        <f ca="1"/>
        <v>0</v>
      </c>
      <c r="W175" s="1992">
        <f ca="1"/>
        <v>0</v>
      </c>
      <c r="X175" s="1992">
        <f ca="1"/>
        <v>0</v>
      </c>
      <c r="Y175" s="2010">
        <f ca="1"/>
        <v>0</v>
      </c>
    </row>
    <row r="176" spans="1:25">
      <c r="A176" s="1995" t="str">
        <f>A$83</f>
        <v>11 meses antes</v>
      </c>
      <c r="B176" s="1991"/>
      <c r="C176" s="603">
        <f t="array" aca="1" ref="C176:N176" ca="1">B23:M23*Produção!$C$11</f>
        <v>0</v>
      </c>
      <c r="D176" s="603">
        <f ca="1"/>
        <v>0</v>
      </c>
      <c r="E176" s="603">
        <f ca="1"/>
        <v>0</v>
      </c>
      <c r="F176" s="603">
        <f ca="1"/>
        <v>0</v>
      </c>
      <c r="G176" s="603">
        <f ca="1"/>
        <v>0</v>
      </c>
      <c r="H176" s="603">
        <f ca="1"/>
        <v>0</v>
      </c>
      <c r="I176" s="603">
        <f ca="1"/>
        <v>0</v>
      </c>
      <c r="J176" s="603">
        <f ca="1"/>
        <v>0</v>
      </c>
      <c r="K176" s="603">
        <f ca="1"/>
        <v>0</v>
      </c>
      <c r="L176" s="603">
        <f ca="1"/>
        <v>0</v>
      </c>
      <c r="M176" s="603">
        <f ca="1"/>
        <v>0</v>
      </c>
      <c r="N176" s="603">
        <f ca="1"/>
        <v>0</v>
      </c>
      <c r="O176" s="1992">
        <f ca="1">'Distr CV 4'!C176</f>
        <v>0</v>
      </c>
      <c r="P176" s="1992">
        <f ca="1"/>
        <v>0</v>
      </c>
      <c r="Q176" s="1992">
        <f ca="1"/>
        <v>0</v>
      </c>
      <c r="R176" s="1992">
        <f ca="1"/>
        <v>0</v>
      </c>
      <c r="S176" s="1992">
        <f ca="1"/>
        <v>0</v>
      </c>
      <c r="T176" s="1992">
        <f ca="1"/>
        <v>0</v>
      </c>
      <c r="U176" s="1992">
        <f ca="1"/>
        <v>0</v>
      </c>
      <c r="V176" s="1992">
        <f ca="1"/>
        <v>0</v>
      </c>
      <c r="W176" s="1992">
        <f ca="1"/>
        <v>0</v>
      </c>
      <c r="X176" s="1992">
        <f ca="1"/>
        <v>0</v>
      </c>
      <c r="Y176" s="2010">
        <f ca="1"/>
        <v>0</v>
      </c>
    </row>
    <row r="177" spans="1:25" ht="13.5" thickBot="1">
      <c r="A177" s="1995" t="str">
        <f>A$84</f>
        <v>12 meses antes</v>
      </c>
      <c r="B177" s="603">
        <f t="array" aca="1" ref="B177:M177" ca="1">B23:M23*Produção!$B$11</f>
        <v>0</v>
      </c>
      <c r="C177" s="603">
        <f ca="1"/>
        <v>0</v>
      </c>
      <c r="D177" s="603">
        <f ca="1"/>
        <v>0</v>
      </c>
      <c r="E177" s="603">
        <f ca="1"/>
        <v>0</v>
      </c>
      <c r="F177" s="603">
        <f ca="1"/>
        <v>0</v>
      </c>
      <c r="G177" s="603">
        <f ca="1"/>
        <v>0</v>
      </c>
      <c r="H177" s="603">
        <f ca="1"/>
        <v>0</v>
      </c>
      <c r="I177" s="603">
        <f ca="1"/>
        <v>0</v>
      </c>
      <c r="J177" s="603">
        <f ca="1"/>
        <v>0</v>
      </c>
      <c r="K177" s="603">
        <f ca="1"/>
        <v>0</v>
      </c>
      <c r="L177" s="603">
        <f ca="1"/>
        <v>0</v>
      </c>
      <c r="M177" s="603">
        <f ca="1"/>
        <v>0</v>
      </c>
      <c r="N177" s="1991">
        <f ca="1">'Distr CV 4'!B177</f>
        <v>0</v>
      </c>
      <c r="O177" s="1992">
        <f ca="1">'Distr CV 4'!C177</f>
        <v>0</v>
      </c>
      <c r="P177" s="1992">
        <f ca="1"/>
        <v>0</v>
      </c>
      <c r="Q177" s="1992">
        <f ca="1"/>
        <v>0</v>
      </c>
      <c r="R177" s="1992">
        <f ca="1"/>
        <v>0</v>
      </c>
      <c r="S177" s="1992">
        <f ca="1"/>
        <v>0</v>
      </c>
      <c r="T177" s="1992">
        <f ca="1"/>
        <v>0</v>
      </c>
      <c r="U177" s="1992">
        <f ca="1"/>
        <v>0</v>
      </c>
      <c r="V177" s="1992">
        <f ca="1"/>
        <v>0</v>
      </c>
      <c r="W177" s="1992">
        <f ca="1"/>
        <v>0</v>
      </c>
      <c r="X177" s="1992">
        <f ca="1"/>
        <v>0</v>
      </c>
      <c r="Y177" s="2010">
        <f ca="1"/>
        <v>0</v>
      </c>
    </row>
    <row r="178" spans="1:25" ht="13.5" thickBot="1">
      <c r="A178" s="105" t="str">
        <f>"Totales CV "&amp;A$11</f>
        <v xml:space="preserve">Totales CV </v>
      </c>
      <c r="B178" s="607">
        <f t="shared" ref="B178:Y178" ca="1" si="14">SUM(B165:B177)</f>
        <v>0</v>
      </c>
      <c r="C178" s="607">
        <f t="shared" ca="1" si="14"/>
        <v>0</v>
      </c>
      <c r="D178" s="607">
        <f t="shared" ca="1" si="14"/>
        <v>0</v>
      </c>
      <c r="E178" s="607">
        <f t="shared" ca="1" si="14"/>
        <v>0</v>
      </c>
      <c r="F178" s="607">
        <f t="shared" ca="1" si="14"/>
        <v>0</v>
      </c>
      <c r="G178" s="607">
        <f t="shared" ca="1" si="14"/>
        <v>0</v>
      </c>
      <c r="H178" s="607">
        <f t="shared" ca="1" si="14"/>
        <v>0</v>
      </c>
      <c r="I178" s="607">
        <f t="shared" ca="1" si="14"/>
        <v>0</v>
      </c>
      <c r="J178" s="607">
        <f t="shared" ca="1" si="14"/>
        <v>0</v>
      </c>
      <c r="K178" s="607">
        <f t="shared" ca="1" si="14"/>
        <v>0</v>
      </c>
      <c r="L178" s="607">
        <f t="shared" ca="1" si="14"/>
        <v>0</v>
      </c>
      <c r="M178" s="607">
        <f t="shared" ca="1" si="14"/>
        <v>0</v>
      </c>
      <c r="N178" s="607">
        <f t="shared" ca="1" si="14"/>
        <v>0</v>
      </c>
      <c r="O178" s="607">
        <f t="shared" ca="1" si="14"/>
        <v>0</v>
      </c>
      <c r="P178" s="607">
        <f t="shared" ca="1" si="14"/>
        <v>0</v>
      </c>
      <c r="Q178" s="607">
        <f t="shared" ca="1" si="14"/>
        <v>0</v>
      </c>
      <c r="R178" s="607">
        <f t="shared" ca="1" si="14"/>
        <v>0</v>
      </c>
      <c r="S178" s="607">
        <f t="shared" ca="1" si="14"/>
        <v>0</v>
      </c>
      <c r="T178" s="607">
        <f t="shared" ca="1" si="14"/>
        <v>0</v>
      </c>
      <c r="U178" s="607">
        <f t="shared" ca="1" si="14"/>
        <v>0</v>
      </c>
      <c r="V178" s="607">
        <f t="shared" ca="1" si="14"/>
        <v>0</v>
      </c>
      <c r="W178" s="607">
        <f t="shared" ca="1" si="14"/>
        <v>0</v>
      </c>
      <c r="X178" s="607">
        <f t="shared" ca="1" si="14"/>
        <v>0</v>
      </c>
      <c r="Y178" s="2008">
        <f t="shared" ca="1" si="14"/>
        <v>0</v>
      </c>
    </row>
    <row r="179" spans="1:25" ht="13.5" thickBot="1">
      <c r="A179" s="105" t="str">
        <f>'Dados Básicos'!A28&amp;" sop. CV "&amp;$A$11</f>
        <v xml:space="preserve">IVA sop. CV </v>
      </c>
      <c r="B179" s="607">
        <f t="array" aca="1" ref="B179:Y179" ca="1">$K$163*B178:Y178</f>
        <v>0</v>
      </c>
      <c r="C179" s="607">
        <f ca="1"/>
        <v>0</v>
      </c>
      <c r="D179" s="607">
        <f ca="1"/>
        <v>0</v>
      </c>
      <c r="E179" s="607">
        <f ca="1"/>
        <v>0</v>
      </c>
      <c r="F179" s="607">
        <f ca="1"/>
        <v>0</v>
      </c>
      <c r="G179" s="607">
        <f ca="1"/>
        <v>0</v>
      </c>
      <c r="H179" s="607">
        <f ca="1"/>
        <v>0</v>
      </c>
      <c r="I179" s="607">
        <f ca="1"/>
        <v>0</v>
      </c>
      <c r="J179" s="607">
        <f ca="1"/>
        <v>0</v>
      </c>
      <c r="K179" s="607">
        <f ca="1"/>
        <v>0</v>
      </c>
      <c r="L179" s="607">
        <f ca="1"/>
        <v>0</v>
      </c>
      <c r="M179" s="607">
        <f ca="1"/>
        <v>0</v>
      </c>
      <c r="N179" s="607">
        <f ca="1"/>
        <v>0</v>
      </c>
      <c r="O179" s="607">
        <f ca="1"/>
        <v>0</v>
      </c>
      <c r="P179" s="607">
        <f ca="1"/>
        <v>0</v>
      </c>
      <c r="Q179" s="607">
        <f ca="1"/>
        <v>0</v>
      </c>
      <c r="R179" s="607">
        <f ca="1"/>
        <v>0</v>
      </c>
      <c r="S179" s="607">
        <f ca="1"/>
        <v>0</v>
      </c>
      <c r="T179" s="607">
        <f ca="1"/>
        <v>0</v>
      </c>
      <c r="U179" s="607">
        <f ca="1"/>
        <v>0</v>
      </c>
      <c r="V179" s="607">
        <f ca="1"/>
        <v>0</v>
      </c>
      <c r="W179" s="607">
        <f ca="1"/>
        <v>0</v>
      </c>
      <c r="X179" s="607">
        <f ca="1"/>
        <v>0</v>
      </c>
      <c r="Y179" s="2008">
        <f ca="1"/>
        <v>0</v>
      </c>
    </row>
    <row r="181" spans="1:25" ht="18.75" thickBot="1">
      <c r="A181" s="1993" t="str">
        <f>'Distr CV 0'!A181</f>
        <v xml:space="preserve">Compras / custos de producción por meses de </v>
      </c>
      <c r="I181" s="1993" t="str">
        <f>$I$109</f>
        <v>IVA NÃO incluido</v>
      </c>
      <c r="K181" s="2005">
        <f>Parametros!$F$28</f>
        <v>0.21</v>
      </c>
    </row>
    <row r="182" spans="1:25" ht="31.5" customHeight="1" thickBot="1">
      <c r="A182" s="457" t="str">
        <f>'Distr CV 0'!A182</f>
        <v>mes de compra / custo</v>
      </c>
      <c r="B182" s="2011" t="str">
        <f t="array" ref="B182:Y182">B$71:Y$71</f>
        <v>janeiro 
2028</v>
      </c>
      <c r="C182" s="2011" t="str">
        <v>fevereiro 
2028</v>
      </c>
      <c r="D182" s="2011" t="str">
        <v>março 
2028</v>
      </c>
      <c r="E182" s="2011" t="str">
        <v>abril 
2028</v>
      </c>
      <c r="F182" s="2011" t="str">
        <v>maio 
2028</v>
      </c>
      <c r="G182" s="2011" t="str">
        <v>junho 
2028</v>
      </c>
      <c r="H182" s="2011" t="str">
        <v>julho 
2028</v>
      </c>
      <c r="I182" s="2011" t="str">
        <v>agosto 
2028</v>
      </c>
      <c r="J182" s="2011" t="str">
        <v>setembro 
2028</v>
      </c>
      <c r="K182" s="2011" t="str">
        <v>outubro 
2028</v>
      </c>
      <c r="L182" s="2011" t="str">
        <v>novembro 
2028</v>
      </c>
      <c r="M182" s="2011" t="str">
        <v>dezembro 
2028</v>
      </c>
      <c r="N182" s="2734" t="str">
        <v>janeiro 
2029</v>
      </c>
      <c r="O182" s="2735" t="str">
        <v>fevereiro 
2029</v>
      </c>
      <c r="P182" s="2735" t="str">
        <v>março 
2029</v>
      </c>
      <c r="Q182" s="2735" t="str">
        <v>abril 
2029</v>
      </c>
      <c r="R182" s="2735" t="str">
        <v>maio 
2029</v>
      </c>
      <c r="S182" s="2735" t="str">
        <v>junho 
2029</v>
      </c>
      <c r="T182" s="2735" t="str">
        <v>julho 
2029</v>
      </c>
      <c r="U182" s="2735" t="str">
        <v>agosto 
2029</v>
      </c>
      <c r="V182" s="2735" t="str">
        <v>setembro 
2029</v>
      </c>
      <c r="W182" s="2735" t="str">
        <v>outubro 
2029</v>
      </c>
      <c r="X182" s="2735" t="str">
        <v>novembro 
2029</v>
      </c>
      <c r="Y182" s="2736" t="str">
        <v>dezembro 
2029</v>
      </c>
    </row>
    <row r="183" spans="1:25">
      <c r="A183" s="1994" t="str">
        <f>A$72</f>
        <v>mismo mes</v>
      </c>
      <c r="B183" s="1991"/>
      <c r="C183" s="1991"/>
      <c r="D183" s="1991"/>
      <c r="E183" s="1991"/>
      <c r="F183" s="1991"/>
      <c r="G183" s="1991"/>
      <c r="H183" s="1991"/>
      <c r="I183" s="1991"/>
      <c r="J183" s="1991"/>
      <c r="K183" s="1991"/>
      <c r="L183" s="1991"/>
      <c r="M183" s="1991"/>
      <c r="N183" s="603">
        <f t="array" aca="1" ref="N183:Y183" ca="1">B24:M24*Produção!$N$12</f>
        <v>0</v>
      </c>
      <c r="O183" s="603">
        <f ca="1"/>
        <v>0</v>
      </c>
      <c r="P183" s="603">
        <f ca="1"/>
        <v>0</v>
      </c>
      <c r="Q183" s="603">
        <f ca="1"/>
        <v>0</v>
      </c>
      <c r="R183" s="603">
        <f ca="1"/>
        <v>0</v>
      </c>
      <c r="S183" s="603">
        <f ca="1"/>
        <v>0</v>
      </c>
      <c r="T183" s="603">
        <f ca="1"/>
        <v>0</v>
      </c>
      <c r="U183" s="603">
        <f ca="1"/>
        <v>0</v>
      </c>
      <c r="V183" s="603">
        <f ca="1"/>
        <v>0</v>
      </c>
      <c r="W183" s="603">
        <f ca="1"/>
        <v>0</v>
      </c>
      <c r="X183" s="603">
        <f ca="1"/>
        <v>0</v>
      </c>
      <c r="Y183" s="2006">
        <f ca="1"/>
        <v>0</v>
      </c>
    </row>
    <row r="184" spans="1:25">
      <c r="A184" s="1995" t="str">
        <f>A$73</f>
        <v>1 mes antes</v>
      </c>
      <c r="B184" s="1991"/>
      <c r="C184" s="1991"/>
      <c r="D184" s="1991"/>
      <c r="E184" s="1991"/>
      <c r="F184" s="1991"/>
      <c r="G184" s="1991"/>
      <c r="H184" s="1991"/>
      <c r="I184" s="1991"/>
      <c r="J184" s="1991"/>
      <c r="K184" s="1991"/>
      <c r="L184" s="1991"/>
      <c r="M184" s="603">
        <f t="array" aca="1" ref="M184:X184" ca="1">B24:M24*Produção!$M$12</f>
        <v>0</v>
      </c>
      <c r="N184" s="603">
        <f ca="1"/>
        <v>0</v>
      </c>
      <c r="O184" s="603">
        <f ca="1"/>
        <v>0</v>
      </c>
      <c r="P184" s="603">
        <f ca="1"/>
        <v>0</v>
      </c>
      <c r="Q184" s="603">
        <f ca="1"/>
        <v>0</v>
      </c>
      <c r="R184" s="603">
        <f ca="1"/>
        <v>0</v>
      </c>
      <c r="S184" s="603">
        <f ca="1"/>
        <v>0</v>
      </c>
      <c r="T184" s="603">
        <f ca="1"/>
        <v>0</v>
      </c>
      <c r="U184" s="603">
        <f ca="1"/>
        <v>0</v>
      </c>
      <c r="V184" s="603">
        <f ca="1"/>
        <v>0</v>
      </c>
      <c r="W184" s="603">
        <f ca="1"/>
        <v>0</v>
      </c>
      <c r="X184" s="603">
        <f ca="1"/>
        <v>0</v>
      </c>
      <c r="Y184" s="2007">
        <f t="array" aca="1" ref="Y184:Y195" ca="1">'Distr CV 4'!M184:M195</f>
        <v>0</v>
      </c>
    </row>
    <row r="185" spans="1:25">
      <c r="A185" s="1995" t="str">
        <f>A$74</f>
        <v>2 meses antes</v>
      </c>
      <c r="B185" s="1991"/>
      <c r="C185" s="1991"/>
      <c r="D185" s="1991"/>
      <c r="E185" s="1991"/>
      <c r="F185" s="1991"/>
      <c r="G185" s="1991"/>
      <c r="H185" s="1991"/>
      <c r="I185" s="1991"/>
      <c r="J185" s="1991"/>
      <c r="K185" s="1991"/>
      <c r="L185" s="603">
        <f t="array" aca="1" ref="L185:W185" ca="1">B24:M24*Produção!$L$12</f>
        <v>0</v>
      </c>
      <c r="M185" s="603">
        <f ca="1"/>
        <v>0</v>
      </c>
      <c r="N185" s="603">
        <f ca="1"/>
        <v>0</v>
      </c>
      <c r="O185" s="603">
        <f ca="1"/>
        <v>0</v>
      </c>
      <c r="P185" s="603">
        <f ca="1"/>
        <v>0</v>
      </c>
      <c r="Q185" s="603">
        <f ca="1"/>
        <v>0</v>
      </c>
      <c r="R185" s="603">
        <f ca="1"/>
        <v>0</v>
      </c>
      <c r="S185" s="603">
        <f ca="1"/>
        <v>0</v>
      </c>
      <c r="T185" s="603">
        <f ca="1"/>
        <v>0</v>
      </c>
      <c r="U185" s="603">
        <f ca="1"/>
        <v>0</v>
      </c>
      <c r="V185" s="603">
        <f ca="1"/>
        <v>0</v>
      </c>
      <c r="W185" s="603">
        <f ca="1"/>
        <v>0</v>
      </c>
      <c r="X185" s="1988">
        <f t="array" aca="1" ref="X185:X195" ca="1">'Distr CV 4'!L185:L195</f>
        <v>0</v>
      </c>
      <c r="Y185" s="2007">
        <f ca="1"/>
        <v>0</v>
      </c>
    </row>
    <row r="186" spans="1:25">
      <c r="A186" s="1995" t="str">
        <f>A$75</f>
        <v>3 meses antes</v>
      </c>
      <c r="B186" s="1991"/>
      <c r="C186" s="1991"/>
      <c r="D186" s="1991"/>
      <c r="E186" s="1991"/>
      <c r="F186" s="1991"/>
      <c r="G186" s="1991"/>
      <c r="H186" s="1991"/>
      <c r="I186" s="1991"/>
      <c r="J186" s="1991"/>
      <c r="K186" s="603">
        <f t="array" aca="1" ref="K186:V186" ca="1">B24:M24*Produção!$K$12</f>
        <v>0</v>
      </c>
      <c r="L186" s="603">
        <f ca="1"/>
        <v>0</v>
      </c>
      <c r="M186" s="603">
        <f ca="1"/>
        <v>0</v>
      </c>
      <c r="N186" s="603">
        <f ca="1"/>
        <v>0</v>
      </c>
      <c r="O186" s="603">
        <f ca="1"/>
        <v>0</v>
      </c>
      <c r="P186" s="603">
        <f ca="1"/>
        <v>0</v>
      </c>
      <c r="Q186" s="603">
        <f ca="1"/>
        <v>0</v>
      </c>
      <c r="R186" s="603">
        <f ca="1"/>
        <v>0</v>
      </c>
      <c r="S186" s="603">
        <f ca="1"/>
        <v>0</v>
      </c>
      <c r="T186" s="603">
        <f ca="1"/>
        <v>0</v>
      </c>
      <c r="U186" s="603">
        <f ca="1"/>
        <v>0</v>
      </c>
      <c r="V186" s="603">
        <f ca="1"/>
        <v>0</v>
      </c>
      <c r="W186" s="1988">
        <f t="array" aca="1" ref="W186:W195" ca="1">'Distr CV 4'!K186:K195</f>
        <v>0</v>
      </c>
      <c r="X186" s="1988">
        <f ca="1"/>
        <v>0</v>
      </c>
      <c r="Y186" s="2007">
        <f ca="1"/>
        <v>0</v>
      </c>
    </row>
    <row r="187" spans="1:25">
      <c r="A187" s="1995" t="str">
        <f>A$76</f>
        <v>4 meses antes</v>
      </c>
      <c r="B187" s="1991"/>
      <c r="C187" s="1991"/>
      <c r="D187" s="1991"/>
      <c r="E187" s="1991"/>
      <c r="F187" s="1991"/>
      <c r="G187" s="1991"/>
      <c r="H187" s="1991"/>
      <c r="I187" s="1991"/>
      <c r="J187" s="603">
        <f t="array" aca="1" ref="J187:U187" ca="1">B24:M24*Produção!$J$12</f>
        <v>0</v>
      </c>
      <c r="K187" s="603">
        <f ca="1"/>
        <v>0</v>
      </c>
      <c r="L187" s="603">
        <f ca="1"/>
        <v>0</v>
      </c>
      <c r="M187" s="603">
        <f ca="1"/>
        <v>0</v>
      </c>
      <c r="N187" s="603">
        <f ca="1"/>
        <v>0</v>
      </c>
      <c r="O187" s="603">
        <f ca="1"/>
        <v>0</v>
      </c>
      <c r="P187" s="603">
        <f ca="1"/>
        <v>0</v>
      </c>
      <c r="Q187" s="603">
        <f ca="1"/>
        <v>0</v>
      </c>
      <c r="R187" s="603">
        <f ca="1"/>
        <v>0</v>
      </c>
      <c r="S187" s="603">
        <f ca="1"/>
        <v>0</v>
      </c>
      <c r="T187" s="603">
        <f ca="1"/>
        <v>0</v>
      </c>
      <c r="U187" s="603">
        <f ca="1"/>
        <v>0</v>
      </c>
      <c r="V187" s="1988">
        <f t="array" aca="1" ref="V187:V195" ca="1">'Distr CV 4'!J187:J195</f>
        <v>0</v>
      </c>
      <c r="W187" s="1988">
        <f ca="1"/>
        <v>0</v>
      </c>
      <c r="X187" s="1988">
        <f ca="1"/>
        <v>0</v>
      </c>
      <c r="Y187" s="2007">
        <f ca="1"/>
        <v>0</v>
      </c>
    </row>
    <row r="188" spans="1:25">
      <c r="A188" s="1995" t="str">
        <f>A$77</f>
        <v>5 meses antes</v>
      </c>
      <c r="B188" s="1991"/>
      <c r="C188" s="1991"/>
      <c r="D188" s="1991"/>
      <c r="E188" s="1991"/>
      <c r="F188" s="1991"/>
      <c r="G188" s="1991"/>
      <c r="H188" s="1991"/>
      <c r="I188" s="603">
        <f t="array" aca="1" ref="I188:T188" ca="1">B24:M24*Produção!$I$12</f>
        <v>0</v>
      </c>
      <c r="J188" s="603">
        <f ca="1"/>
        <v>0</v>
      </c>
      <c r="K188" s="603">
        <f ca="1"/>
        <v>0</v>
      </c>
      <c r="L188" s="603">
        <f ca="1"/>
        <v>0</v>
      </c>
      <c r="M188" s="603">
        <f ca="1"/>
        <v>0</v>
      </c>
      <c r="N188" s="603">
        <f ca="1"/>
        <v>0</v>
      </c>
      <c r="O188" s="603">
        <f ca="1"/>
        <v>0</v>
      </c>
      <c r="P188" s="603">
        <f ca="1"/>
        <v>0</v>
      </c>
      <c r="Q188" s="603">
        <f ca="1"/>
        <v>0</v>
      </c>
      <c r="R188" s="603">
        <f ca="1"/>
        <v>0</v>
      </c>
      <c r="S188" s="603">
        <f ca="1"/>
        <v>0</v>
      </c>
      <c r="T188" s="603">
        <f ca="1"/>
        <v>0</v>
      </c>
      <c r="U188" s="1988">
        <f t="array" aca="1" ref="U188:U195" ca="1">'Distr CV 4'!I188:I195</f>
        <v>0</v>
      </c>
      <c r="V188" s="1988">
        <f ca="1"/>
        <v>0</v>
      </c>
      <c r="W188" s="1988">
        <f ca="1"/>
        <v>0</v>
      </c>
      <c r="X188" s="1988">
        <f ca="1"/>
        <v>0</v>
      </c>
      <c r="Y188" s="2007">
        <f ca="1"/>
        <v>0</v>
      </c>
    </row>
    <row r="189" spans="1:25">
      <c r="A189" s="1995" t="str">
        <f>A$78</f>
        <v>6 meses antes</v>
      </c>
      <c r="B189" s="1991"/>
      <c r="C189" s="1991"/>
      <c r="D189" s="1991"/>
      <c r="E189" s="1991"/>
      <c r="F189" s="1991"/>
      <c r="G189" s="1991"/>
      <c r="H189" s="603">
        <f t="array" aca="1" ref="H189:S189" ca="1">B24:M24*Produção!$H$12</f>
        <v>0</v>
      </c>
      <c r="I189" s="603">
        <f ca="1"/>
        <v>0</v>
      </c>
      <c r="J189" s="603">
        <f ca="1"/>
        <v>0</v>
      </c>
      <c r="K189" s="603">
        <f ca="1"/>
        <v>0</v>
      </c>
      <c r="L189" s="603">
        <f ca="1"/>
        <v>0</v>
      </c>
      <c r="M189" s="603">
        <f ca="1"/>
        <v>0</v>
      </c>
      <c r="N189" s="603">
        <f ca="1"/>
        <v>0</v>
      </c>
      <c r="O189" s="603">
        <f ca="1"/>
        <v>0</v>
      </c>
      <c r="P189" s="603">
        <f ca="1"/>
        <v>0</v>
      </c>
      <c r="Q189" s="603">
        <f ca="1"/>
        <v>0</v>
      </c>
      <c r="R189" s="603">
        <f ca="1"/>
        <v>0</v>
      </c>
      <c r="S189" s="603">
        <f ca="1"/>
        <v>0</v>
      </c>
      <c r="T189" s="1988">
        <f t="array" aca="1" ref="T189:T195" ca="1">'Distr CV 4'!H189:H195</f>
        <v>0</v>
      </c>
      <c r="U189" s="1988">
        <f ca="1"/>
        <v>0</v>
      </c>
      <c r="V189" s="1988">
        <f ca="1"/>
        <v>0</v>
      </c>
      <c r="W189" s="1988">
        <f ca="1"/>
        <v>0</v>
      </c>
      <c r="X189" s="1988">
        <f ca="1"/>
        <v>0</v>
      </c>
      <c r="Y189" s="2007">
        <f ca="1"/>
        <v>0</v>
      </c>
    </row>
    <row r="190" spans="1:25">
      <c r="A190" s="1995" t="str">
        <f>A$79</f>
        <v>7 meses antes</v>
      </c>
      <c r="B190" s="1991"/>
      <c r="C190" s="1991"/>
      <c r="D190" s="1991"/>
      <c r="E190" s="1991"/>
      <c r="F190" s="1991"/>
      <c r="G190" s="603">
        <f t="array" aca="1" ref="G190:R190" ca="1">B24:M24*Produção!$G$12</f>
        <v>0</v>
      </c>
      <c r="H190" s="603">
        <f ca="1"/>
        <v>0</v>
      </c>
      <c r="I190" s="603">
        <f ca="1"/>
        <v>0</v>
      </c>
      <c r="J190" s="603">
        <f ca="1"/>
        <v>0</v>
      </c>
      <c r="K190" s="603">
        <f ca="1"/>
        <v>0</v>
      </c>
      <c r="L190" s="603">
        <f ca="1"/>
        <v>0</v>
      </c>
      <c r="M190" s="603">
        <f ca="1"/>
        <v>0</v>
      </c>
      <c r="N190" s="603">
        <f ca="1"/>
        <v>0</v>
      </c>
      <c r="O190" s="603">
        <f ca="1"/>
        <v>0</v>
      </c>
      <c r="P190" s="603">
        <f ca="1"/>
        <v>0</v>
      </c>
      <c r="Q190" s="603">
        <f ca="1"/>
        <v>0</v>
      </c>
      <c r="R190" s="603">
        <f ca="1"/>
        <v>0</v>
      </c>
      <c r="S190" s="1992">
        <f t="array" aca="1" ref="S190:S195" ca="1">'Distr CV 4'!G190:G195</f>
        <v>0</v>
      </c>
      <c r="T190" s="1992">
        <f ca="1"/>
        <v>0</v>
      </c>
      <c r="U190" s="1992">
        <f ca="1"/>
        <v>0</v>
      </c>
      <c r="V190" s="1992">
        <f ca="1"/>
        <v>0</v>
      </c>
      <c r="W190" s="1992">
        <f ca="1"/>
        <v>0</v>
      </c>
      <c r="X190" s="1992">
        <f ca="1"/>
        <v>0</v>
      </c>
      <c r="Y190" s="2010">
        <f ca="1"/>
        <v>0</v>
      </c>
    </row>
    <row r="191" spans="1:25">
      <c r="A191" s="1995" t="str">
        <f>A$80</f>
        <v>8 meses antes</v>
      </c>
      <c r="B191" s="1991"/>
      <c r="C191" s="1991"/>
      <c r="D191" s="1991"/>
      <c r="E191" s="1991"/>
      <c r="F191" s="603">
        <f t="array" aca="1" ref="F191:Q191" ca="1">B24:M24*Produção!$F$12</f>
        <v>0</v>
      </c>
      <c r="G191" s="603">
        <f ca="1"/>
        <v>0</v>
      </c>
      <c r="H191" s="603">
        <f ca="1"/>
        <v>0</v>
      </c>
      <c r="I191" s="603">
        <f ca="1"/>
        <v>0</v>
      </c>
      <c r="J191" s="603">
        <f ca="1"/>
        <v>0</v>
      </c>
      <c r="K191" s="603">
        <f ca="1"/>
        <v>0</v>
      </c>
      <c r="L191" s="603">
        <f ca="1"/>
        <v>0</v>
      </c>
      <c r="M191" s="603">
        <f ca="1"/>
        <v>0</v>
      </c>
      <c r="N191" s="603">
        <f ca="1"/>
        <v>0</v>
      </c>
      <c r="O191" s="603">
        <f ca="1"/>
        <v>0</v>
      </c>
      <c r="P191" s="603">
        <f ca="1"/>
        <v>0</v>
      </c>
      <c r="Q191" s="603">
        <f ca="1"/>
        <v>0</v>
      </c>
      <c r="R191" s="1992">
        <f t="array" aca="1" ref="R191:R195" ca="1">'Distr CV 4'!F191:F195</f>
        <v>0</v>
      </c>
      <c r="S191" s="1992">
        <f ca="1"/>
        <v>0</v>
      </c>
      <c r="T191" s="1992">
        <f ca="1"/>
        <v>0</v>
      </c>
      <c r="U191" s="1992">
        <f ca="1"/>
        <v>0</v>
      </c>
      <c r="V191" s="1992">
        <f ca="1"/>
        <v>0</v>
      </c>
      <c r="W191" s="1992">
        <f ca="1"/>
        <v>0</v>
      </c>
      <c r="X191" s="1992">
        <f ca="1"/>
        <v>0</v>
      </c>
      <c r="Y191" s="2010">
        <f ca="1"/>
        <v>0</v>
      </c>
    </row>
    <row r="192" spans="1:25">
      <c r="A192" s="1995" t="str">
        <f>A$81</f>
        <v>9 meses antes</v>
      </c>
      <c r="B192" s="1991"/>
      <c r="C192" s="1991"/>
      <c r="D192" s="1991"/>
      <c r="E192" s="603">
        <f t="array" aca="1" ref="E192:P192" ca="1">B24:M24*Produção!$E$12</f>
        <v>0</v>
      </c>
      <c r="F192" s="603">
        <f ca="1"/>
        <v>0</v>
      </c>
      <c r="G192" s="603">
        <f ca="1"/>
        <v>0</v>
      </c>
      <c r="H192" s="603">
        <f ca="1"/>
        <v>0</v>
      </c>
      <c r="I192" s="603">
        <f ca="1"/>
        <v>0</v>
      </c>
      <c r="J192" s="603">
        <f ca="1"/>
        <v>0</v>
      </c>
      <c r="K192" s="603">
        <f ca="1"/>
        <v>0</v>
      </c>
      <c r="L192" s="603">
        <f ca="1"/>
        <v>0</v>
      </c>
      <c r="M192" s="603">
        <f ca="1"/>
        <v>0</v>
      </c>
      <c r="N192" s="603">
        <f ca="1"/>
        <v>0</v>
      </c>
      <c r="O192" s="603">
        <f ca="1"/>
        <v>0</v>
      </c>
      <c r="P192" s="603">
        <f ca="1"/>
        <v>0</v>
      </c>
      <c r="Q192" s="1992">
        <f t="array" aca="1" ref="Q192:Q195" ca="1">'Distr CV 4'!E192:E195</f>
        <v>0</v>
      </c>
      <c r="R192" s="1992">
        <f ca="1"/>
        <v>0</v>
      </c>
      <c r="S192" s="1992">
        <f ca="1"/>
        <v>0</v>
      </c>
      <c r="T192" s="1992">
        <f ca="1"/>
        <v>0</v>
      </c>
      <c r="U192" s="1992">
        <f ca="1"/>
        <v>0</v>
      </c>
      <c r="V192" s="1992">
        <f ca="1"/>
        <v>0</v>
      </c>
      <c r="W192" s="1992">
        <f ca="1"/>
        <v>0</v>
      </c>
      <c r="X192" s="1992">
        <f ca="1"/>
        <v>0</v>
      </c>
      <c r="Y192" s="2010">
        <f ca="1"/>
        <v>0</v>
      </c>
    </row>
    <row r="193" spans="1:25">
      <c r="A193" s="1995" t="str">
        <f>A$82</f>
        <v>10 meses antes</v>
      </c>
      <c r="B193" s="1991"/>
      <c r="C193" s="1991"/>
      <c r="D193" s="603">
        <f t="array" aca="1" ref="D193:O193" ca="1">B24:M24*Produção!$D$12</f>
        <v>0</v>
      </c>
      <c r="E193" s="603">
        <f ca="1"/>
        <v>0</v>
      </c>
      <c r="F193" s="603">
        <f ca="1"/>
        <v>0</v>
      </c>
      <c r="G193" s="603">
        <f ca="1"/>
        <v>0</v>
      </c>
      <c r="H193" s="603">
        <f ca="1"/>
        <v>0</v>
      </c>
      <c r="I193" s="603">
        <f ca="1"/>
        <v>0</v>
      </c>
      <c r="J193" s="603">
        <f ca="1"/>
        <v>0</v>
      </c>
      <c r="K193" s="603">
        <f ca="1"/>
        <v>0</v>
      </c>
      <c r="L193" s="603">
        <f ca="1"/>
        <v>0</v>
      </c>
      <c r="M193" s="603">
        <f ca="1"/>
        <v>0</v>
      </c>
      <c r="N193" s="603">
        <f ca="1"/>
        <v>0</v>
      </c>
      <c r="O193" s="603">
        <f ca="1"/>
        <v>0</v>
      </c>
      <c r="P193" s="1992">
        <f t="array" aca="1" ref="P193:P195" ca="1">'Distr CV 4'!D193:D195</f>
        <v>0</v>
      </c>
      <c r="Q193" s="1992">
        <f ca="1"/>
        <v>0</v>
      </c>
      <c r="R193" s="1992">
        <f ca="1"/>
        <v>0</v>
      </c>
      <c r="S193" s="1992">
        <f ca="1"/>
        <v>0</v>
      </c>
      <c r="T193" s="1992">
        <f ca="1"/>
        <v>0</v>
      </c>
      <c r="U193" s="1992">
        <f ca="1"/>
        <v>0</v>
      </c>
      <c r="V193" s="1992">
        <f ca="1"/>
        <v>0</v>
      </c>
      <c r="W193" s="1992">
        <f ca="1"/>
        <v>0</v>
      </c>
      <c r="X193" s="1992">
        <f ca="1"/>
        <v>0</v>
      </c>
      <c r="Y193" s="2010">
        <f ca="1"/>
        <v>0</v>
      </c>
    </row>
    <row r="194" spans="1:25">
      <c r="A194" s="1995" t="str">
        <f>A$83</f>
        <v>11 meses antes</v>
      </c>
      <c r="B194" s="1991"/>
      <c r="C194" s="603">
        <f t="array" aca="1" ref="C194:N194" ca="1">B24:M24*Produção!$C$12</f>
        <v>0</v>
      </c>
      <c r="D194" s="603">
        <f ca="1"/>
        <v>0</v>
      </c>
      <c r="E194" s="603">
        <f ca="1"/>
        <v>0</v>
      </c>
      <c r="F194" s="603">
        <f ca="1"/>
        <v>0</v>
      </c>
      <c r="G194" s="603">
        <f ca="1"/>
        <v>0</v>
      </c>
      <c r="H194" s="603">
        <f ca="1"/>
        <v>0</v>
      </c>
      <c r="I194" s="603">
        <f ca="1"/>
        <v>0</v>
      </c>
      <c r="J194" s="603">
        <f ca="1"/>
        <v>0</v>
      </c>
      <c r="K194" s="603">
        <f ca="1"/>
        <v>0</v>
      </c>
      <c r="L194" s="603">
        <f ca="1"/>
        <v>0</v>
      </c>
      <c r="M194" s="603">
        <f ca="1"/>
        <v>0</v>
      </c>
      <c r="N194" s="603">
        <f ca="1"/>
        <v>0</v>
      </c>
      <c r="O194" s="1992">
        <f ca="1">'Distr CV 4'!C194</f>
        <v>0</v>
      </c>
      <c r="P194" s="1992">
        <f ca="1"/>
        <v>0</v>
      </c>
      <c r="Q194" s="1992">
        <f ca="1"/>
        <v>0</v>
      </c>
      <c r="R194" s="1992">
        <f ca="1"/>
        <v>0</v>
      </c>
      <c r="S194" s="1992">
        <f ca="1"/>
        <v>0</v>
      </c>
      <c r="T194" s="1992">
        <f ca="1"/>
        <v>0</v>
      </c>
      <c r="U194" s="1992">
        <f ca="1"/>
        <v>0</v>
      </c>
      <c r="V194" s="1992">
        <f ca="1"/>
        <v>0</v>
      </c>
      <c r="W194" s="1992">
        <f ca="1"/>
        <v>0</v>
      </c>
      <c r="X194" s="1992">
        <f ca="1"/>
        <v>0</v>
      </c>
      <c r="Y194" s="2010">
        <f ca="1"/>
        <v>0</v>
      </c>
    </row>
    <row r="195" spans="1:25" ht="13.5" thickBot="1">
      <c r="A195" s="1995" t="str">
        <f>A$84</f>
        <v>12 meses antes</v>
      </c>
      <c r="B195" s="603">
        <f t="array" aca="1" ref="B195:M195" ca="1">B24:M24*Produção!$B$12</f>
        <v>0</v>
      </c>
      <c r="C195" s="603">
        <f ca="1"/>
        <v>0</v>
      </c>
      <c r="D195" s="603">
        <f ca="1"/>
        <v>0</v>
      </c>
      <c r="E195" s="603">
        <f ca="1"/>
        <v>0</v>
      </c>
      <c r="F195" s="603">
        <f ca="1"/>
        <v>0</v>
      </c>
      <c r="G195" s="603">
        <f ca="1"/>
        <v>0</v>
      </c>
      <c r="H195" s="603">
        <f ca="1"/>
        <v>0</v>
      </c>
      <c r="I195" s="603">
        <f ca="1"/>
        <v>0</v>
      </c>
      <c r="J195" s="603">
        <f ca="1"/>
        <v>0</v>
      </c>
      <c r="K195" s="603">
        <f ca="1"/>
        <v>0</v>
      </c>
      <c r="L195" s="603">
        <f ca="1"/>
        <v>0</v>
      </c>
      <c r="M195" s="603">
        <f ca="1"/>
        <v>0</v>
      </c>
      <c r="N195" s="1991">
        <f ca="1">'Distr CV 4'!B195</f>
        <v>0</v>
      </c>
      <c r="O195" s="1992">
        <f ca="1">'Distr CV 4'!C195</f>
        <v>0</v>
      </c>
      <c r="P195" s="1992">
        <f ca="1"/>
        <v>0</v>
      </c>
      <c r="Q195" s="1992">
        <f ca="1"/>
        <v>0</v>
      </c>
      <c r="R195" s="1992">
        <f ca="1"/>
        <v>0</v>
      </c>
      <c r="S195" s="1992">
        <f ca="1"/>
        <v>0</v>
      </c>
      <c r="T195" s="1992">
        <f ca="1"/>
        <v>0</v>
      </c>
      <c r="U195" s="1992">
        <f ca="1"/>
        <v>0</v>
      </c>
      <c r="V195" s="1992">
        <f ca="1"/>
        <v>0</v>
      </c>
      <c r="W195" s="1992">
        <f ca="1"/>
        <v>0</v>
      </c>
      <c r="X195" s="1992">
        <f ca="1"/>
        <v>0</v>
      </c>
      <c r="Y195" s="2010">
        <f ca="1"/>
        <v>0</v>
      </c>
    </row>
    <row r="196" spans="1:25" ht="13.5" thickBot="1">
      <c r="A196" s="105" t="str">
        <f>"Totales CV "&amp;A$12</f>
        <v xml:space="preserve">Totales CV </v>
      </c>
      <c r="B196" s="607">
        <f t="shared" ref="B196:Y196" ca="1" si="15">SUM(B183:B195)</f>
        <v>0</v>
      </c>
      <c r="C196" s="607">
        <f t="shared" ca="1" si="15"/>
        <v>0</v>
      </c>
      <c r="D196" s="607">
        <f t="shared" ca="1" si="15"/>
        <v>0</v>
      </c>
      <c r="E196" s="607">
        <f t="shared" ca="1" si="15"/>
        <v>0</v>
      </c>
      <c r="F196" s="607">
        <f t="shared" ca="1" si="15"/>
        <v>0</v>
      </c>
      <c r="G196" s="607">
        <f t="shared" ca="1" si="15"/>
        <v>0</v>
      </c>
      <c r="H196" s="607">
        <f t="shared" ca="1" si="15"/>
        <v>0</v>
      </c>
      <c r="I196" s="607">
        <f t="shared" ca="1" si="15"/>
        <v>0</v>
      </c>
      <c r="J196" s="607">
        <f t="shared" ca="1" si="15"/>
        <v>0</v>
      </c>
      <c r="K196" s="607">
        <f t="shared" ca="1" si="15"/>
        <v>0</v>
      </c>
      <c r="L196" s="607">
        <f t="shared" ca="1" si="15"/>
        <v>0</v>
      </c>
      <c r="M196" s="607">
        <f t="shared" ca="1" si="15"/>
        <v>0</v>
      </c>
      <c r="N196" s="607">
        <f t="shared" ca="1" si="15"/>
        <v>0</v>
      </c>
      <c r="O196" s="607">
        <f t="shared" ca="1" si="15"/>
        <v>0</v>
      </c>
      <c r="P196" s="607">
        <f t="shared" ca="1" si="15"/>
        <v>0</v>
      </c>
      <c r="Q196" s="607">
        <f t="shared" ca="1" si="15"/>
        <v>0</v>
      </c>
      <c r="R196" s="607">
        <f t="shared" ca="1" si="15"/>
        <v>0</v>
      </c>
      <c r="S196" s="607">
        <f t="shared" ca="1" si="15"/>
        <v>0</v>
      </c>
      <c r="T196" s="607">
        <f t="shared" ca="1" si="15"/>
        <v>0</v>
      </c>
      <c r="U196" s="607">
        <f t="shared" ca="1" si="15"/>
        <v>0</v>
      </c>
      <c r="V196" s="607">
        <f t="shared" ca="1" si="15"/>
        <v>0</v>
      </c>
      <c r="W196" s="607">
        <f t="shared" ca="1" si="15"/>
        <v>0</v>
      </c>
      <c r="X196" s="607">
        <f t="shared" ca="1" si="15"/>
        <v>0</v>
      </c>
      <c r="Y196" s="2008">
        <f t="shared" ca="1" si="15"/>
        <v>0</v>
      </c>
    </row>
    <row r="197" spans="1:25" ht="13.5" thickBot="1">
      <c r="A197" s="105" t="str">
        <f>'Dados Básicos'!A28&amp;" sop. CV "&amp;$A$12</f>
        <v xml:space="preserve">IVA sop. CV </v>
      </c>
      <c r="B197" s="607">
        <f t="array" aca="1" ref="B197:Y197" ca="1">$K$181*B196:Y196</f>
        <v>0</v>
      </c>
      <c r="C197" s="607">
        <f ca="1"/>
        <v>0</v>
      </c>
      <c r="D197" s="607">
        <f ca="1"/>
        <v>0</v>
      </c>
      <c r="E197" s="607">
        <f ca="1"/>
        <v>0</v>
      </c>
      <c r="F197" s="607">
        <f ca="1"/>
        <v>0</v>
      </c>
      <c r="G197" s="607">
        <f ca="1"/>
        <v>0</v>
      </c>
      <c r="H197" s="607">
        <f ca="1"/>
        <v>0</v>
      </c>
      <c r="I197" s="607">
        <f ca="1"/>
        <v>0</v>
      </c>
      <c r="J197" s="607">
        <f ca="1"/>
        <v>0</v>
      </c>
      <c r="K197" s="607">
        <f ca="1"/>
        <v>0</v>
      </c>
      <c r="L197" s="607">
        <f ca="1"/>
        <v>0</v>
      </c>
      <c r="M197" s="607">
        <f ca="1"/>
        <v>0</v>
      </c>
      <c r="N197" s="607">
        <f ca="1"/>
        <v>0</v>
      </c>
      <c r="O197" s="607">
        <f ca="1"/>
        <v>0</v>
      </c>
      <c r="P197" s="607">
        <f ca="1"/>
        <v>0</v>
      </c>
      <c r="Q197" s="607">
        <f ca="1"/>
        <v>0</v>
      </c>
      <c r="R197" s="607">
        <f ca="1"/>
        <v>0</v>
      </c>
      <c r="S197" s="607">
        <f ca="1"/>
        <v>0</v>
      </c>
      <c r="T197" s="607">
        <f ca="1"/>
        <v>0</v>
      </c>
      <c r="U197" s="607">
        <f ca="1"/>
        <v>0</v>
      </c>
      <c r="V197" s="607">
        <f ca="1"/>
        <v>0</v>
      </c>
      <c r="W197" s="607">
        <f ca="1"/>
        <v>0</v>
      </c>
      <c r="X197" s="607">
        <f ca="1"/>
        <v>0</v>
      </c>
      <c r="Y197" s="2008">
        <f ca="1"/>
        <v>0</v>
      </c>
    </row>
    <row r="199" spans="1:25" ht="18.75" thickBot="1">
      <c r="A199" s="1993" t="str">
        <f>'Distr CV 0'!A199</f>
        <v xml:space="preserve">Compras / custos de producción por meses de </v>
      </c>
      <c r="I199" s="1993" t="str">
        <f>$I$109</f>
        <v>IVA NÃO incluido</v>
      </c>
      <c r="K199" s="2005">
        <f>Parametros!$F$29</f>
        <v>0.21</v>
      </c>
    </row>
    <row r="200" spans="1:25" ht="33" customHeight="1" thickBot="1">
      <c r="A200" s="457" t="str">
        <f>'Distr CV 0'!A200</f>
        <v>mes de compra / custo</v>
      </c>
      <c r="B200" s="2011" t="str">
        <f t="array" ref="B200:Y200">B$71:Y$71</f>
        <v>janeiro 
2028</v>
      </c>
      <c r="C200" s="2011" t="str">
        <v>fevereiro 
2028</v>
      </c>
      <c r="D200" s="2011" t="str">
        <v>março 
2028</v>
      </c>
      <c r="E200" s="2011" t="str">
        <v>abril 
2028</v>
      </c>
      <c r="F200" s="2011" t="str">
        <v>maio 
2028</v>
      </c>
      <c r="G200" s="2011" t="str">
        <v>junho 
2028</v>
      </c>
      <c r="H200" s="2011" t="str">
        <v>julho 
2028</v>
      </c>
      <c r="I200" s="2011" t="str">
        <v>agosto 
2028</v>
      </c>
      <c r="J200" s="2011" t="str">
        <v>setembro 
2028</v>
      </c>
      <c r="K200" s="2011" t="str">
        <v>outubro 
2028</v>
      </c>
      <c r="L200" s="2011" t="str">
        <v>novembro 
2028</v>
      </c>
      <c r="M200" s="2011" t="str">
        <v>dezembro 
2028</v>
      </c>
      <c r="N200" s="2734" t="str">
        <v>janeiro 
2029</v>
      </c>
      <c r="O200" s="2735" t="str">
        <v>fevereiro 
2029</v>
      </c>
      <c r="P200" s="2735" t="str">
        <v>março 
2029</v>
      </c>
      <c r="Q200" s="2735" t="str">
        <v>abril 
2029</v>
      </c>
      <c r="R200" s="2735" t="str">
        <v>maio 
2029</v>
      </c>
      <c r="S200" s="2735" t="str">
        <v>junho 
2029</v>
      </c>
      <c r="T200" s="2735" t="str">
        <v>julho 
2029</v>
      </c>
      <c r="U200" s="2735" t="str">
        <v>agosto 
2029</v>
      </c>
      <c r="V200" s="2735" t="str">
        <v>setembro 
2029</v>
      </c>
      <c r="W200" s="2735" t="str">
        <v>outubro 
2029</v>
      </c>
      <c r="X200" s="2735" t="str">
        <v>novembro 
2029</v>
      </c>
      <c r="Y200" s="2736" t="str">
        <v>dezembro 
2029</v>
      </c>
    </row>
    <row r="201" spans="1:25">
      <c r="A201" s="1994" t="str">
        <f>A$72</f>
        <v>mismo mes</v>
      </c>
      <c r="B201" s="1991"/>
      <c r="C201" s="1991"/>
      <c r="D201" s="1991"/>
      <c r="E201" s="1991"/>
      <c r="F201" s="1991"/>
      <c r="G201" s="1991"/>
      <c r="H201" s="1991"/>
      <c r="I201" s="1991"/>
      <c r="J201" s="1991"/>
      <c r="K201" s="1991"/>
      <c r="L201" s="1991"/>
      <c r="M201" s="1991"/>
      <c r="N201" s="603">
        <f t="array" aca="1" ref="N201:Y201" ca="1">B25:M25*Produção!$N$13</f>
        <v>0</v>
      </c>
      <c r="O201" s="603">
        <f ca="1"/>
        <v>0</v>
      </c>
      <c r="P201" s="603">
        <f ca="1"/>
        <v>0</v>
      </c>
      <c r="Q201" s="603">
        <f ca="1"/>
        <v>0</v>
      </c>
      <c r="R201" s="603">
        <f ca="1"/>
        <v>0</v>
      </c>
      <c r="S201" s="603">
        <f ca="1"/>
        <v>0</v>
      </c>
      <c r="T201" s="603">
        <f ca="1"/>
        <v>0</v>
      </c>
      <c r="U201" s="603">
        <f ca="1"/>
        <v>0</v>
      </c>
      <c r="V201" s="603">
        <f ca="1"/>
        <v>0</v>
      </c>
      <c r="W201" s="603">
        <f ca="1"/>
        <v>0</v>
      </c>
      <c r="X201" s="603">
        <f ca="1"/>
        <v>0</v>
      </c>
      <c r="Y201" s="2006">
        <f ca="1"/>
        <v>0</v>
      </c>
    </row>
    <row r="202" spans="1:25">
      <c r="A202" s="1995" t="str">
        <f>A$73</f>
        <v>1 mes antes</v>
      </c>
      <c r="B202" s="1991"/>
      <c r="C202" s="1991"/>
      <c r="D202" s="1991"/>
      <c r="E202" s="1991"/>
      <c r="F202" s="1991"/>
      <c r="G202" s="1991"/>
      <c r="H202" s="1991"/>
      <c r="I202" s="1991"/>
      <c r="J202" s="1991"/>
      <c r="K202" s="1991"/>
      <c r="L202" s="1991"/>
      <c r="M202" s="603">
        <f t="array" aca="1" ref="M202:X202" ca="1">B25:M25*Produção!$M$13</f>
        <v>0</v>
      </c>
      <c r="N202" s="603">
        <f ca="1"/>
        <v>0</v>
      </c>
      <c r="O202" s="603">
        <f ca="1"/>
        <v>0</v>
      </c>
      <c r="P202" s="603">
        <f ca="1"/>
        <v>0</v>
      </c>
      <c r="Q202" s="603">
        <f ca="1"/>
        <v>0</v>
      </c>
      <c r="R202" s="603">
        <f ca="1"/>
        <v>0</v>
      </c>
      <c r="S202" s="603">
        <f ca="1"/>
        <v>0</v>
      </c>
      <c r="T202" s="603">
        <f ca="1"/>
        <v>0</v>
      </c>
      <c r="U202" s="603">
        <f ca="1"/>
        <v>0</v>
      </c>
      <c r="V202" s="603">
        <f ca="1"/>
        <v>0</v>
      </c>
      <c r="W202" s="603">
        <f ca="1"/>
        <v>0</v>
      </c>
      <c r="X202" s="603">
        <f ca="1"/>
        <v>0</v>
      </c>
      <c r="Y202" s="2007">
        <f t="array" aca="1" ref="Y202:Y213" ca="1">'Distr CV 4'!M202:M213</f>
        <v>0</v>
      </c>
    </row>
    <row r="203" spans="1:25">
      <c r="A203" s="1995" t="str">
        <f>A$74</f>
        <v>2 meses antes</v>
      </c>
      <c r="B203" s="1991"/>
      <c r="C203" s="1991"/>
      <c r="D203" s="1991"/>
      <c r="E203" s="1991"/>
      <c r="F203" s="1991"/>
      <c r="G203" s="1991"/>
      <c r="H203" s="1991"/>
      <c r="I203" s="1991"/>
      <c r="J203" s="1991"/>
      <c r="K203" s="1991"/>
      <c r="L203" s="603">
        <f t="array" aca="1" ref="L203:W203" ca="1">B25:M25*Produção!$L$13</f>
        <v>0</v>
      </c>
      <c r="M203" s="603">
        <f ca="1"/>
        <v>0</v>
      </c>
      <c r="N203" s="603">
        <f ca="1"/>
        <v>0</v>
      </c>
      <c r="O203" s="603">
        <f ca="1"/>
        <v>0</v>
      </c>
      <c r="P203" s="603">
        <f ca="1"/>
        <v>0</v>
      </c>
      <c r="Q203" s="603">
        <f ca="1"/>
        <v>0</v>
      </c>
      <c r="R203" s="603">
        <f ca="1"/>
        <v>0</v>
      </c>
      <c r="S203" s="603">
        <f ca="1"/>
        <v>0</v>
      </c>
      <c r="T203" s="603">
        <f ca="1"/>
        <v>0</v>
      </c>
      <c r="U203" s="603">
        <f ca="1"/>
        <v>0</v>
      </c>
      <c r="V203" s="603">
        <f ca="1"/>
        <v>0</v>
      </c>
      <c r="W203" s="603">
        <f ca="1"/>
        <v>0</v>
      </c>
      <c r="X203" s="1988">
        <f t="array" aca="1" ref="X203:X213" ca="1">'Distr CV 4'!L203:L213</f>
        <v>0</v>
      </c>
      <c r="Y203" s="2007">
        <f ca="1"/>
        <v>0</v>
      </c>
    </row>
    <row r="204" spans="1:25">
      <c r="A204" s="1995" t="str">
        <f>A$75</f>
        <v>3 meses antes</v>
      </c>
      <c r="B204" s="1991"/>
      <c r="C204" s="1991"/>
      <c r="D204" s="1991"/>
      <c r="E204" s="1991"/>
      <c r="F204" s="1991"/>
      <c r="G204" s="1991"/>
      <c r="H204" s="1991"/>
      <c r="I204" s="1991"/>
      <c r="J204" s="1991"/>
      <c r="K204" s="603">
        <f t="array" aca="1" ref="K204:V204" ca="1">B25:M25*Produção!$K$13</f>
        <v>0</v>
      </c>
      <c r="L204" s="603">
        <f ca="1"/>
        <v>0</v>
      </c>
      <c r="M204" s="603">
        <f ca="1"/>
        <v>0</v>
      </c>
      <c r="N204" s="603">
        <f ca="1"/>
        <v>0</v>
      </c>
      <c r="O204" s="603">
        <f ca="1"/>
        <v>0</v>
      </c>
      <c r="P204" s="603">
        <f ca="1"/>
        <v>0</v>
      </c>
      <c r="Q204" s="603">
        <f ca="1"/>
        <v>0</v>
      </c>
      <c r="R204" s="603">
        <f ca="1"/>
        <v>0</v>
      </c>
      <c r="S204" s="603">
        <f ca="1"/>
        <v>0</v>
      </c>
      <c r="T204" s="603">
        <f ca="1"/>
        <v>0</v>
      </c>
      <c r="U204" s="603">
        <f ca="1"/>
        <v>0</v>
      </c>
      <c r="V204" s="603">
        <f ca="1"/>
        <v>0</v>
      </c>
      <c r="W204" s="1988">
        <f t="array" aca="1" ref="W204:W213" ca="1">'Distr CV 4'!K204:K213</f>
        <v>0</v>
      </c>
      <c r="X204" s="1988">
        <f ca="1"/>
        <v>0</v>
      </c>
      <c r="Y204" s="2007">
        <f ca="1"/>
        <v>0</v>
      </c>
    </row>
    <row r="205" spans="1:25">
      <c r="A205" s="1995" t="str">
        <f>A$76</f>
        <v>4 meses antes</v>
      </c>
      <c r="B205" s="1991"/>
      <c r="C205" s="1991"/>
      <c r="D205" s="1991"/>
      <c r="E205" s="1991"/>
      <c r="F205" s="1991"/>
      <c r="G205" s="1991"/>
      <c r="H205" s="1991"/>
      <c r="I205" s="1991"/>
      <c r="J205" s="603">
        <f t="array" aca="1" ref="J205:U205" ca="1">B25:M25*Produção!$J$13</f>
        <v>0</v>
      </c>
      <c r="K205" s="603">
        <f ca="1"/>
        <v>0</v>
      </c>
      <c r="L205" s="603">
        <f ca="1"/>
        <v>0</v>
      </c>
      <c r="M205" s="603">
        <f ca="1"/>
        <v>0</v>
      </c>
      <c r="N205" s="603">
        <f ca="1"/>
        <v>0</v>
      </c>
      <c r="O205" s="603">
        <f ca="1"/>
        <v>0</v>
      </c>
      <c r="P205" s="603">
        <f ca="1"/>
        <v>0</v>
      </c>
      <c r="Q205" s="603">
        <f ca="1"/>
        <v>0</v>
      </c>
      <c r="R205" s="603">
        <f ca="1"/>
        <v>0</v>
      </c>
      <c r="S205" s="603">
        <f ca="1"/>
        <v>0</v>
      </c>
      <c r="T205" s="603">
        <f ca="1"/>
        <v>0</v>
      </c>
      <c r="U205" s="603">
        <f ca="1"/>
        <v>0</v>
      </c>
      <c r="V205" s="1988">
        <f t="array" aca="1" ref="V205:V213" ca="1">'Distr CV 4'!J205:J213</f>
        <v>0</v>
      </c>
      <c r="W205" s="1988">
        <f ca="1"/>
        <v>0</v>
      </c>
      <c r="X205" s="1988">
        <f ca="1"/>
        <v>0</v>
      </c>
      <c r="Y205" s="2007">
        <f ca="1"/>
        <v>0</v>
      </c>
    </row>
    <row r="206" spans="1:25">
      <c r="A206" s="1995" t="str">
        <f>A$77</f>
        <v>5 meses antes</v>
      </c>
      <c r="B206" s="1991"/>
      <c r="C206" s="1991"/>
      <c r="D206" s="1991"/>
      <c r="E206" s="1991"/>
      <c r="F206" s="1991"/>
      <c r="G206" s="1991"/>
      <c r="H206" s="1991"/>
      <c r="I206" s="603">
        <f t="array" aca="1" ref="I206:T206" ca="1">B25:M25*Produção!$I$13</f>
        <v>0</v>
      </c>
      <c r="J206" s="603">
        <f ca="1"/>
        <v>0</v>
      </c>
      <c r="K206" s="603">
        <f ca="1"/>
        <v>0</v>
      </c>
      <c r="L206" s="603">
        <f ca="1"/>
        <v>0</v>
      </c>
      <c r="M206" s="603">
        <f ca="1"/>
        <v>0</v>
      </c>
      <c r="N206" s="603">
        <f ca="1"/>
        <v>0</v>
      </c>
      <c r="O206" s="603">
        <f ca="1"/>
        <v>0</v>
      </c>
      <c r="P206" s="603">
        <f ca="1"/>
        <v>0</v>
      </c>
      <c r="Q206" s="603">
        <f ca="1"/>
        <v>0</v>
      </c>
      <c r="R206" s="603">
        <f ca="1"/>
        <v>0</v>
      </c>
      <c r="S206" s="603">
        <f ca="1"/>
        <v>0</v>
      </c>
      <c r="T206" s="603">
        <f ca="1"/>
        <v>0</v>
      </c>
      <c r="U206" s="1988">
        <f t="array" aca="1" ref="U206:U213" ca="1">'Distr CV 4'!I206:I213</f>
        <v>0</v>
      </c>
      <c r="V206" s="1988">
        <f ca="1"/>
        <v>0</v>
      </c>
      <c r="W206" s="1988">
        <f ca="1"/>
        <v>0</v>
      </c>
      <c r="X206" s="1988">
        <f ca="1"/>
        <v>0</v>
      </c>
      <c r="Y206" s="2007">
        <f ca="1"/>
        <v>0</v>
      </c>
    </row>
    <row r="207" spans="1:25">
      <c r="A207" s="1995" t="str">
        <f>A$78</f>
        <v>6 meses antes</v>
      </c>
      <c r="B207" s="1991"/>
      <c r="C207" s="1991"/>
      <c r="D207" s="1991"/>
      <c r="E207" s="1991"/>
      <c r="F207" s="1991"/>
      <c r="G207" s="1991"/>
      <c r="H207" s="603">
        <f t="array" aca="1" ref="H207:S207" ca="1">B25:M25*Produção!$H$13</f>
        <v>0</v>
      </c>
      <c r="I207" s="603">
        <f ca="1"/>
        <v>0</v>
      </c>
      <c r="J207" s="603">
        <f ca="1"/>
        <v>0</v>
      </c>
      <c r="K207" s="603">
        <f ca="1"/>
        <v>0</v>
      </c>
      <c r="L207" s="603">
        <f ca="1"/>
        <v>0</v>
      </c>
      <c r="M207" s="603">
        <f ca="1"/>
        <v>0</v>
      </c>
      <c r="N207" s="603">
        <f ca="1"/>
        <v>0</v>
      </c>
      <c r="O207" s="603">
        <f ca="1"/>
        <v>0</v>
      </c>
      <c r="P207" s="603">
        <f ca="1"/>
        <v>0</v>
      </c>
      <c r="Q207" s="603">
        <f ca="1"/>
        <v>0</v>
      </c>
      <c r="R207" s="603">
        <f ca="1"/>
        <v>0</v>
      </c>
      <c r="S207" s="603">
        <f ca="1"/>
        <v>0</v>
      </c>
      <c r="T207" s="1988">
        <f t="array" aca="1" ref="T207:T213" ca="1">'Distr CV 4'!H207:H213</f>
        <v>0</v>
      </c>
      <c r="U207" s="1988">
        <f ca="1"/>
        <v>0</v>
      </c>
      <c r="V207" s="1988">
        <f ca="1"/>
        <v>0</v>
      </c>
      <c r="W207" s="1988">
        <f ca="1"/>
        <v>0</v>
      </c>
      <c r="X207" s="1988">
        <f ca="1"/>
        <v>0</v>
      </c>
      <c r="Y207" s="2007">
        <f ca="1"/>
        <v>0</v>
      </c>
    </row>
    <row r="208" spans="1:25">
      <c r="A208" s="1995" t="str">
        <f>A$79</f>
        <v>7 meses antes</v>
      </c>
      <c r="B208" s="1991"/>
      <c r="C208" s="1991"/>
      <c r="D208" s="1991"/>
      <c r="E208" s="1991"/>
      <c r="F208" s="1991"/>
      <c r="G208" s="603">
        <f t="array" aca="1" ref="G208:R208" ca="1">B25:M25*Produção!$G$13</f>
        <v>0</v>
      </c>
      <c r="H208" s="603">
        <f ca="1"/>
        <v>0</v>
      </c>
      <c r="I208" s="603">
        <f ca="1"/>
        <v>0</v>
      </c>
      <c r="J208" s="603">
        <f ca="1"/>
        <v>0</v>
      </c>
      <c r="K208" s="603">
        <f ca="1"/>
        <v>0</v>
      </c>
      <c r="L208" s="603">
        <f ca="1"/>
        <v>0</v>
      </c>
      <c r="M208" s="603">
        <f ca="1"/>
        <v>0</v>
      </c>
      <c r="N208" s="603">
        <f ca="1"/>
        <v>0</v>
      </c>
      <c r="O208" s="603">
        <f ca="1"/>
        <v>0</v>
      </c>
      <c r="P208" s="603">
        <f ca="1"/>
        <v>0</v>
      </c>
      <c r="Q208" s="603">
        <f ca="1"/>
        <v>0</v>
      </c>
      <c r="R208" s="603">
        <f ca="1"/>
        <v>0</v>
      </c>
      <c r="S208" s="1992">
        <f t="array" aca="1" ref="S208:S213" ca="1">'Distr CV 4'!G208:G213</f>
        <v>0</v>
      </c>
      <c r="T208" s="1992">
        <f ca="1"/>
        <v>0</v>
      </c>
      <c r="U208" s="1992">
        <f ca="1"/>
        <v>0</v>
      </c>
      <c r="V208" s="1992">
        <f ca="1"/>
        <v>0</v>
      </c>
      <c r="W208" s="1992">
        <f ca="1"/>
        <v>0</v>
      </c>
      <c r="X208" s="1992">
        <f ca="1"/>
        <v>0</v>
      </c>
      <c r="Y208" s="2010">
        <f ca="1"/>
        <v>0</v>
      </c>
    </row>
    <row r="209" spans="1:25">
      <c r="A209" s="1995" t="str">
        <f>A$80</f>
        <v>8 meses antes</v>
      </c>
      <c r="B209" s="1991"/>
      <c r="C209" s="1991"/>
      <c r="D209" s="1991"/>
      <c r="E209" s="1991"/>
      <c r="F209" s="603">
        <f t="array" aca="1" ref="F209:Q209" ca="1">B25:M25*Produção!$F$13</f>
        <v>0</v>
      </c>
      <c r="G209" s="603">
        <f ca="1"/>
        <v>0</v>
      </c>
      <c r="H209" s="603">
        <f ca="1"/>
        <v>0</v>
      </c>
      <c r="I209" s="603">
        <f ca="1"/>
        <v>0</v>
      </c>
      <c r="J209" s="603">
        <f ca="1"/>
        <v>0</v>
      </c>
      <c r="K209" s="603">
        <f ca="1"/>
        <v>0</v>
      </c>
      <c r="L209" s="603">
        <f ca="1"/>
        <v>0</v>
      </c>
      <c r="M209" s="603">
        <f ca="1"/>
        <v>0</v>
      </c>
      <c r="N209" s="603">
        <f ca="1"/>
        <v>0</v>
      </c>
      <c r="O209" s="603">
        <f ca="1"/>
        <v>0</v>
      </c>
      <c r="P209" s="603">
        <f ca="1"/>
        <v>0</v>
      </c>
      <c r="Q209" s="603">
        <f ca="1"/>
        <v>0</v>
      </c>
      <c r="R209" s="1992">
        <f t="array" aca="1" ref="R209:R213" ca="1">'Distr CV 4'!F209:F213</f>
        <v>0</v>
      </c>
      <c r="S209" s="1992">
        <f ca="1"/>
        <v>0</v>
      </c>
      <c r="T209" s="1992">
        <f ca="1"/>
        <v>0</v>
      </c>
      <c r="U209" s="1992">
        <f ca="1"/>
        <v>0</v>
      </c>
      <c r="V209" s="1992">
        <f ca="1"/>
        <v>0</v>
      </c>
      <c r="W209" s="1992">
        <f ca="1"/>
        <v>0</v>
      </c>
      <c r="X209" s="1992">
        <f ca="1"/>
        <v>0</v>
      </c>
      <c r="Y209" s="2010">
        <f ca="1"/>
        <v>0</v>
      </c>
    </row>
    <row r="210" spans="1:25">
      <c r="A210" s="1995" t="str">
        <f>A$81</f>
        <v>9 meses antes</v>
      </c>
      <c r="B210" s="1991"/>
      <c r="C210" s="1991"/>
      <c r="D210" s="1991"/>
      <c r="E210" s="603">
        <f t="array" aca="1" ref="E210:P210" ca="1">B25:M25*Produção!$E$13</f>
        <v>0</v>
      </c>
      <c r="F210" s="603">
        <f ca="1"/>
        <v>0</v>
      </c>
      <c r="G210" s="603">
        <f ca="1"/>
        <v>0</v>
      </c>
      <c r="H210" s="603">
        <f ca="1"/>
        <v>0</v>
      </c>
      <c r="I210" s="603">
        <f ca="1"/>
        <v>0</v>
      </c>
      <c r="J210" s="603">
        <f ca="1"/>
        <v>0</v>
      </c>
      <c r="K210" s="603">
        <f ca="1"/>
        <v>0</v>
      </c>
      <c r="L210" s="603">
        <f ca="1"/>
        <v>0</v>
      </c>
      <c r="M210" s="603">
        <f ca="1"/>
        <v>0</v>
      </c>
      <c r="N210" s="603">
        <f ca="1"/>
        <v>0</v>
      </c>
      <c r="O210" s="603">
        <f ca="1"/>
        <v>0</v>
      </c>
      <c r="P210" s="603">
        <f ca="1"/>
        <v>0</v>
      </c>
      <c r="Q210" s="1992">
        <f t="array" aca="1" ref="Q210:Q213" ca="1">'Distr CV 4'!E210:E213</f>
        <v>0</v>
      </c>
      <c r="R210" s="1992">
        <f ca="1"/>
        <v>0</v>
      </c>
      <c r="S210" s="1992">
        <f ca="1"/>
        <v>0</v>
      </c>
      <c r="T210" s="1992">
        <f ca="1"/>
        <v>0</v>
      </c>
      <c r="U210" s="1992">
        <f ca="1"/>
        <v>0</v>
      </c>
      <c r="V210" s="1992">
        <f ca="1"/>
        <v>0</v>
      </c>
      <c r="W210" s="1992">
        <f ca="1"/>
        <v>0</v>
      </c>
      <c r="X210" s="1992">
        <f ca="1"/>
        <v>0</v>
      </c>
      <c r="Y210" s="2010">
        <f ca="1"/>
        <v>0</v>
      </c>
    </row>
    <row r="211" spans="1:25">
      <c r="A211" s="1995" t="str">
        <f>A$82</f>
        <v>10 meses antes</v>
      </c>
      <c r="B211" s="1991"/>
      <c r="C211" s="1991"/>
      <c r="D211" s="603">
        <f t="array" aca="1" ref="D211:O211" ca="1">B25:M25*Produção!$D$13</f>
        <v>0</v>
      </c>
      <c r="E211" s="603">
        <f ca="1"/>
        <v>0</v>
      </c>
      <c r="F211" s="603">
        <f ca="1"/>
        <v>0</v>
      </c>
      <c r="G211" s="603">
        <f ca="1"/>
        <v>0</v>
      </c>
      <c r="H211" s="603">
        <f ca="1"/>
        <v>0</v>
      </c>
      <c r="I211" s="603">
        <f ca="1"/>
        <v>0</v>
      </c>
      <c r="J211" s="603">
        <f ca="1"/>
        <v>0</v>
      </c>
      <c r="K211" s="603">
        <f ca="1"/>
        <v>0</v>
      </c>
      <c r="L211" s="603">
        <f ca="1"/>
        <v>0</v>
      </c>
      <c r="M211" s="603">
        <f ca="1"/>
        <v>0</v>
      </c>
      <c r="N211" s="603">
        <f ca="1"/>
        <v>0</v>
      </c>
      <c r="O211" s="603">
        <f ca="1"/>
        <v>0</v>
      </c>
      <c r="P211" s="1992">
        <f t="array" aca="1" ref="P211:P213" ca="1">'Distr CV 4'!D211:D213</f>
        <v>0</v>
      </c>
      <c r="Q211" s="1992">
        <f ca="1"/>
        <v>0</v>
      </c>
      <c r="R211" s="1992">
        <f ca="1"/>
        <v>0</v>
      </c>
      <c r="S211" s="1992">
        <f ca="1"/>
        <v>0</v>
      </c>
      <c r="T211" s="1992">
        <f ca="1"/>
        <v>0</v>
      </c>
      <c r="U211" s="1992">
        <f ca="1"/>
        <v>0</v>
      </c>
      <c r="V211" s="1992">
        <f ca="1"/>
        <v>0</v>
      </c>
      <c r="W211" s="1992">
        <f ca="1"/>
        <v>0</v>
      </c>
      <c r="X211" s="1992">
        <f ca="1"/>
        <v>0</v>
      </c>
      <c r="Y211" s="2010">
        <f ca="1"/>
        <v>0</v>
      </c>
    </row>
    <row r="212" spans="1:25">
      <c r="A212" s="1995" t="str">
        <f>A$83</f>
        <v>11 meses antes</v>
      </c>
      <c r="B212" s="1991"/>
      <c r="C212" s="603">
        <f t="array" aca="1" ref="C212:N212" ca="1">B25:M25*Produção!$C$13</f>
        <v>0</v>
      </c>
      <c r="D212" s="603">
        <f ca="1"/>
        <v>0</v>
      </c>
      <c r="E212" s="603">
        <f ca="1"/>
        <v>0</v>
      </c>
      <c r="F212" s="603">
        <f ca="1"/>
        <v>0</v>
      </c>
      <c r="G212" s="603">
        <f ca="1"/>
        <v>0</v>
      </c>
      <c r="H212" s="603">
        <f ca="1"/>
        <v>0</v>
      </c>
      <c r="I212" s="603">
        <f ca="1"/>
        <v>0</v>
      </c>
      <c r="J212" s="603">
        <f ca="1"/>
        <v>0</v>
      </c>
      <c r="K212" s="603">
        <f ca="1"/>
        <v>0</v>
      </c>
      <c r="L212" s="603">
        <f ca="1"/>
        <v>0</v>
      </c>
      <c r="M212" s="603">
        <f ca="1"/>
        <v>0</v>
      </c>
      <c r="N212" s="603">
        <f ca="1"/>
        <v>0</v>
      </c>
      <c r="O212" s="1992">
        <f ca="1">'Distr CV 4'!C212</f>
        <v>0</v>
      </c>
      <c r="P212" s="1992">
        <f ca="1"/>
        <v>0</v>
      </c>
      <c r="Q212" s="1992">
        <f ca="1"/>
        <v>0</v>
      </c>
      <c r="R212" s="1992">
        <f ca="1"/>
        <v>0</v>
      </c>
      <c r="S212" s="1992">
        <f ca="1"/>
        <v>0</v>
      </c>
      <c r="T212" s="1992">
        <f ca="1"/>
        <v>0</v>
      </c>
      <c r="U212" s="1992">
        <f ca="1"/>
        <v>0</v>
      </c>
      <c r="V212" s="1992">
        <f ca="1"/>
        <v>0</v>
      </c>
      <c r="W212" s="1992">
        <f ca="1"/>
        <v>0</v>
      </c>
      <c r="X212" s="1992">
        <f ca="1"/>
        <v>0</v>
      </c>
      <c r="Y212" s="2010">
        <f ca="1"/>
        <v>0</v>
      </c>
    </row>
    <row r="213" spans="1:25" ht="13.5" thickBot="1">
      <c r="A213" s="1995" t="str">
        <f>A$84</f>
        <v>12 meses antes</v>
      </c>
      <c r="B213" s="603">
        <f t="array" aca="1" ref="B213:M213" ca="1">B25:M25*Produção!$B$13</f>
        <v>0</v>
      </c>
      <c r="C213" s="603">
        <f ca="1"/>
        <v>0</v>
      </c>
      <c r="D213" s="603">
        <f ca="1"/>
        <v>0</v>
      </c>
      <c r="E213" s="603">
        <f ca="1"/>
        <v>0</v>
      </c>
      <c r="F213" s="603">
        <f ca="1"/>
        <v>0</v>
      </c>
      <c r="G213" s="603">
        <f ca="1"/>
        <v>0</v>
      </c>
      <c r="H213" s="603">
        <f ca="1"/>
        <v>0</v>
      </c>
      <c r="I213" s="603">
        <f ca="1"/>
        <v>0</v>
      </c>
      <c r="J213" s="603">
        <f ca="1"/>
        <v>0</v>
      </c>
      <c r="K213" s="603">
        <f ca="1"/>
        <v>0</v>
      </c>
      <c r="L213" s="603">
        <f ca="1"/>
        <v>0</v>
      </c>
      <c r="M213" s="603">
        <f ca="1"/>
        <v>0</v>
      </c>
      <c r="N213" s="1991">
        <f ca="1">'Distr CV 4'!B213</f>
        <v>0</v>
      </c>
      <c r="O213" s="1992">
        <f ca="1">'Distr CV 4'!C213</f>
        <v>0</v>
      </c>
      <c r="P213" s="1992">
        <f ca="1"/>
        <v>0</v>
      </c>
      <c r="Q213" s="1992">
        <f ca="1"/>
        <v>0</v>
      </c>
      <c r="R213" s="1992">
        <f ca="1"/>
        <v>0</v>
      </c>
      <c r="S213" s="1992">
        <f ca="1"/>
        <v>0</v>
      </c>
      <c r="T213" s="1992">
        <f ca="1"/>
        <v>0</v>
      </c>
      <c r="U213" s="1992">
        <f ca="1"/>
        <v>0</v>
      </c>
      <c r="V213" s="1992">
        <f ca="1"/>
        <v>0</v>
      </c>
      <c r="W213" s="1992">
        <f ca="1"/>
        <v>0</v>
      </c>
      <c r="X213" s="1992">
        <f ca="1"/>
        <v>0</v>
      </c>
      <c r="Y213" s="2010">
        <f ca="1"/>
        <v>0</v>
      </c>
    </row>
    <row r="214" spans="1:25" ht="13.5" thickBot="1">
      <c r="A214" s="105" t="str">
        <f>"Totales CV "&amp;A$13</f>
        <v xml:space="preserve">Totales CV </v>
      </c>
      <c r="B214" s="607">
        <f t="shared" ref="B214:Y214" ca="1" si="16">SUM(B201:B213)</f>
        <v>0</v>
      </c>
      <c r="C214" s="607">
        <f t="shared" ca="1" si="16"/>
        <v>0</v>
      </c>
      <c r="D214" s="607">
        <f t="shared" ca="1" si="16"/>
        <v>0</v>
      </c>
      <c r="E214" s="607">
        <f t="shared" ca="1" si="16"/>
        <v>0</v>
      </c>
      <c r="F214" s="607">
        <f t="shared" ca="1" si="16"/>
        <v>0</v>
      </c>
      <c r="G214" s="607">
        <f t="shared" ca="1" si="16"/>
        <v>0</v>
      </c>
      <c r="H214" s="607">
        <f t="shared" ca="1" si="16"/>
        <v>0</v>
      </c>
      <c r="I214" s="607">
        <f t="shared" ca="1" si="16"/>
        <v>0</v>
      </c>
      <c r="J214" s="607">
        <f t="shared" ca="1" si="16"/>
        <v>0</v>
      </c>
      <c r="K214" s="607">
        <f t="shared" ca="1" si="16"/>
        <v>0</v>
      </c>
      <c r="L214" s="607">
        <f t="shared" ca="1" si="16"/>
        <v>0</v>
      </c>
      <c r="M214" s="607">
        <f t="shared" ca="1" si="16"/>
        <v>0</v>
      </c>
      <c r="N214" s="607">
        <f t="shared" ca="1" si="16"/>
        <v>0</v>
      </c>
      <c r="O214" s="607">
        <f t="shared" ca="1" si="16"/>
        <v>0</v>
      </c>
      <c r="P214" s="607">
        <f t="shared" ca="1" si="16"/>
        <v>0</v>
      </c>
      <c r="Q214" s="607">
        <f t="shared" ca="1" si="16"/>
        <v>0</v>
      </c>
      <c r="R214" s="607">
        <f t="shared" ca="1" si="16"/>
        <v>0</v>
      </c>
      <c r="S214" s="607">
        <f t="shared" ca="1" si="16"/>
        <v>0</v>
      </c>
      <c r="T214" s="607">
        <f t="shared" ca="1" si="16"/>
        <v>0</v>
      </c>
      <c r="U214" s="607">
        <f t="shared" ca="1" si="16"/>
        <v>0</v>
      </c>
      <c r="V214" s="607">
        <f t="shared" ca="1" si="16"/>
        <v>0</v>
      </c>
      <c r="W214" s="607">
        <f t="shared" ca="1" si="16"/>
        <v>0</v>
      </c>
      <c r="X214" s="607">
        <f t="shared" ca="1" si="16"/>
        <v>0</v>
      </c>
      <c r="Y214" s="2008">
        <f t="shared" ca="1" si="16"/>
        <v>0</v>
      </c>
    </row>
    <row r="215" spans="1:25" ht="13.5" thickBot="1">
      <c r="A215" s="105" t="str">
        <f>'Dados Básicos'!A28&amp;" sop. CV "&amp;$A$13</f>
        <v xml:space="preserve">IVA sop. CV </v>
      </c>
      <c r="B215" s="607">
        <f t="array" aca="1" ref="B215:Y215" ca="1">$K$199*B214:Y214</f>
        <v>0</v>
      </c>
      <c r="C215" s="607">
        <f ca="1"/>
        <v>0</v>
      </c>
      <c r="D215" s="607">
        <f ca="1"/>
        <v>0</v>
      </c>
      <c r="E215" s="607">
        <f ca="1"/>
        <v>0</v>
      </c>
      <c r="F215" s="607">
        <f ca="1"/>
        <v>0</v>
      </c>
      <c r="G215" s="607">
        <f ca="1"/>
        <v>0</v>
      </c>
      <c r="H215" s="607">
        <f ca="1"/>
        <v>0</v>
      </c>
      <c r="I215" s="607">
        <f ca="1"/>
        <v>0</v>
      </c>
      <c r="J215" s="607">
        <f ca="1"/>
        <v>0</v>
      </c>
      <c r="K215" s="607">
        <f ca="1"/>
        <v>0</v>
      </c>
      <c r="L215" s="607">
        <f ca="1"/>
        <v>0</v>
      </c>
      <c r="M215" s="607">
        <f ca="1"/>
        <v>0</v>
      </c>
      <c r="N215" s="607">
        <f ca="1"/>
        <v>0</v>
      </c>
      <c r="O215" s="607">
        <f ca="1"/>
        <v>0</v>
      </c>
      <c r="P215" s="607">
        <f ca="1"/>
        <v>0</v>
      </c>
      <c r="Q215" s="607">
        <f ca="1"/>
        <v>0</v>
      </c>
      <c r="R215" s="607">
        <f ca="1"/>
        <v>0</v>
      </c>
      <c r="S215" s="607">
        <f ca="1"/>
        <v>0</v>
      </c>
      <c r="T215" s="607">
        <f ca="1"/>
        <v>0</v>
      </c>
      <c r="U215" s="607">
        <f ca="1"/>
        <v>0</v>
      </c>
      <c r="V215" s="607">
        <f ca="1"/>
        <v>0</v>
      </c>
      <c r="W215" s="607">
        <f ca="1"/>
        <v>0</v>
      </c>
      <c r="X215" s="607">
        <f ca="1"/>
        <v>0</v>
      </c>
      <c r="Y215" s="2008">
        <f ca="1"/>
        <v>0</v>
      </c>
    </row>
    <row r="217" spans="1:25" ht="18.75" thickBot="1">
      <c r="A217" s="1993" t="str">
        <f>'Distr CV 0'!A217</f>
        <v xml:space="preserve">Compras / custos de producción por meses de </v>
      </c>
      <c r="I217" s="1993" t="str">
        <f>$I$109</f>
        <v>IVA NÃO incluido</v>
      </c>
      <c r="K217" s="2005">
        <f>Parametros!$F$30</f>
        <v>0.21</v>
      </c>
    </row>
    <row r="218" spans="1:25" ht="33" customHeight="1" thickBot="1">
      <c r="A218" s="457" t="str">
        <f>'Distr CV 0'!A218</f>
        <v>mes de compra / custo</v>
      </c>
      <c r="B218" s="2011" t="str">
        <f t="array" ref="B218:Y218">B$71:Y$71</f>
        <v>janeiro 
2028</v>
      </c>
      <c r="C218" s="2011" t="str">
        <v>fevereiro 
2028</v>
      </c>
      <c r="D218" s="2011" t="str">
        <v>março 
2028</v>
      </c>
      <c r="E218" s="2011" t="str">
        <v>abril 
2028</v>
      </c>
      <c r="F218" s="2011" t="str">
        <v>maio 
2028</v>
      </c>
      <c r="G218" s="2011" t="str">
        <v>junho 
2028</v>
      </c>
      <c r="H218" s="2011" t="str">
        <v>julho 
2028</v>
      </c>
      <c r="I218" s="2011" t="str">
        <v>agosto 
2028</v>
      </c>
      <c r="J218" s="2011" t="str">
        <v>setembro 
2028</v>
      </c>
      <c r="K218" s="2011" t="str">
        <v>outubro 
2028</v>
      </c>
      <c r="L218" s="2011" t="str">
        <v>novembro 
2028</v>
      </c>
      <c r="M218" s="2011" t="str">
        <v>dezembro 
2028</v>
      </c>
      <c r="N218" s="2734" t="str">
        <v>janeiro 
2029</v>
      </c>
      <c r="O218" s="2735" t="str">
        <v>fevereiro 
2029</v>
      </c>
      <c r="P218" s="2735" t="str">
        <v>março 
2029</v>
      </c>
      <c r="Q218" s="2735" t="str">
        <v>abril 
2029</v>
      </c>
      <c r="R218" s="2735" t="str">
        <v>maio 
2029</v>
      </c>
      <c r="S218" s="2735" t="str">
        <v>junho 
2029</v>
      </c>
      <c r="T218" s="2735" t="str">
        <v>julho 
2029</v>
      </c>
      <c r="U218" s="2735" t="str">
        <v>agosto 
2029</v>
      </c>
      <c r="V218" s="2735" t="str">
        <v>setembro 
2029</v>
      </c>
      <c r="W218" s="2735" t="str">
        <v>outubro 
2029</v>
      </c>
      <c r="X218" s="2735" t="str">
        <v>novembro 
2029</v>
      </c>
      <c r="Y218" s="2736" t="str">
        <v>dezembro 
2029</v>
      </c>
    </row>
    <row r="219" spans="1:25">
      <c r="A219" s="1994" t="str">
        <f>A$72</f>
        <v>mismo mes</v>
      </c>
      <c r="B219" s="1991"/>
      <c r="C219" s="1991"/>
      <c r="D219" s="1991"/>
      <c r="E219" s="1991"/>
      <c r="F219" s="1991"/>
      <c r="G219" s="1991"/>
      <c r="H219" s="1991"/>
      <c r="I219" s="1991"/>
      <c r="J219" s="1991"/>
      <c r="K219" s="1991"/>
      <c r="L219" s="1991"/>
      <c r="M219" s="1991"/>
      <c r="N219" s="603">
        <f t="array" aca="1" ref="N219:Y219" ca="1">B26:M26*Produção!$N$14</f>
        <v>0</v>
      </c>
      <c r="O219" s="603">
        <f ca="1"/>
        <v>0</v>
      </c>
      <c r="P219" s="603">
        <f ca="1"/>
        <v>0</v>
      </c>
      <c r="Q219" s="603">
        <f ca="1"/>
        <v>0</v>
      </c>
      <c r="R219" s="603">
        <f ca="1"/>
        <v>0</v>
      </c>
      <c r="S219" s="603">
        <f ca="1"/>
        <v>0</v>
      </c>
      <c r="T219" s="603">
        <f ca="1"/>
        <v>0</v>
      </c>
      <c r="U219" s="603">
        <f ca="1"/>
        <v>0</v>
      </c>
      <c r="V219" s="603">
        <f ca="1"/>
        <v>0</v>
      </c>
      <c r="W219" s="603">
        <f ca="1"/>
        <v>0</v>
      </c>
      <c r="X219" s="603">
        <f ca="1"/>
        <v>0</v>
      </c>
      <c r="Y219" s="2006">
        <f ca="1"/>
        <v>0</v>
      </c>
    </row>
    <row r="220" spans="1:25">
      <c r="A220" s="1995" t="str">
        <f>A$73</f>
        <v>1 mes antes</v>
      </c>
      <c r="B220" s="1991"/>
      <c r="C220" s="1991"/>
      <c r="D220" s="1991"/>
      <c r="E220" s="1991"/>
      <c r="F220" s="1991"/>
      <c r="G220" s="1991"/>
      <c r="H220" s="1991"/>
      <c r="I220" s="1991"/>
      <c r="J220" s="1991"/>
      <c r="K220" s="1991"/>
      <c r="L220" s="1991"/>
      <c r="M220" s="603">
        <f t="array" aca="1" ref="M220:X220" ca="1">B26:M26*Produção!$M$14</f>
        <v>0</v>
      </c>
      <c r="N220" s="603">
        <f ca="1"/>
        <v>0</v>
      </c>
      <c r="O220" s="603">
        <f ca="1"/>
        <v>0</v>
      </c>
      <c r="P220" s="603">
        <f ca="1"/>
        <v>0</v>
      </c>
      <c r="Q220" s="603">
        <f ca="1"/>
        <v>0</v>
      </c>
      <c r="R220" s="603">
        <f ca="1"/>
        <v>0</v>
      </c>
      <c r="S220" s="603">
        <f ca="1"/>
        <v>0</v>
      </c>
      <c r="T220" s="603">
        <f ca="1"/>
        <v>0</v>
      </c>
      <c r="U220" s="603">
        <f ca="1"/>
        <v>0</v>
      </c>
      <c r="V220" s="603">
        <f ca="1"/>
        <v>0</v>
      </c>
      <c r="W220" s="603">
        <f ca="1"/>
        <v>0</v>
      </c>
      <c r="X220" s="603">
        <f ca="1"/>
        <v>0</v>
      </c>
      <c r="Y220" s="2007">
        <f t="array" aca="1" ref="Y220:Y231" ca="1">'Distr CV 4'!M220:M231</f>
        <v>0</v>
      </c>
    </row>
    <row r="221" spans="1:25">
      <c r="A221" s="1995" t="str">
        <f>A$74</f>
        <v>2 meses antes</v>
      </c>
      <c r="B221" s="1991"/>
      <c r="C221" s="1991"/>
      <c r="D221" s="1991"/>
      <c r="E221" s="1991"/>
      <c r="F221" s="1991"/>
      <c r="G221" s="1991"/>
      <c r="H221" s="1991"/>
      <c r="I221" s="1991"/>
      <c r="J221" s="1991"/>
      <c r="K221" s="1991"/>
      <c r="L221" s="603">
        <f t="array" aca="1" ref="L221:W221" ca="1">B26:M26*Produção!$L$14</f>
        <v>0</v>
      </c>
      <c r="M221" s="603">
        <f ca="1"/>
        <v>0</v>
      </c>
      <c r="N221" s="603">
        <f ca="1"/>
        <v>0</v>
      </c>
      <c r="O221" s="603">
        <f ca="1"/>
        <v>0</v>
      </c>
      <c r="P221" s="603">
        <f ca="1"/>
        <v>0</v>
      </c>
      <c r="Q221" s="603">
        <f ca="1"/>
        <v>0</v>
      </c>
      <c r="R221" s="603">
        <f ca="1"/>
        <v>0</v>
      </c>
      <c r="S221" s="603">
        <f ca="1"/>
        <v>0</v>
      </c>
      <c r="T221" s="603">
        <f ca="1"/>
        <v>0</v>
      </c>
      <c r="U221" s="603">
        <f ca="1"/>
        <v>0</v>
      </c>
      <c r="V221" s="603">
        <f ca="1"/>
        <v>0</v>
      </c>
      <c r="W221" s="603">
        <f ca="1"/>
        <v>0</v>
      </c>
      <c r="X221" s="1988">
        <f t="array" aca="1" ref="X221:X231" ca="1">'Distr CV 4'!L221:L231</f>
        <v>0</v>
      </c>
      <c r="Y221" s="2007">
        <f ca="1"/>
        <v>0</v>
      </c>
    </row>
    <row r="222" spans="1:25">
      <c r="A222" s="1995" t="str">
        <f>A$75</f>
        <v>3 meses antes</v>
      </c>
      <c r="B222" s="1991"/>
      <c r="C222" s="1991"/>
      <c r="D222" s="1991"/>
      <c r="E222" s="1991"/>
      <c r="F222" s="1991"/>
      <c r="G222" s="1991"/>
      <c r="H222" s="1991"/>
      <c r="I222" s="1991"/>
      <c r="J222" s="1991"/>
      <c r="K222" s="603">
        <f t="array" aca="1" ref="K222:V222" ca="1">B26:M26*Produção!$K$14</f>
        <v>0</v>
      </c>
      <c r="L222" s="603">
        <f ca="1"/>
        <v>0</v>
      </c>
      <c r="M222" s="603">
        <f ca="1"/>
        <v>0</v>
      </c>
      <c r="N222" s="603">
        <f ca="1"/>
        <v>0</v>
      </c>
      <c r="O222" s="603">
        <f ca="1"/>
        <v>0</v>
      </c>
      <c r="P222" s="603">
        <f ca="1"/>
        <v>0</v>
      </c>
      <c r="Q222" s="603">
        <f ca="1"/>
        <v>0</v>
      </c>
      <c r="R222" s="603">
        <f ca="1"/>
        <v>0</v>
      </c>
      <c r="S222" s="603">
        <f ca="1"/>
        <v>0</v>
      </c>
      <c r="T222" s="603">
        <f ca="1"/>
        <v>0</v>
      </c>
      <c r="U222" s="603">
        <f ca="1"/>
        <v>0</v>
      </c>
      <c r="V222" s="603">
        <f ca="1"/>
        <v>0</v>
      </c>
      <c r="W222" s="1988">
        <f t="array" aca="1" ref="W222:W231" ca="1">'Distr CV 4'!K222:K231</f>
        <v>0</v>
      </c>
      <c r="X222" s="1988">
        <f ca="1"/>
        <v>0</v>
      </c>
      <c r="Y222" s="2007">
        <f ca="1"/>
        <v>0</v>
      </c>
    </row>
    <row r="223" spans="1:25">
      <c r="A223" s="1995" t="str">
        <f>A$76</f>
        <v>4 meses antes</v>
      </c>
      <c r="B223" s="1991"/>
      <c r="C223" s="1991"/>
      <c r="D223" s="1991"/>
      <c r="E223" s="1991"/>
      <c r="F223" s="1991"/>
      <c r="G223" s="1991"/>
      <c r="H223" s="1991"/>
      <c r="I223" s="1991"/>
      <c r="J223" s="603">
        <f t="array" aca="1" ref="J223:U223" ca="1">B26:M26*Produção!$J$14</f>
        <v>0</v>
      </c>
      <c r="K223" s="603">
        <f ca="1"/>
        <v>0</v>
      </c>
      <c r="L223" s="603">
        <f ca="1"/>
        <v>0</v>
      </c>
      <c r="M223" s="603">
        <f ca="1"/>
        <v>0</v>
      </c>
      <c r="N223" s="603">
        <f ca="1"/>
        <v>0</v>
      </c>
      <c r="O223" s="603">
        <f ca="1"/>
        <v>0</v>
      </c>
      <c r="P223" s="603">
        <f ca="1"/>
        <v>0</v>
      </c>
      <c r="Q223" s="603">
        <f ca="1"/>
        <v>0</v>
      </c>
      <c r="R223" s="603">
        <f ca="1"/>
        <v>0</v>
      </c>
      <c r="S223" s="603">
        <f ca="1"/>
        <v>0</v>
      </c>
      <c r="T223" s="603">
        <f ca="1"/>
        <v>0</v>
      </c>
      <c r="U223" s="603">
        <f ca="1"/>
        <v>0</v>
      </c>
      <c r="V223" s="1988">
        <f t="array" aca="1" ref="V223:V231" ca="1">'Distr CV 4'!J223:J231</f>
        <v>0</v>
      </c>
      <c r="W223" s="1988">
        <f ca="1"/>
        <v>0</v>
      </c>
      <c r="X223" s="1988">
        <f ca="1"/>
        <v>0</v>
      </c>
      <c r="Y223" s="2007">
        <f ca="1"/>
        <v>0</v>
      </c>
    </row>
    <row r="224" spans="1:25">
      <c r="A224" s="1995" t="str">
        <f>A$77</f>
        <v>5 meses antes</v>
      </c>
      <c r="B224" s="1991"/>
      <c r="C224" s="1991"/>
      <c r="D224" s="1991"/>
      <c r="E224" s="1991"/>
      <c r="F224" s="1991"/>
      <c r="G224" s="1991"/>
      <c r="H224" s="1991"/>
      <c r="I224" s="603">
        <f t="array" aca="1" ref="I224:T224" ca="1">B26:M26*Produção!$I$14</f>
        <v>0</v>
      </c>
      <c r="J224" s="603">
        <f ca="1"/>
        <v>0</v>
      </c>
      <c r="K224" s="603">
        <f ca="1"/>
        <v>0</v>
      </c>
      <c r="L224" s="603">
        <f ca="1"/>
        <v>0</v>
      </c>
      <c r="M224" s="603">
        <f ca="1"/>
        <v>0</v>
      </c>
      <c r="N224" s="603">
        <f ca="1"/>
        <v>0</v>
      </c>
      <c r="O224" s="603">
        <f ca="1"/>
        <v>0</v>
      </c>
      <c r="P224" s="603">
        <f ca="1"/>
        <v>0</v>
      </c>
      <c r="Q224" s="603">
        <f ca="1"/>
        <v>0</v>
      </c>
      <c r="R224" s="603">
        <f ca="1"/>
        <v>0</v>
      </c>
      <c r="S224" s="603">
        <f ca="1"/>
        <v>0</v>
      </c>
      <c r="T224" s="603">
        <f ca="1"/>
        <v>0</v>
      </c>
      <c r="U224" s="1988">
        <f t="array" aca="1" ref="U224:U231" ca="1">'Distr CV 4'!I224:I231</f>
        <v>0</v>
      </c>
      <c r="V224" s="1988">
        <f ca="1"/>
        <v>0</v>
      </c>
      <c r="W224" s="1988">
        <f ca="1"/>
        <v>0</v>
      </c>
      <c r="X224" s="1988">
        <f ca="1"/>
        <v>0</v>
      </c>
      <c r="Y224" s="2007">
        <f ca="1"/>
        <v>0</v>
      </c>
    </row>
    <row r="225" spans="1:25">
      <c r="A225" s="1995" t="str">
        <f>A$78</f>
        <v>6 meses antes</v>
      </c>
      <c r="B225" s="1991"/>
      <c r="C225" s="1991"/>
      <c r="D225" s="1991"/>
      <c r="E225" s="1991"/>
      <c r="F225" s="1991"/>
      <c r="G225" s="1991"/>
      <c r="H225" s="603">
        <f t="array" aca="1" ref="H225:S225" ca="1">B26:M26*Produção!$H$14</f>
        <v>0</v>
      </c>
      <c r="I225" s="603">
        <f ca="1"/>
        <v>0</v>
      </c>
      <c r="J225" s="603">
        <f ca="1"/>
        <v>0</v>
      </c>
      <c r="K225" s="603">
        <f ca="1"/>
        <v>0</v>
      </c>
      <c r="L225" s="603">
        <f ca="1"/>
        <v>0</v>
      </c>
      <c r="M225" s="603">
        <f ca="1"/>
        <v>0</v>
      </c>
      <c r="N225" s="603">
        <f ca="1"/>
        <v>0</v>
      </c>
      <c r="O225" s="603">
        <f ca="1"/>
        <v>0</v>
      </c>
      <c r="P225" s="603">
        <f ca="1"/>
        <v>0</v>
      </c>
      <c r="Q225" s="603">
        <f ca="1"/>
        <v>0</v>
      </c>
      <c r="R225" s="603">
        <f ca="1"/>
        <v>0</v>
      </c>
      <c r="S225" s="603">
        <f ca="1"/>
        <v>0</v>
      </c>
      <c r="T225" s="1988">
        <f t="array" aca="1" ref="T225:T231" ca="1">'Distr CV 4'!H225:H231</f>
        <v>0</v>
      </c>
      <c r="U225" s="1988">
        <f ca="1"/>
        <v>0</v>
      </c>
      <c r="V225" s="1988">
        <f ca="1"/>
        <v>0</v>
      </c>
      <c r="W225" s="1988">
        <f ca="1"/>
        <v>0</v>
      </c>
      <c r="X225" s="1988">
        <f ca="1"/>
        <v>0</v>
      </c>
      <c r="Y225" s="2007">
        <f ca="1"/>
        <v>0</v>
      </c>
    </row>
    <row r="226" spans="1:25">
      <c r="A226" s="1995" t="str">
        <f>A$79</f>
        <v>7 meses antes</v>
      </c>
      <c r="B226" s="1991"/>
      <c r="C226" s="1991"/>
      <c r="D226" s="1991"/>
      <c r="E226" s="1991"/>
      <c r="F226" s="1991"/>
      <c r="G226" s="603">
        <f t="array" aca="1" ref="G226:R226" ca="1">B26:M26*Produção!$G$14</f>
        <v>0</v>
      </c>
      <c r="H226" s="603">
        <f ca="1"/>
        <v>0</v>
      </c>
      <c r="I226" s="603">
        <f ca="1"/>
        <v>0</v>
      </c>
      <c r="J226" s="603">
        <f ca="1"/>
        <v>0</v>
      </c>
      <c r="K226" s="603">
        <f ca="1"/>
        <v>0</v>
      </c>
      <c r="L226" s="603">
        <f ca="1"/>
        <v>0</v>
      </c>
      <c r="M226" s="603">
        <f ca="1"/>
        <v>0</v>
      </c>
      <c r="N226" s="603">
        <f ca="1"/>
        <v>0</v>
      </c>
      <c r="O226" s="603">
        <f ca="1"/>
        <v>0</v>
      </c>
      <c r="P226" s="603">
        <f ca="1"/>
        <v>0</v>
      </c>
      <c r="Q226" s="603">
        <f ca="1"/>
        <v>0</v>
      </c>
      <c r="R226" s="603">
        <f ca="1"/>
        <v>0</v>
      </c>
      <c r="S226" s="1992">
        <f t="array" aca="1" ref="S226:S231" ca="1">'Distr CV 4'!G226:G231</f>
        <v>0</v>
      </c>
      <c r="T226" s="1992">
        <f ca="1"/>
        <v>0</v>
      </c>
      <c r="U226" s="1992">
        <f ca="1"/>
        <v>0</v>
      </c>
      <c r="V226" s="1992">
        <f ca="1"/>
        <v>0</v>
      </c>
      <c r="W226" s="1992">
        <f ca="1"/>
        <v>0</v>
      </c>
      <c r="X226" s="1992">
        <f ca="1"/>
        <v>0</v>
      </c>
      <c r="Y226" s="2010">
        <f ca="1"/>
        <v>0</v>
      </c>
    </row>
    <row r="227" spans="1:25">
      <c r="A227" s="1995" t="str">
        <f>A$80</f>
        <v>8 meses antes</v>
      </c>
      <c r="B227" s="1991"/>
      <c r="C227" s="1991"/>
      <c r="D227" s="1991"/>
      <c r="E227" s="1991"/>
      <c r="F227" s="603">
        <f t="array" aca="1" ref="F227:Q227" ca="1">B26:M26*Produção!$F$14</f>
        <v>0</v>
      </c>
      <c r="G227" s="603">
        <f ca="1"/>
        <v>0</v>
      </c>
      <c r="H227" s="603">
        <f ca="1"/>
        <v>0</v>
      </c>
      <c r="I227" s="603">
        <f ca="1"/>
        <v>0</v>
      </c>
      <c r="J227" s="603">
        <f ca="1"/>
        <v>0</v>
      </c>
      <c r="K227" s="603">
        <f ca="1"/>
        <v>0</v>
      </c>
      <c r="L227" s="603">
        <f ca="1"/>
        <v>0</v>
      </c>
      <c r="M227" s="603">
        <f ca="1"/>
        <v>0</v>
      </c>
      <c r="N227" s="603">
        <f ca="1"/>
        <v>0</v>
      </c>
      <c r="O227" s="603">
        <f ca="1"/>
        <v>0</v>
      </c>
      <c r="P227" s="603">
        <f ca="1"/>
        <v>0</v>
      </c>
      <c r="Q227" s="603">
        <f ca="1"/>
        <v>0</v>
      </c>
      <c r="R227" s="1992">
        <f t="array" aca="1" ref="R227:R231" ca="1">'Distr CV 4'!F227:F231</f>
        <v>0</v>
      </c>
      <c r="S227" s="1992">
        <f ca="1"/>
        <v>0</v>
      </c>
      <c r="T227" s="1992">
        <f ca="1"/>
        <v>0</v>
      </c>
      <c r="U227" s="1992">
        <f ca="1"/>
        <v>0</v>
      </c>
      <c r="V227" s="1992">
        <f ca="1"/>
        <v>0</v>
      </c>
      <c r="W227" s="1992">
        <f ca="1"/>
        <v>0</v>
      </c>
      <c r="X227" s="1992">
        <f ca="1"/>
        <v>0</v>
      </c>
      <c r="Y227" s="2010">
        <f ca="1"/>
        <v>0</v>
      </c>
    </row>
    <row r="228" spans="1:25">
      <c r="A228" s="1995" t="str">
        <f>A$81</f>
        <v>9 meses antes</v>
      </c>
      <c r="B228" s="1991"/>
      <c r="C228" s="1991"/>
      <c r="D228" s="1991"/>
      <c r="E228" s="603">
        <f t="array" aca="1" ref="E228:P228" ca="1">B26:M26*Produção!$E$14</f>
        <v>0</v>
      </c>
      <c r="F228" s="603">
        <f ca="1"/>
        <v>0</v>
      </c>
      <c r="G228" s="603">
        <f ca="1"/>
        <v>0</v>
      </c>
      <c r="H228" s="603">
        <f ca="1"/>
        <v>0</v>
      </c>
      <c r="I228" s="603">
        <f ca="1"/>
        <v>0</v>
      </c>
      <c r="J228" s="603">
        <f ca="1"/>
        <v>0</v>
      </c>
      <c r="K228" s="603">
        <f ca="1"/>
        <v>0</v>
      </c>
      <c r="L228" s="603">
        <f ca="1"/>
        <v>0</v>
      </c>
      <c r="M228" s="603">
        <f ca="1"/>
        <v>0</v>
      </c>
      <c r="N228" s="603">
        <f ca="1"/>
        <v>0</v>
      </c>
      <c r="O228" s="603">
        <f ca="1"/>
        <v>0</v>
      </c>
      <c r="P228" s="603">
        <f ca="1"/>
        <v>0</v>
      </c>
      <c r="Q228" s="1992">
        <f t="array" aca="1" ref="Q228:Q231" ca="1">'Distr CV 4'!E228:E231</f>
        <v>0</v>
      </c>
      <c r="R228" s="1992">
        <f ca="1"/>
        <v>0</v>
      </c>
      <c r="S228" s="1992">
        <f ca="1"/>
        <v>0</v>
      </c>
      <c r="T228" s="1992">
        <f ca="1"/>
        <v>0</v>
      </c>
      <c r="U228" s="1992">
        <f ca="1"/>
        <v>0</v>
      </c>
      <c r="V228" s="1992">
        <f ca="1"/>
        <v>0</v>
      </c>
      <c r="W228" s="1992">
        <f ca="1"/>
        <v>0</v>
      </c>
      <c r="X228" s="1992">
        <f ca="1"/>
        <v>0</v>
      </c>
      <c r="Y228" s="2010">
        <f ca="1"/>
        <v>0</v>
      </c>
    </row>
    <row r="229" spans="1:25">
      <c r="A229" s="1995" t="str">
        <f>A$82</f>
        <v>10 meses antes</v>
      </c>
      <c r="B229" s="1991"/>
      <c r="C229" s="1991"/>
      <c r="D229" s="603">
        <f t="array" aca="1" ref="D229:O229" ca="1">B26:M26*Produção!$D$14</f>
        <v>0</v>
      </c>
      <c r="E229" s="603">
        <f ca="1"/>
        <v>0</v>
      </c>
      <c r="F229" s="603">
        <f ca="1"/>
        <v>0</v>
      </c>
      <c r="G229" s="603">
        <f ca="1"/>
        <v>0</v>
      </c>
      <c r="H229" s="603">
        <f ca="1"/>
        <v>0</v>
      </c>
      <c r="I229" s="603">
        <f ca="1"/>
        <v>0</v>
      </c>
      <c r="J229" s="603">
        <f ca="1"/>
        <v>0</v>
      </c>
      <c r="K229" s="603">
        <f ca="1"/>
        <v>0</v>
      </c>
      <c r="L229" s="603">
        <f ca="1"/>
        <v>0</v>
      </c>
      <c r="M229" s="603">
        <f ca="1"/>
        <v>0</v>
      </c>
      <c r="N229" s="603">
        <f ca="1"/>
        <v>0</v>
      </c>
      <c r="O229" s="603">
        <f ca="1"/>
        <v>0</v>
      </c>
      <c r="P229" s="1992">
        <f t="array" aca="1" ref="P229:P231" ca="1">'Distr CV 4'!D229:D231</f>
        <v>0</v>
      </c>
      <c r="Q229" s="1992">
        <f ca="1"/>
        <v>0</v>
      </c>
      <c r="R229" s="1992">
        <f ca="1"/>
        <v>0</v>
      </c>
      <c r="S229" s="1992">
        <f ca="1"/>
        <v>0</v>
      </c>
      <c r="T229" s="1992">
        <f ca="1"/>
        <v>0</v>
      </c>
      <c r="U229" s="1992">
        <f ca="1"/>
        <v>0</v>
      </c>
      <c r="V229" s="1992">
        <f ca="1"/>
        <v>0</v>
      </c>
      <c r="W229" s="1992">
        <f ca="1"/>
        <v>0</v>
      </c>
      <c r="X229" s="1992">
        <f ca="1"/>
        <v>0</v>
      </c>
      <c r="Y229" s="2010">
        <f ca="1"/>
        <v>0</v>
      </c>
    </row>
    <row r="230" spans="1:25">
      <c r="A230" s="1995" t="str">
        <f>A$83</f>
        <v>11 meses antes</v>
      </c>
      <c r="B230" s="1991"/>
      <c r="C230" s="603">
        <f t="array" aca="1" ref="C230:N230" ca="1">B26:M26*Produção!$C$14</f>
        <v>0</v>
      </c>
      <c r="D230" s="603">
        <f ca="1"/>
        <v>0</v>
      </c>
      <c r="E230" s="603">
        <f ca="1"/>
        <v>0</v>
      </c>
      <c r="F230" s="603">
        <f ca="1"/>
        <v>0</v>
      </c>
      <c r="G230" s="603">
        <f ca="1"/>
        <v>0</v>
      </c>
      <c r="H230" s="603">
        <f ca="1"/>
        <v>0</v>
      </c>
      <c r="I230" s="603">
        <f ca="1"/>
        <v>0</v>
      </c>
      <c r="J230" s="603">
        <f ca="1"/>
        <v>0</v>
      </c>
      <c r="K230" s="603">
        <f ca="1"/>
        <v>0</v>
      </c>
      <c r="L230" s="603">
        <f ca="1"/>
        <v>0</v>
      </c>
      <c r="M230" s="603">
        <f ca="1"/>
        <v>0</v>
      </c>
      <c r="N230" s="603">
        <f ca="1"/>
        <v>0</v>
      </c>
      <c r="O230" s="1992">
        <f ca="1">'Distr CV 4'!C230</f>
        <v>0</v>
      </c>
      <c r="P230" s="1992">
        <f ca="1"/>
        <v>0</v>
      </c>
      <c r="Q230" s="1992">
        <f ca="1"/>
        <v>0</v>
      </c>
      <c r="R230" s="1992">
        <f ca="1"/>
        <v>0</v>
      </c>
      <c r="S230" s="1992">
        <f ca="1"/>
        <v>0</v>
      </c>
      <c r="T230" s="1992">
        <f ca="1"/>
        <v>0</v>
      </c>
      <c r="U230" s="1992">
        <f ca="1"/>
        <v>0</v>
      </c>
      <c r="V230" s="1992">
        <f ca="1"/>
        <v>0</v>
      </c>
      <c r="W230" s="1992">
        <f ca="1"/>
        <v>0</v>
      </c>
      <c r="X230" s="1992">
        <f ca="1"/>
        <v>0</v>
      </c>
      <c r="Y230" s="2010">
        <f ca="1"/>
        <v>0</v>
      </c>
    </row>
    <row r="231" spans="1:25" ht="13.5" thickBot="1">
      <c r="A231" s="1995" t="str">
        <f>A$84</f>
        <v>12 meses antes</v>
      </c>
      <c r="B231" s="603">
        <f t="array" aca="1" ref="B231:M231" ca="1">B26:M26*Produção!$B$14</f>
        <v>0</v>
      </c>
      <c r="C231" s="603">
        <f ca="1"/>
        <v>0</v>
      </c>
      <c r="D231" s="603">
        <f ca="1"/>
        <v>0</v>
      </c>
      <c r="E231" s="603">
        <f ca="1"/>
        <v>0</v>
      </c>
      <c r="F231" s="603">
        <f ca="1"/>
        <v>0</v>
      </c>
      <c r="G231" s="603">
        <f ca="1"/>
        <v>0</v>
      </c>
      <c r="H231" s="603">
        <f ca="1"/>
        <v>0</v>
      </c>
      <c r="I231" s="603">
        <f ca="1"/>
        <v>0</v>
      </c>
      <c r="J231" s="603">
        <f ca="1"/>
        <v>0</v>
      </c>
      <c r="K231" s="603">
        <f ca="1"/>
        <v>0</v>
      </c>
      <c r="L231" s="603">
        <f ca="1"/>
        <v>0</v>
      </c>
      <c r="M231" s="603">
        <f ca="1"/>
        <v>0</v>
      </c>
      <c r="N231" s="1991">
        <f ca="1">'Distr CV 4'!B231</f>
        <v>0</v>
      </c>
      <c r="O231" s="1992">
        <f ca="1">'Distr CV 4'!C231</f>
        <v>0</v>
      </c>
      <c r="P231" s="1992">
        <f ca="1"/>
        <v>0</v>
      </c>
      <c r="Q231" s="1992">
        <f ca="1"/>
        <v>0</v>
      </c>
      <c r="R231" s="1992">
        <f ca="1"/>
        <v>0</v>
      </c>
      <c r="S231" s="1992">
        <f ca="1"/>
        <v>0</v>
      </c>
      <c r="T231" s="1992">
        <f ca="1"/>
        <v>0</v>
      </c>
      <c r="U231" s="1992">
        <f ca="1"/>
        <v>0</v>
      </c>
      <c r="V231" s="1992">
        <f ca="1"/>
        <v>0</v>
      </c>
      <c r="W231" s="1992">
        <f ca="1"/>
        <v>0</v>
      </c>
      <c r="X231" s="1992">
        <f ca="1"/>
        <v>0</v>
      </c>
      <c r="Y231" s="2010">
        <f ca="1"/>
        <v>0</v>
      </c>
    </row>
    <row r="232" spans="1:25" ht="13.5" thickBot="1">
      <c r="A232" s="105" t="str">
        <f>"Totales CV "&amp;A$14</f>
        <v xml:space="preserve">Totales CV </v>
      </c>
      <c r="B232" s="607">
        <f t="shared" ref="B232:Y232" ca="1" si="17">SUM(B219:B231)</f>
        <v>0</v>
      </c>
      <c r="C232" s="607">
        <f t="shared" ca="1" si="17"/>
        <v>0</v>
      </c>
      <c r="D232" s="607">
        <f t="shared" ca="1" si="17"/>
        <v>0</v>
      </c>
      <c r="E232" s="607">
        <f t="shared" ca="1" si="17"/>
        <v>0</v>
      </c>
      <c r="F232" s="607">
        <f t="shared" ca="1" si="17"/>
        <v>0</v>
      </c>
      <c r="G232" s="607">
        <f t="shared" ca="1" si="17"/>
        <v>0</v>
      </c>
      <c r="H232" s="607">
        <f t="shared" ca="1" si="17"/>
        <v>0</v>
      </c>
      <c r="I232" s="607">
        <f t="shared" ca="1" si="17"/>
        <v>0</v>
      </c>
      <c r="J232" s="607">
        <f t="shared" ca="1" si="17"/>
        <v>0</v>
      </c>
      <c r="K232" s="607">
        <f t="shared" ca="1" si="17"/>
        <v>0</v>
      </c>
      <c r="L232" s="607">
        <f t="shared" ca="1" si="17"/>
        <v>0</v>
      </c>
      <c r="M232" s="607">
        <f t="shared" ca="1" si="17"/>
        <v>0</v>
      </c>
      <c r="N232" s="607">
        <f t="shared" ca="1" si="17"/>
        <v>0</v>
      </c>
      <c r="O232" s="607">
        <f t="shared" ca="1" si="17"/>
        <v>0</v>
      </c>
      <c r="P232" s="607">
        <f t="shared" ca="1" si="17"/>
        <v>0</v>
      </c>
      <c r="Q232" s="607">
        <f t="shared" ca="1" si="17"/>
        <v>0</v>
      </c>
      <c r="R232" s="607">
        <f t="shared" ca="1" si="17"/>
        <v>0</v>
      </c>
      <c r="S232" s="607">
        <f t="shared" ca="1" si="17"/>
        <v>0</v>
      </c>
      <c r="T232" s="607">
        <f t="shared" ca="1" si="17"/>
        <v>0</v>
      </c>
      <c r="U232" s="607">
        <f t="shared" ca="1" si="17"/>
        <v>0</v>
      </c>
      <c r="V232" s="607">
        <f t="shared" ca="1" si="17"/>
        <v>0</v>
      </c>
      <c r="W232" s="607">
        <f t="shared" ca="1" si="17"/>
        <v>0</v>
      </c>
      <c r="X232" s="607">
        <f t="shared" ca="1" si="17"/>
        <v>0</v>
      </c>
      <c r="Y232" s="2008">
        <f t="shared" ca="1" si="17"/>
        <v>0</v>
      </c>
    </row>
    <row r="233" spans="1:25" ht="13.5" thickBot="1">
      <c r="A233" s="105" t="str">
        <f>'Dados Básicos'!A28&amp;" sop. CV "&amp;$A$14</f>
        <v xml:space="preserve">IVA sop. CV </v>
      </c>
      <c r="B233" s="607">
        <f t="array" aca="1" ref="B233:Y233" ca="1">$K$217*B232:Y232</f>
        <v>0</v>
      </c>
      <c r="C233" s="607">
        <f ca="1"/>
        <v>0</v>
      </c>
      <c r="D233" s="607">
        <f ca="1"/>
        <v>0</v>
      </c>
      <c r="E233" s="607">
        <f ca="1"/>
        <v>0</v>
      </c>
      <c r="F233" s="607">
        <f ca="1"/>
        <v>0</v>
      </c>
      <c r="G233" s="607">
        <f ca="1"/>
        <v>0</v>
      </c>
      <c r="H233" s="607">
        <f ca="1"/>
        <v>0</v>
      </c>
      <c r="I233" s="607">
        <f ca="1"/>
        <v>0</v>
      </c>
      <c r="J233" s="607">
        <f ca="1"/>
        <v>0</v>
      </c>
      <c r="K233" s="607">
        <f ca="1"/>
        <v>0</v>
      </c>
      <c r="L233" s="607">
        <f ca="1"/>
        <v>0</v>
      </c>
      <c r="M233" s="607">
        <f ca="1"/>
        <v>0</v>
      </c>
      <c r="N233" s="607">
        <f ca="1"/>
        <v>0</v>
      </c>
      <c r="O233" s="607">
        <f ca="1"/>
        <v>0</v>
      </c>
      <c r="P233" s="607">
        <f ca="1"/>
        <v>0</v>
      </c>
      <c r="Q233" s="607">
        <f ca="1"/>
        <v>0</v>
      </c>
      <c r="R233" s="607">
        <f ca="1"/>
        <v>0</v>
      </c>
      <c r="S233" s="607">
        <f ca="1"/>
        <v>0</v>
      </c>
      <c r="T233" s="607">
        <f ca="1"/>
        <v>0</v>
      </c>
      <c r="U233" s="607">
        <f ca="1"/>
        <v>0</v>
      </c>
      <c r="V233" s="607">
        <f ca="1"/>
        <v>0</v>
      </c>
      <c r="W233" s="607">
        <f ca="1"/>
        <v>0</v>
      </c>
      <c r="X233" s="607">
        <f ca="1"/>
        <v>0</v>
      </c>
      <c r="Y233" s="2008">
        <f ca="1"/>
        <v>0</v>
      </c>
    </row>
    <row r="235" spans="1:25" ht="18.75" thickBot="1">
      <c r="A235" s="1993" t="str">
        <f>'Distr CV 0'!A235</f>
        <v xml:space="preserve">Compras / custos de producción por meses de </v>
      </c>
      <c r="I235" s="1993" t="str">
        <f>$I$109</f>
        <v>IVA NÃO incluido</v>
      </c>
      <c r="K235" s="2005">
        <f>Parametros!$F$31</f>
        <v>0.21</v>
      </c>
    </row>
    <row r="236" spans="1:25" ht="30" customHeight="1" thickBot="1">
      <c r="A236" s="457" t="str">
        <f>'Distr CV 0'!A236</f>
        <v>mes de compra / custo</v>
      </c>
      <c r="B236" s="2011" t="str">
        <f t="array" ref="B236:Y236">B$71:Y$71</f>
        <v>janeiro 
2028</v>
      </c>
      <c r="C236" s="2011" t="str">
        <v>fevereiro 
2028</v>
      </c>
      <c r="D236" s="2011" t="str">
        <v>março 
2028</v>
      </c>
      <c r="E236" s="2011" t="str">
        <v>abril 
2028</v>
      </c>
      <c r="F236" s="2011" t="str">
        <v>maio 
2028</v>
      </c>
      <c r="G236" s="2011" t="str">
        <v>junho 
2028</v>
      </c>
      <c r="H236" s="2011" t="str">
        <v>julho 
2028</v>
      </c>
      <c r="I236" s="2011" t="str">
        <v>agosto 
2028</v>
      </c>
      <c r="J236" s="2011" t="str">
        <v>setembro 
2028</v>
      </c>
      <c r="K236" s="2011" t="str">
        <v>outubro 
2028</v>
      </c>
      <c r="L236" s="2011" t="str">
        <v>novembro 
2028</v>
      </c>
      <c r="M236" s="2011" t="str">
        <v>dezembro 
2028</v>
      </c>
      <c r="N236" s="2734" t="str">
        <v>janeiro 
2029</v>
      </c>
      <c r="O236" s="2735" t="str">
        <v>fevereiro 
2029</v>
      </c>
      <c r="P236" s="2735" t="str">
        <v>março 
2029</v>
      </c>
      <c r="Q236" s="2735" t="str">
        <v>abril 
2029</v>
      </c>
      <c r="R236" s="2735" t="str">
        <v>maio 
2029</v>
      </c>
      <c r="S236" s="2735" t="str">
        <v>junho 
2029</v>
      </c>
      <c r="T236" s="2735" t="str">
        <v>julho 
2029</v>
      </c>
      <c r="U236" s="2735" t="str">
        <v>agosto 
2029</v>
      </c>
      <c r="V236" s="2735" t="str">
        <v>setembro 
2029</v>
      </c>
      <c r="W236" s="2735" t="str">
        <v>outubro 
2029</v>
      </c>
      <c r="X236" s="2735" t="str">
        <v>novembro 
2029</v>
      </c>
      <c r="Y236" s="2736" t="str">
        <v>dezembro 
2029</v>
      </c>
    </row>
    <row r="237" spans="1:25">
      <c r="A237" s="1994" t="str">
        <f>A$72</f>
        <v>mismo mes</v>
      </c>
      <c r="B237" s="1991"/>
      <c r="C237" s="1991"/>
      <c r="D237" s="1991"/>
      <c r="E237" s="1991"/>
      <c r="F237" s="1991"/>
      <c r="G237" s="1991"/>
      <c r="H237" s="1991"/>
      <c r="I237" s="1991"/>
      <c r="J237" s="1991"/>
      <c r="K237" s="1991"/>
      <c r="L237" s="1991"/>
      <c r="M237" s="1991"/>
      <c r="N237" s="603">
        <f t="array" aca="1" ref="N237:Y237" ca="1">B27:M27*Produção!$N$15</f>
        <v>0</v>
      </c>
      <c r="O237" s="603">
        <f ca="1"/>
        <v>0</v>
      </c>
      <c r="P237" s="603">
        <f ca="1"/>
        <v>0</v>
      </c>
      <c r="Q237" s="603">
        <f ca="1"/>
        <v>0</v>
      </c>
      <c r="R237" s="603">
        <f ca="1"/>
        <v>0</v>
      </c>
      <c r="S237" s="603">
        <f ca="1"/>
        <v>0</v>
      </c>
      <c r="T237" s="603">
        <f ca="1"/>
        <v>0</v>
      </c>
      <c r="U237" s="603">
        <f ca="1"/>
        <v>0</v>
      </c>
      <c r="V237" s="603">
        <f ca="1"/>
        <v>0</v>
      </c>
      <c r="W237" s="603">
        <f ca="1"/>
        <v>0</v>
      </c>
      <c r="X237" s="603">
        <f ca="1"/>
        <v>0</v>
      </c>
      <c r="Y237" s="2006">
        <f ca="1"/>
        <v>0</v>
      </c>
    </row>
    <row r="238" spans="1:25">
      <c r="A238" s="1995" t="str">
        <f>A$73</f>
        <v>1 mes antes</v>
      </c>
      <c r="B238" s="1991"/>
      <c r="C238" s="1991"/>
      <c r="D238" s="1991"/>
      <c r="E238" s="1991"/>
      <c r="F238" s="1991"/>
      <c r="G238" s="1991"/>
      <c r="H238" s="1991"/>
      <c r="I238" s="1991"/>
      <c r="J238" s="1991"/>
      <c r="K238" s="1991"/>
      <c r="L238" s="1991"/>
      <c r="M238" s="603">
        <f t="array" aca="1" ref="M238:X238" ca="1">B27:M27*Produção!$M$15</f>
        <v>0</v>
      </c>
      <c r="N238" s="603">
        <f ca="1"/>
        <v>0</v>
      </c>
      <c r="O238" s="603">
        <f ca="1"/>
        <v>0</v>
      </c>
      <c r="P238" s="603">
        <f ca="1"/>
        <v>0</v>
      </c>
      <c r="Q238" s="603">
        <f ca="1"/>
        <v>0</v>
      </c>
      <c r="R238" s="603">
        <f ca="1"/>
        <v>0</v>
      </c>
      <c r="S238" s="603">
        <f ca="1"/>
        <v>0</v>
      </c>
      <c r="T238" s="603">
        <f ca="1"/>
        <v>0</v>
      </c>
      <c r="U238" s="603">
        <f ca="1"/>
        <v>0</v>
      </c>
      <c r="V238" s="603">
        <f ca="1"/>
        <v>0</v>
      </c>
      <c r="W238" s="603">
        <f ca="1"/>
        <v>0</v>
      </c>
      <c r="X238" s="603">
        <f ca="1"/>
        <v>0</v>
      </c>
      <c r="Y238" s="2007">
        <f t="array" aca="1" ref="Y238:Y249" ca="1">'Distr CV 4'!M238:M249</f>
        <v>0</v>
      </c>
    </row>
    <row r="239" spans="1:25">
      <c r="A239" s="1995" t="str">
        <f>A$74</f>
        <v>2 meses antes</v>
      </c>
      <c r="B239" s="1991"/>
      <c r="C239" s="1991"/>
      <c r="D239" s="1991"/>
      <c r="E239" s="1991"/>
      <c r="F239" s="1991"/>
      <c r="G239" s="1991"/>
      <c r="H239" s="1991"/>
      <c r="I239" s="1991"/>
      <c r="J239" s="1991"/>
      <c r="K239" s="1991"/>
      <c r="L239" s="603">
        <f t="array" aca="1" ref="L239:W239" ca="1">B27:M27*Produção!$L$15</f>
        <v>0</v>
      </c>
      <c r="M239" s="603">
        <f ca="1"/>
        <v>0</v>
      </c>
      <c r="N239" s="603">
        <f ca="1"/>
        <v>0</v>
      </c>
      <c r="O239" s="603">
        <f ca="1"/>
        <v>0</v>
      </c>
      <c r="P239" s="603">
        <f ca="1"/>
        <v>0</v>
      </c>
      <c r="Q239" s="603">
        <f ca="1"/>
        <v>0</v>
      </c>
      <c r="R239" s="603">
        <f ca="1"/>
        <v>0</v>
      </c>
      <c r="S239" s="603">
        <f ca="1"/>
        <v>0</v>
      </c>
      <c r="T239" s="603">
        <f ca="1"/>
        <v>0</v>
      </c>
      <c r="U239" s="603">
        <f ca="1"/>
        <v>0</v>
      </c>
      <c r="V239" s="603">
        <f ca="1"/>
        <v>0</v>
      </c>
      <c r="W239" s="603">
        <f ca="1"/>
        <v>0</v>
      </c>
      <c r="X239" s="1988">
        <f t="array" aca="1" ref="X239:X249" ca="1">'Distr CV 4'!L239:L249</f>
        <v>0</v>
      </c>
      <c r="Y239" s="2007">
        <f ca="1"/>
        <v>0</v>
      </c>
    </row>
    <row r="240" spans="1:25">
      <c r="A240" s="1995" t="str">
        <f>A$75</f>
        <v>3 meses antes</v>
      </c>
      <c r="B240" s="1991"/>
      <c r="C240" s="1991"/>
      <c r="D240" s="1991"/>
      <c r="E240" s="1991"/>
      <c r="F240" s="1991"/>
      <c r="G240" s="1991"/>
      <c r="H240" s="1991"/>
      <c r="I240" s="1991"/>
      <c r="J240" s="1991"/>
      <c r="K240" s="603">
        <f t="array" aca="1" ref="K240:V240" ca="1">B27:M27*Produção!$K$15</f>
        <v>0</v>
      </c>
      <c r="L240" s="603">
        <f ca="1"/>
        <v>0</v>
      </c>
      <c r="M240" s="603">
        <f ca="1"/>
        <v>0</v>
      </c>
      <c r="N240" s="603">
        <f ca="1"/>
        <v>0</v>
      </c>
      <c r="O240" s="603">
        <f ca="1"/>
        <v>0</v>
      </c>
      <c r="P240" s="603">
        <f ca="1"/>
        <v>0</v>
      </c>
      <c r="Q240" s="603">
        <f ca="1"/>
        <v>0</v>
      </c>
      <c r="R240" s="603">
        <f ca="1"/>
        <v>0</v>
      </c>
      <c r="S240" s="603">
        <f ca="1"/>
        <v>0</v>
      </c>
      <c r="T240" s="603">
        <f ca="1"/>
        <v>0</v>
      </c>
      <c r="U240" s="603">
        <f ca="1"/>
        <v>0</v>
      </c>
      <c r="V240" s="603">
        <f ca="1"/>
        <v>0</v>
      </c>
      <c r="W240" s="1988">
        <f t="array" aca="1" ref="W240:W249" ca="1">'Distr CV 4'!K240:K249</f>
        <v>0</v>
      </c>
      <c r="X240" s="1988">
        <f ca="1"/>
        <v>0</v>
      </c>
      <c r="Y240" s="2007">
        <f ca="1"/>
        <v>0</v>
      </c>
    </row>
    <row r="241" spans="1:25">
      <c r="A241" s="1995" t="str">
        <f>A$76</f>
        <v>4 meses antes</v>
      </c>
      <c r="B241" s="1991"/>
      <c r="C241" s="1991"/>
      <c r="D241" s="1991"/>
      <c r="E241" s="1991"/>
      <c r="F241" s="1991"/>
      <c r="G241" s="1991"/>
      <c r="H241" s="1991"/>
      <c r="I241" s="1991"/>
      <c r="J241" s="603">
        <f t="array" aca="1" ref="J241:U241" ca="1">B27:M27*Produção!$J$15</f>
        <v>0</v>
      </c>
      <c r="K241" s="603">
        <f ca="1"/>
        <v>0</v>
      </c>
      <c r="L241" s="603">
        <f ca="1"/>
        <v>0</v>
      </c>
      <c r="M241" s="603">
        <f ca="1"/>
        <v>0</v>
      </c>
      <c r="N241" s="603">
        <f ca="1"/>
        <v>0</v>
      </c>
      <c r="O241" s="603">
        <f ca="1"/>
        <v>0</v>
      </c>
      <c r="P241" s="603">
        <f ca="1"/>
        <v>0</v>
      </c>
      <c r="Q241" s="603">
        <f ca="1"/>
        <v>0</v>
      </c>
      <c r="R241" s="603">
        <f ca="1"/>
        <v>0</v>
      </c>
      <c r="S241" s="603">
        <f ca="1"/>
        <v>0</v>
      </c>
      <c r="T241" s="603">
        <f ca="1"/>
        <v>0</v>
      </c>
      <c r="U241" s="603">
        <f ca="1"/>
        <v>0</v>
      </c>
      <c r="V241" s="1988">
        <f t="array" aca="1" ref="V241:V249" ca="1">'Distr CV 4'!J241:J249</f>
        <v>0</v>
      </c>
      <c r="W241" s="1988">
        <f ca="1"/>
        <v>0</v>
      </c>
      <c r="X241" s="1988">
        <f ca="1"/>
        <v>0</v>
      </c>
      <c r="Y241" s="2007">
        <f ca="1"/>
        <v>0</v>
      </c>
    </row>
    <row r="242" spans="1:25">
      <c r="A242" s="1995" t="str">
        <f>A$77</f>
        <v>5 meses antes</v>
      </c>
      <c r="B242" s="1991"/>
      <c r="C242" s="1991"/>
      <c r="D242" s="1991"/>
      <c r="E242" s="1991"/>
      <c r="F242" s="1991"/>
      <c r="G242" s="1991"/>
      <c r="H242" s="1991"/>
      <c r="I242" s="603">
        <f t="array" aca="1" ref="I242:T242" ca="1">B27:M27*Produção!$I$15</f>
        <v>0</v>
      </c>
      <c r="J242" s="603">
        <f ca="1"/>
        <v>0</v>
      </c>
      <c r="K242" s="603">
        <f ca="1"/>
        <v>0</v>
      </c>
      <c r="L242" s="603">
        <f ca="1"/>
        <v>0</v>
      </c>
      <c r="M242" s="603">
        <f ca="1"/>
        <v>0</v>
      </c>
      <c r="N242" s="603">
        <f ca="1"/>
        <v>0</v>
      </c>
      <c r="O242" s="603">
        <f ca="1"/>
        <v>0</v>
      </c>
      <c r="P242" s="603">
        <f ca="1"/>
        <v>0</v>
      </c>
      <c r="Q242" s="603">
        <f ca="1"/>
        <v>0</v>
      </c>
      <c r="R242" s="603">
        <f ca="1"/>
        <v>0</v>
      </c>
      <c r="S242" s="603">
        <f ca="1"/>
        <v>0</v>
      </c>
      <c r="T242" s="603">
        <f ca="1"/>
        <v>0</v>
      </c>
      <c r="U242" s="1988">
        <f t="array" aca="1" ref="U242:U249" ca="1">'Distr CV 4'!I242:I249</f>
        <v>0</v>
      </c>
      <c r="V242" s="1988">
        <f ca="1"/>
        <v>0</v>
      </c>
      <c r="W242" s="1988">
        <f ca="1"/>
        <v>0</v>
      </c>
      <c r="X242" s="1988">
        <f ca="1"/>
        <v>0</v>
      </c>
      <c r="Y242" s="2007">
        <f ca="1"/>
        <v>0</v>
      </c>
    </row>
    <row r="243" spans="1:25">
      <c r="A243" s="1995" t="str">
        <f>A$78</f>
        <v>6 meses antes</v>
      </c>
      <c r="B243" s="1991"/>
      <c r="C243" s="1991"/>
      <c r="D243" s="1991"/>
      <c r="E243" s="1991"/>
      <c r="F243" s="1991"/>
      <c r="G243" s="1991"/>
      <c r="H243" s="603">
        <f t="array" aca="1" ref="H243:S243" ca="1">B27:M27*Produção!$H$15</f>
        <v>0</v>
      </c>
      <c r="I243" s="603">
        <f ca="1"/>
        <v>0</v>
      </c>
      <c r="J243" s="603">
        <f ca="1"/>
        <v>0</v>
      </c>
      <c r="K243" s="603">
        <f ca="1"/>
        <v>0</v>
      </c>
      <c r="L243" s="603">
        <f ca="1"/>
        <v>0</v>
      </c>
      <c r="M243" s="603">
        <f ca="1"/>
        <v>0</v>
      </c>
      <c r="N243" s="603">
        <f ca="1"/>
        <v>0</v>
      </c>
      <c r="O243" s="603">
        <f ca="1"/>
        <v>0</v>
      </c>
      <c r="P243" s="603">
        <f ca="1"/>
        <v>0</v>
      </c>
      <c r="Q243" s="603">
        <f ca="1"/>
        <v>0</v>
      </c>
      <c r="R243" s="603">
        <f ca="1"/>
        <v>0</v>
      </c>
      <c r="S243" s="603">
        <f ca="1"/>
        <v>0</v>
      </c>
      <c r="T243" s="1988">
        <f t="array" aca="1" ref="T243:T249" ca="1">'Distr CV 4'!H243:H249</f>
        <v>0</v>
      </c>
      <c r="U243" s="1988">
        <f ca="1"/>
        <v>0</v>
      </c>
      <c r="V243" s="1988">
        <f ca="1"/>
        <v>0</v>
      </c>
      <c r="W243" s="1988">
        <f ca="1"/>
        <v>0</v>
      </c>
      <c r="X243" s="1988">
        <f ca="1"/>
        <v>0</v>
      </c>
      <c r="Y243" s="2007">
        <f ca="1"/>
        <v>0</v>
      </c>
    </row>
    <row r="244" spans="1:25">
      <c r="A244" s="1995" t="str">
        <f>A$79</f>
        <v>7 meses antes</v>
      </c>
      <c r="B244" s="1991"/>
      <c r="C244" s="1991"/>
      <c r="D244" s="1991"/>
      <c r="E244" s="1991"/>
      <c r="F244" s="1991"/>
      <c r="G244" s="603">
        <f t="array" aca="1" ref="G244:R244" ca="1">B27:M27*Produção!$G$15</f>
        <v>0</v>
      </c>
      <c r="H244" s="603">
        <f ca="1"/>
        <v>0</v>
      </c>
      <c r="I244" s="603">
        <f ca="1"/>
        <v>0</v>
      </c>
      <c r="J244" s="603">
        <f ca="1"/>
        <v>0</v>
      </c>
      <c r="K244" s="603">
        <f ca="1"/>
        <v>0</v>
      </c>
      <c r="L244" s="603">
        <f ca="1"/>
        <v>0</v>
      </c>
      <c r="M244" s="603">
        <f ca="1"/>
        <v>0</v>
      </c>
      <c r="N244" s="603">
        <f ca="1"/>
        <v>0</v>
      </c>
      <c r="O244" s="603">
        <f ca="1"/>
        <v>0</v>
      </c>
      <c r="P244" s="603">
        <f ca="1"/>
        <v>0</v>
      </c>
      <c r="Q244" s="603">
        <f ca="1"/>
        <v>0</v>
      </c>
      <c r="R244" s="603">
        <f ca="1"/>
        <v>0</v>
      </c>
      <c r="S244" s="1992">
        <f t="array" aca="1" ref="S244:S249" ca="1">'Distr CV 4'!G244:G249</f>
        <v>0</v>
      </c>
      <c r="T244" s="1992">
        <f ca="1"/>
        <v>0</v>
      </c>
      <c r="U244" s="1992">
        <f ca="1"/>
        <v>0</v>
      </c>
      <c r="V244" s="1992">
        <f ca="1"/>
        <v>0</v>
      </c>
      <c r="W244" s="1992">
        <f ca="1"/>
        <v>0</v>
      </c>
      <c r="X244" s="1992">
        <f ca="1"/>
        <v>0</v>
      </c>
      <c r="Y244" s="2010">
        <f ca="1"/>
        <v>0</v>
      </c>
    </row>
    <row r="245" spans="1:25">
      <c r="A245" s="1995" t="str">
        <f>A$80</f>
        <v>8 meses antes</v>
      </c>
      <c r="B245" s="1991"/>
      <c r="C245" s="1991"/>
      <c r="D245" s="1991"/>
      <c r="E245" s="1991"/>
      <c r="F245" s="603">
        <f t="array" aca="1" ref="F245:Q245" ca="1">B27:M27*Produção!$F$15</f>
        <v>0</v>
      </c>
      <c r="G245" s="603">
        <f ca="1"/>
        <v>0</v>
      </c>
      <c r="H245" s="603">
        <f ca="1"/>
        <v>0</v>
      </c>
      <c r="I245" s="603">
        <f ca="1"/>
        <v>0</v>
      </c>
      <c r="J245" s="603">
        <f ca="1"/>
        <v>0</v>
      </c>
      <c r="K245" s="603">
        <f ca="1"/>
        <v>0</v>
      </c>
      <c r="L245" s="603">
        <f ca="1"/>
        <v>0</v>
      </c>
      <c r="M245" s="603">
        <f ca="1"/>
        <v>0</v>
      </c>
      <c r="N245" s="603">
        <f ca="1"/>
        <v>0</v>
      </c>
      <c r="O245" s="603">
        <f ca="1"/>
        <v>0</v>
      </c>
      <c r="P245" s="603">
        <f ca="1"/>
        <v>0</v>
      </c>
      <c r="Q245" s="603">
        <f ca="1"/>
        <v>0</v>
      </c>
      <c r="R245" s="1992">
        <f t="array" aca="1" ref="R245:R249" ca="1">'Distr CV 4'!F245:F249</f>
        <v>0</v>
      </c>
      <c r="S245" s="1992">
        <f ca="1"/>
        <v>0</v>
      </c>
      <c r="T245" s="1992">
        <f ca="1"/>
        <v>0</v>
      </c>
      <c r="U245" s="1992">
        <f ca="1"/>
        <v>0</v>
      </c>
      <c r="V245" s="1992">
        <f ca="1"/>
        <v>0</v>
      </c>
      <c r="W245" s="1992">
        <f ca="1"/>
        <v>0</v>
      </c>
      <c r="X245" s="1992">
        <f ca="1"/>
        <v>0</v>
      </c>
      <c r="Y245" s="2010">
        <f ca="1"/>
        <v>0</v>
      </c>
    </row>
    <row r="246" spans="1:25">
      <c r="A246" s="1995" t="str">
        <f>A$81</f>
        <v>9 meses antes</v>
      </c>
      <c r="B246" s="1991"/>
      <c r="C246" s="1991"/>
      <c r="D246" s="1991"/>
      <c r="E246" s="603">
        <f t="array" aca="1" ref="E246:P246" ca="1">B27:M27*Produção!$E$15</f>
        <v>0</v>
      </c>
      <c r="F246" s="603">
        <f ca="1"/>
        <v>0</v>
      </c>
      <c r="G246" s="603">
        <f ca="1"/>
        <v>0</v>
      </c>
      <c r="H246" s="603">
        <f ca="1"/>
        <v>0</v>
      </c>
      <c r="I246" s="603">
        <f ca="1"/>
        <v>0</v>
      </c>
      <c r="J246" s="603">
        <f ca="1"/>
        <v>0</v>
      </c>
      <c r="K246" s="603">
        <f ca="1"/>
        <v>0</v>
      </c>
      <c r="L246" s="603">
        <f ca="1"/>
        <v>0</v>
      </c>
      <c r="M246" s="603">
        <f ca="1"/>
        <v>0</v>
      </c>
      <c r="N246" s="603">
        <f ca="1"/>
        <v>0</v>
      </c>
      <c r="O246" s="603">
        <f ca="1"/>
        <v>0</v>
      </c>
      <c r="P246" s="603">
        <f ca="1"/>
        <v>0</v>
      </c>
      <c r="Q246" s="1992">
        <f t="array" aca="1" ref="Q246:Q249" ca="1">'Distr CV 4'!E246:E249</f>
        <v>0</v>
      </c>
      <c r="R246" s="1992">
        <f ca="1"/>
        <v>0</v>
      </c>
      <c r="S246" s="1992">
        <f ca="1"/>
        <v>0</v>
      </c>
      <c r="T246" s="1992">
        <f ca="1"/>
        <v>0</v>
      </c>
      <c r="U246" s="1992">
        <f ca="1"/>
        <v>0</v>
      </c>
      <c r="V246" s="1992">
        <f ca="1"/>
        <v>0</v>
      </c>
      <c r="W246" s="1992">
        <f ca="1"/>
        <v>0</v>
      </c>
      <c r="X246" s="1992">
        <f ca="1"/>
        <v>0</v>
      </c>
      <c r="Y246" s="2010">
        <f ca="1"/>
        <v>0</v>
      </c>
    </row>
    <row r="247" spans="1:25">
      <c r="A247" s="1995" t="str">
        <f>A$82</f>
        <v>10 meses antes</v>
      </c>
      <c r="B247" s="1991"/>
      <c r="C247" s="1991"/>
      <c r="D247" s="603">
        <f t="array" aca="1" ref="D247:O247" ca="1">B27:M27*Produção!$D$15</f>
        <v>0</v>
      </c>
      <c r="E247" s="603">
        <f ca="1"/>
        <v>0</v>
      </c>
      <c r="F247" s="603">
        <f ca="1"/>
        <v>0</v>
      </c>
      <c r="G247" s="603">
        <f ca="1"/>
        <v>0</v>
      </c>
      <c r="H247" s="603">
        <f ca="1"/>
        <v>0</v>
      </c>
      <c r="I247" s="603">
        <f ca="1"/>
        <v>0</v>
      </c>
      <c r="J247" s="603">
        <f ca="1"/>
        <v>0</v>
      </c>
      <c r="K247" s="603">
        <f ca="1"/>
        <v>0</v>
      </c>
      <c r="L247" s="603">
        <f ca="1"/>
        <v>0</v>
      </c>
      <c r="M247" s="603">
        <f ca="1"/>
        <v>0</v>
      </c>
      <c r="N247" s="603">
        <f ca="1"/>
        <v>0</v>
      </c>
      <c r="O247" s="603">
        <f ca="1"/>
        <v>0</v>
      </c>
      <c r="P247" s="1992">
        <f t="array" aca="1" ref="P247:P249" ca="1">'Distr CV 4'!D247:D249</f>
        <v>0</v>
      </c>
      <c r="Q247" s="1992">
        <f ca="1"/>
        <v>0</v>
      </c>
      <c r="R247" s="1992">
        <f ca="1"/>
        <v>0</v>
      </c>
      <c r="S247" s="1992">
        <f ca="1"/>
        <v>0</v>
      </c>
      <c r="T247" s="1992">
        <f ca="1"/>
        <v>0</v>
      </c>
      <c r="U247" s="1992">
        <f ca="1"/>
        <v>0</v>
      </c>
      <c r="V247" s="1992">
        <f ca="1"/>
        <v>0</v>
      </c>
      <c r="W247" s="1992">
        <f ca="1"/>
        <v>0</v>
      </c>
      <c r="X247" s="1992">
        <f ca="1"/>
        <v>0</v>
      </c>
      <c r="Y247" s="2010">
        <f ca="1"/>
        <v>0</v>
      </c>
    </row>
    <row r="248" spans="1:25">
      <c r="A248" s="1995" t="str">
        <f>A$83</f>
        <v>11 meses antes</v>
      </c>
      <c r="B248" s="1991"/>
      <c r="C248" s="603">
        <f t="array" aca="1" ref="C248:N248" ca="1">B27:M27*Produção!$C$15</f>
        <v>0</v>
      </c>
      <c r="D248" s="603">
        <f ca="1"/>
        <v>0</v>
      </c>
      <c r="E248" s="603">
        <f ca="1"/>
        <v>0</v>
      </c>
      <c r="F248" s="603">
        <f ca="1"/>
        <v>0</v>
      </c>
      <c r="G248" s="603">
        <f ca="1"/>
        <v>0</v>
      </c>
      <c r="H248" s="603">
        <f ca="1"/>
        <v>0</v>
      </c>
      <c r="I248" s="603">
        <f ca="1"/>
        <v>0</v>
      </c>
      <c r="J248" s="603">
        <f ca="1"/>
        <v>0</v>
      </c>
      <c r="K248" s="603">
        <f ca="1"/>
        <v>0</v>
      </c>
      <c r="L248" s="603">
        <f ca="1"/>
        <v>0</v>
      </c>
      <c r="M248" s="603">
        <f ca="1"/>
        <v>0</v>
      </c>
      <c r="N248" s="603">
        <f ca="1"/>
        <v>0</v>
      </c>
      <c r="O248" s="1992">
        <f ca="1">'Distr CV 4'!C248</f>
        <v>0</v>
      </c>
      <c r="P248" s="1992">
        <f ca="1"/>
        <v>0</v>
      </c>
      <c r="Q248" s="1992">
        <f ca="1"/>
        <v>0</v>
      </c>
      <c r="R248" s="1992">
        <f ca="1"/>
        <v>0</v>
      </c>
      <c r="S248" s="1992">
        <f ca="1"/>
        <v>0</v>
      </c>
      <c r="T248" s="1992">
        <f ca="1"/>
        <v>0</v>
      </c>
      <c r="U248" s="1992">
        <f ca="1"/>
        <v>0</v>
      </c>
      <c r="V248" s="1992">
        <f ca="1"/>
        <v>0</v>
      </c>
      <c r="W248" s="1992">
        <f ca="1"/>
        <v>0</v>
      </c>
      <c r="X248" s="1992">
        <f ca="1"/>
        <v>0</v>
      </c>
      <c r="Y248" s="2010">
        <f ca="1"/>
        <v>0</v>
      </c>
    </row>
    <row r="249" spans="1:25" ht="13.5" thickBot="1">
      <c r="A249" s="1995" t="str">
        <f>A$84</f>
        <v>12 meses antes</v>
      </c>
      <c r="B249" s="603">
        <f t="array" aca="1" ref="B249:M249" ca="1">B27:M27*Produção!$B$15</f>
        <v>0</v>
      </c>
      <c r="C249" s="603">
        <f ca="1"/>
        <v>0</v>
      </c>
      <c r="D249" s="603">
        <f ca="1"/>
        <v>0</v>
      </c>
      <c r="E249" s="603">
        <f ca="1"/>
        <v>0</v>
      </c>
      <c r="F249" s="603">
        <f ca="1"/>
        <v>0</v>
      </c>
      <c r="G249" s="603">
        <f ca="1"/>
        <v>0</v>
      </c>
      <c r="H249" s="603">
        <f ca="1"/>
        <v>0</v>
      </c>
      <c r="I249" s="603">
        <f ca="1"/>
        <v>0</v>
      </c>
      <c r="J249" s="603">
        <f ca="1"/>
        <v>0</v>
      </c>
      <c r="K249" s="603">
        <f ca="1"/>
        <v>0</v>
      </c>
      <c r="L249" s="603">
        <f ca="1"/>
        <v>0</v>
      </c>
      <c r="M249" s="603">
        <f ca="1"/>
        <v>0</v>
      </c>
      <c r="N249" s="1991">
        <f ca="1">'Distr CV 4'!B249</f>
        <v>0</v>
      </c>
      <c r="O249" s="1992">
        <f ca="1">'Distr CV 4'!C249</f>
        <v>0</v>
      </c>
      <c r="P249" s="1992">
        <f ca="1"/>
        <v>0</v>
      </c>
      <c r="Q249" s="1992">
        <f ca="1"/>
        <v>0</v>
      </c>
      <c r="R249" s="1992">
        <f ca="1"/>
        <v>0</v>
      </c>
      <c r="S249" s="1992">
        <f ca="1"/>
        <v>0</v>
      </c>
      <c r="T249" s="1992">
        <f ca="1"/>
        <v>0</v>
      </c>
      <c r="U249" s="1992">
        <f ca="1"/>
        <v>0</v>
      </c>
      <c r="V249" s="1992">
        <f ca="1"/>
        <v>0</v>
      </c>
      <c r="W249" s="1992">
        <f ca="1"/>
        <v>0</v>
      </c>
      <c r="X249" s="1992">
        <f ca="1"/>
        <v>0</v>
      </c>
      <c r="Y249" s="2010">
        <f ca="1"/>
        <v>0</v>
      </c>
    </row>
    <row r="250" spans="1:25" ht="13.5" thickBot="1">
      <c r="A250" s="105" t="str">
        <f>"Totales CV "&amp;A$15</f>
        <v xml:space="preserve">Totales CV </v>
      </c>
      <c r="B250" s="607">
        <f t="shared" ref="B250:Y250" ca="1" si="18">SUM(B237:B249)</f>
        <v>0</v>
      </c>
      <c r="C250" s="607">
        <f t="shared" ca="1" si="18"/>
        <v>0</v>
      </c>
      <c r="D250" s="607">
        <f t="shared" ca="1" si="18"/>
        <v>0</v>
      </c>
      <c r="E250" s="607">
        <f t="shared" ca="1" si="18"/>
        <v>0</v>
      </c>
      <c r="F250" s="607">
        <f t="shared" ca="1" si="18"/>
        <v>0</v>
      </c>
      <c r="G250" s="607">
        <f t="shared" ca="1" si="18"/>
        <v>0</v>
      </c>
      <c r="H250" s="607">
        <f t="shared" ca="1" si="18"/>
        <v>0</v>
      </c>
      <c r="I250" s="607">
        <f t="shared" ca="1" si="18"/>
        <v>0</v>
      </c>
      <c r="J250" s="607">
        <f t="shared" ca="1" si="18"/>
        <v>0</v>
      </c>
      <c r="K250" s="607">
        <f t="shared" ca="1" si="18"/>
        <v>0</v>
      </c>
      <c r="L250" s="607">
        <f t="shared" ca="1" si="18"/>
        <v>0</v>
      </c>
      <c r="M250" s="607">
        <f t="shared" ca="1" si="18"/>
        <v>0</v>
      </c>
      <c r="N250" s="607">
        <f t="shared" ca="1" si="18"/>
        <v>0</v>
      </c>
      <c r="O250" s="607">
        <f t="shared" ca="1" si="18"/>
        <v>0</v>
      </c>
      <c r="P250" s="607">
        <f t="shared" ca="1" si="18"/>
        <v>0</v>
      </c>
      <c r="Q250" s="607">
        <f t="shared" ca="1" si="18"/>
        <v>0</v>
      </c>
      <c r="R250" s="607">
        <f t="shared" ca="1" si="18"/>
        <v>0</v>
      </c>
      <c r="S250" s="607">
        <f t="shared" ca="1" si="18"/>
        <v>0</v>
      </c>
      <c r="T250" s="607">
        <f t="shared" ca="1" si="18"/>
        <v>0</v>
      </c>
      <c r="U250" s="607">
        <f t="shared" ca="1" si="18"/>
        <v>0</v>
      </c>
      <c r="V250" s="607">
        <f t="shared" ca="1" si="18"/>
        <v>0</v>
      </c>
      <c r="W250" s="607">
        <f t="shared" ca="1" si="18"/>
        <v>0</v>
      </c>
      <c r="X250" s="607">
        <f t="shared" ca="1" si="18"/>
        <v>0</v>
      </c>
      <c r="Y250" s="2008">
        <f t="shared" ca="1" si="18"/>
        <v>0</v>
      </c>
    </row>
    <row r="251" spans="1:25" ht="13.5" thickBot="1">
      <c r="A251" s="105" t="str">
        <f>'Dados Básicos'!A28&amp;" sop. CV "&amp;$A$15</f>
        <v xml:space="preserve">IVA sop. CV </v>
      </c>
      <c r="B251" s="607">
        <f t="array" aca="1" ref="B251:Y251" ca="1">$K$235*B250:Y250</f>
        <v>0</v>
      </c>
      <c r="C251" s="607">
        <f ca="1"/>
        <v>0</v>
      </c>
      <c r="D251" s="607">
        <f ca="1"/>
        <v>0</v>
      </c>
      <c r="E251" s="607">
        <f ca="1"/>
        <v>0</v>
      </c>
      <c r="F251" s="607">
        <f ca="1"/>
        <v>0</v>
      </c>
      <c r="G251" s="607">
        <f ca="1"/>
        <v>0</v>
      </c>
      <c r="H251" s="607">
        <f ca="1"/>
        <v>0</v>
      </c>
      <c r="I251" s="607">
        <f ca="1"/>
        <v>0</v>
      </c>
      <c r="J251" s="607">
        <f ca="1"/>
        <v>0</v>
      </c>
      <c r="K251" s="607">
        <f ca="1"/>
        <v>0</v>
      </c>
      <c r="L251" s="607">
        <f ca="1"/>
        <v>0</v>
      </c>
      <c r="M251" s="607">
        <f ca="1"/>
        <v>0</v>
      </c>
      <c r="N251" s="607">
        <f ca="1"/>
        <v>0</v>
      </c>
      <c r="O251" s="607">
        <f ca="1"/>
        <v>0</v>
      </c>
      <c r="P251" s="607">
        <f ca="1"/>
        <v>0</v>
      </c>
      <c r="Q251" s="607">
        <f ca="1"/>
        <v>0</v>
      </c>
      <c r="R251" s="607">
        <f ca="1"/>
        <v>0</v>
      </c>
      <c r="S251" s="607">
        <f ca="1"/>
        <v>0</v>
      </c>
      <c r="T251" s="607">
        <f ca="1"/>
        <v>0</v>
      </c>
      <c r="U251" s="607">
        <f ca="1"/>
        <v>0</v>
      </c>
      <c r="V251" s="607">
        <f ca="1"/>
        <v>0</v>
      </c>
      <c r="W251" s="607">
        <f ca="1"/>
        <v>0</v>
      </c>
      <c r="X251" s="607">
        <f ca="1"/>
        <v>0</v>
      </c>
      <c r="Y251" s="2008">
        <f ca="1"/>
        <v>0</v>
      </c>
    </row>
  </sheetData>
  <sheetProtection sheet="1" objects="1" scenarios="1"/>
  <phoneticPr fontId="4"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6">
    <tabColor indexed="10"/>
    <pageSetUpPr fitToPage="1"/>
  </sheetPr>
  <dimension ref="A1:Z251"/>
  <sheetViews>
    <sheetView workbookViewId="0"/>
  </sheetViews>
  <sheetFormatPr baseColWidth="10" defaultColWidth="11" defaultRowHeight="12.75"/>
  <cols>
    <col min="1" max="1" width="24" style="239" customWidth="1"/>
    <col min="2" max="2" width="11.375" style="61" customWidth="1"/>
    <col min="3" max="4" width="11.375" style="62" customWidth="1"/>
    <col min="5" max="5" width="10.375" style="62" customWidth="1"/>
    <col min="6" max="14" width="11.375" style="62" customWidth="1"/>
    <col min="15" max="15" width="11.5" style="239" customWidth="1"/>
    <col min="16" max="16384" width="11" style="62"/>
  </cols>
  <sheetData>
    <row r="1" spans="1:15" ht="22.5">
      <c r="A1" s="68" t="str">
        <f>'Distr CV 0'!A1</f>
        <v>Previsões de produção: Distribuição dos custos variáveis das unidades vendidas no</v>
      </c>
      <c r="K1" s="2712" t="str">
        <f>Parametros!F$77</f>
        <v>Ano 4:  2030</v>
      </c>
      <c r="L1" s="432"/>
    </row>
    <row r="2" spans="1:15" ht="22.5">
      <c r="A2" s="68" t="str">
        <f>'Dados Básicos'!B9</f>
        <v>WWW, S.L.</v>
      </c>
    </row>
    <row r="3" spans="1:15" ht="14.25" customHeight="1">
      <c r="A3" s="60"/>
    </row>
    <row r="4" spans="1:15" ht="14.25" customHeight="1">
      <c r="A4" s="60"/>
    </row>
    <row r="5" spans="1:15" ht="14.25" customHeight="1">
      <c r="A5" s="60"/>
    </row>
    <row r="6" spans="1:15" ht="24" customHeight="1" thickBot="1">
      <c r="A6" s="433" t="str">
        <f>'Distr CV 0'!A6</f>
        <v>Previsão de unidades vendidas</v>
      </c>
    </row>
    <row r="7" spans="1:15" s="458" customFormat="1" ht="15.75" customHeight="1" thickBot="1">
      <c r="A7" s="457" t="str">
        <f>'Distr CV 0'!A7</f>
        <v>Vendas (Unidades)</v>
      </c>
      <c r="B7" s="455" t="str">
        <f t="array" ref="B7:M7">meses</f>
        <v>janeiro</v>
      </c>
      <c r="C7" s="451" t="str">
        <v>fevereiro</v>
      </c>
      <c r="D7" s="451" t="str">
        <v>março</v>
      </c>
      <c r="E7" s="451" t="str">
        <v>abril</v>
      </c>
      <c r="F7" s="451" t="str">
        <v>maio</v>
      </c>
      <c r="G7" s="451" t="str">
        <v>junho</v>
      </c>
      <c r="H7" s="451" t="str">
        <v>julho</v>
      </c>
      <c r="I7" s="451" t="str">
        <v>agosto</v>
      </c>
      <c r="J7" s="451" t="str">
        <v>setembro</v>
      </c>
      <c r="K7" s="451" t="str">
        <v>outubro</v>
      </c>
      <c r="L7" s="451" t="str">
        <v>novembro</v>
      </c>
      <c r="M7" s="452" t="str">
        <v>dezembro</v>
      </c>
      <c r="N7" s="449" t="str">
        <f>'Distr CV 0'!N7</f>
        <v>Totais</v>
      </c>
    </row>
    <row r="8" spans="1:15" ht="15.75" customHeight="1">
      <c r="A8" s="1996" t="str">
        <f t="array" ref="A8:A15">productos</f>
        <v>produto 1</v>
      </c>
      <c r="B8" s="589">
        <f t="array" aca="1" ref="B8:M15" ca="1">'Prev.Vendas 4'!B5:M12</f>
        <v>1158</v>
      </c>
      <c r="C8" s="590">
        <f ca="1"/>
        <v>1158</v>
      </c>
      <c r="D8" s="590">
        <f ca="1"/>
        <v>1158</v>
      </c>
      <c r="E8" s="590">
        <f ca="1"/>
        <v>1158</v>
      </c>
      <c r="F8" s="590">
        <f ca="1"/>
        <v>1158</v>
      </c>
      <c r="G8" s="590">
        <f ca="1"/>
        <v>1158</v>
      </c>
      <c r="H8" s="590">
        <f ca="1"/>
        <v>1158</v>
      </c>
      <c r="I8" s="590">
        <f ca="1"/>
        <v>1158</v>
      </c>
      <c r="J8" s="590">
        <f ca="1"/>
        <v>1158</v>
      </c>
      <c r="K8" s="590">
        <f ca="1"/>
        <v>1158</v>
      </c>
      <c r="L8" s="590">
        <f ca="1"/>
        <v>1158</v>
      </c>
      <c r="M8" s="612">
        <f ca="1"/>
        <v>1158</v>
      </c>
      <c r="N8" s="591">
        <f t="shared" ref="N8:N15" ca="1" si="0">SUM(B8:M8)</f>
        <v>13896</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c r="A12" s="1997" t="str">
        <v/>
      </c>
      <c r="B12" s="592">
        <f ca="1"/>
        <v>0</v>
      </c>
      <c r="C12" s="593">
        <f ca="1"/>
        <v>0</v>
      </c>
      <c r="D12" s="593">
        <f ca="1"/>
        <v>0</v>
      </c>
      <c r="E12" s="593">
        <f ca="1"/>
        <v>0</v>
      </c>
      <c r="F12" s="593">
        <f ca="1"/>
        <v>0</v>
      </c>
      <c r="G12" s="593">
        <f ca="1"/>
        <v>0</v>
      </c>
      <c r="H12" s="593">
        <f ca="1"/>
        <v>0</v>
      </c>
      <c r="I12" s="593">
        <f ca="1"/>
        <v>0</v>
      </c>
      <c r="J12" s="593">
        <f ca="1"/>
        <v>0</v>
      </c>
      <c r="K12" s="593">
        <f ca="1"/>
        <v>0</v>
      </c>
      <c r="L12" s="593">
        <f ca="1"/>
        <v>0</v>
      </c>
      <c r="M12" s="613">
        <f ca="1"/>
        <v>0</v>
      </c>
      <c r="N12" s="594">
        <f t="shared" ca="1" si="0"/>
        <v>0</v>
      </c>
      <c r="O12" s="62"/>
    </row>
    <row r="13" spans="1:15" ht="15.75" customHeight="1">
      <c r="A13" s="1997" t="str">
        <v/>
      </c>
      <c r="B13" s="592">
        <f ca="1"/>
        <v>0</v>
      </c>
      <c r="C13" s="593">
        <f ca="1"/>
        <v>0</v>
      </c>
      <c r="D13" s="593">
        <f ca="1"/>
        <v>0</v>
      </c>
      <c r="E13" s="593">
        <f ca="1"/>
        <v>0</v>
      </c>
      <c r="F13" s="593">
        <f ca="1"/>
        <v>0</v>
      </c>
      <c r="G13" s="593">
        <f ca="1"/>
        <v>0</v>
      </c>
      <c r="H13" s="593">
        <f ca="1"/>
        <v>0</v>
      </c>
      <c r="I13" s="593">
        <f ca="1"/>
        <v>0</v>
      </c>
      <c r="J13" s="593">
        <f ca="1"/>
        <v>0</v>
      </c>
      <c r="K13" s="593">
        <f ca="1"/>
        <v>0</v>
      </c>
      <c r="L13" s="593">
        <f ca="1"/>
        <v>0</v>
      </c>
      <c r="M13" s="613">
        <f ca="1"/>
        <v>0</v>
      </c>
      <c r="N13" s="594">
        <f t="shared" ca="1" si="0"/>
        <v>0</v>
      </c>
      <c r="O13" s="62"/>
    </row>
    <row r="14" spans="1:15" ht="15.75" customHeight="1">
      <c r="A14" s="1997" t="str">
        <v/>
      </c>
      <c r="B14" s="592">
        <f ca="1"/>
        <v>0</v>
      </c>
      <c r="C14" s="593">
        <f ca="1"/>
        <v>0</v>
      </c>
      <c r="D14" s="593">
        <f ca="1"/>
        <v>0</v>
      </c>
      <c r="E14" s="593">
        <f ca="1"/>
        <v>0</v>
      </c>
      <c r="F14" s="593">
        <f ca="1"/>
        <v>0</v>
      </c>
      <c r="G14" s="593">
        <f ca="1"/>
        <v>0</v>
      </c>
      <c r="H14" s="593">
        <f ca="1"/>
        <v>0</v>
      </c>
      <c r="I14" s="593">
        <f ca="1"/>
        <v>0</v>
      </c>
      <c r="J14" s="593">
        <f ca="1"/>
        <v>0</v>
      </c>
      <c r="K14" s="593">
        <f ca="1"/>
        <v>0</v>
      </c>
      <c r="L14" s="593">
        <f ca="1"/>
        <v>0</v>
      </c>
      <c r="M14" s="613">
        <f ca="1"/>
        <v>0</v>
      </c>
      <c r="N14" s="594">
        <f t="shared" ca="1" si="0"/>
        <v>0</v>
      </c>
      <c r="O14" s="62"/>
    </row>
    <row r="15" spans="1:15" ht="15.75" customHeight="1" thickBot="1">
      <c r="A15" s="1998" t="str">
        <v/>
      </c>
      <c r="B15" s="595">
        <f ca="1"/>
        <v>0</v>
      </c>
      <c r="C15" s="596">
        <f ca="1"/>
        <v>0</v>
      </c>
      <c r="D15" s="596">
        <f ca="1"/>
        <v>0</v>
      </c>
      <c r="E15" s="596">
        <f ca="1"/>
        <v>0</v>
      </c>
      <c r="F15" s="596">
        <f ca="1"/>
        <v>0</v>
      </c>
      <c r="G15" s="596">
        <f ca="1"/>
        <v>0</v>
      </c>
      <c r="H15" s="596">
        <f ca="1"/>
        <v>0</v>
      </c>
      <c r="I15" s="596">
        <f ca="1"/>
        <v>0</v>
      </c>
      <c r="J15" s="596">
        <f ca="1"/>
        <v>0</v>
      </c>
      <c r="K15" s="596">
        <f ca="1"/>
        <v>0</v>
      </c>
      <c r="L15" s="596">
        <f ca="1"/>
        <v>0</v>
      </c>
      <c r="M15" s="614">
        <f ca="1"/>
        <v>0</v>
      </c>
      <c r="N15" s="597">
        <f t="shared" ca="1" si="0"/>
        <v>0</v>
      </c>
      <c r="O15" s="62"/>
    </row>
    <row r="16" spans="1:15" ht="15">
      <c r="A16" s="73"/>
    </row>
    <row r="17" spans="1:15" ht="15">
      <c r="A17" s="220"/>
    </row>
    <row r="18" spans="1:15" ht="18.75" thickBot="1">
      <c r="A18" s="1993" t="str">
        <f>'Distr CV 0'!A18</f>
        <v>Previsão de custos de produção das unidades vendidas</v>
      </c>
      <c r="G18" s="2741" t="str">
        <f>$K$1</f>
        <v>Ano 4:  2030</v>
      </c>
      <c r="I18" s="1993" t="str">
        <f>'Distr CV 0'!I18</f>
        <v>IVA NÃO incluido</v>
      </c>
    </row>
    <row r="19" spans="1:15" s="456" customFormat="1" ht="15.75" customHeight="1" thickBot="1">
      <c r="A19" s="457" t="str">
        <f>'Distr CV 0'!A19</f>
        <v>Custos produção</v>
      </c>
      <c r="B19" s="455" t="str">
        <f t="array" ref="B19:M19">meses</f>
        <v>janeiro</v>
      </c>
      <c r="C19" s="451" t="str">
        <v>fevereiro</v>
      </c>
      <c r="D19" s="451" t="str">
        <v>março</v>
      </c>
      <c r="E19" s="451" t="str">
        <v>abril</v>
      </c>
      <c r="F19" s="451" t="str">
        <v>maio</v>
      </c>
      <c r="G19" s="451" t="str">
        <v>junho</v>
      </c>
      <c r="H19" s="451" t="str">
        <v>julho</v>
      </c>
      <c r="I19" s="451" t="str">
        <v>agosto</v>
      </c>
      <c r="J19" s="451" t="str">
        <v>setembro</v>
      </c>
      <c r="K19" s="451" t="str">
        <v>outubro</v>
      </c>
      <c r="L19" s="451" t="str">
        <v>novembro</v>
      </c>
      <c r="M19" s="452" t="str">
        <v>dezembro</v>
      </c>
      <c r="N19" s="449" t="str">
        <f>N$7</f>
        <v>Totais</v>
      </c>
    </row>
    <row r="20" spans="1:15" ht="15.75" customHeight="1">
      <c r="A20" s="1996" t="str">
        <f t="array" ref="A20:A27">productos</f>
        <v>produto 1</v>
      </c>
      <c r="B20" s="598">
        <f t="array" aca="1" ref="B20:M27" ca="1">B8:M15*'Preços-CV'!$J19:$J26</f>
        <v>182.4674882772</v>
      </c>
      <c r="C20" s="599">
        <f ca="1"/>
        <v>182.4674882772</v>
      </c>
      <c r="D20" s="599">
        <f ca="1"/>
        <v>182.4674882772</v>
      </c>
      <c r="E20" s="599">
        <f ca="1"/>
        <v>182.4674882772</v>
      </c>
      <c r="F20" s="599">
        <f ca="1"/>
        <v>182.4674882772</v>
      </c>
      <c r="G20" s="599">
        <f ca="1"/>
        <v>182.4674882772</v>
      </c>
      <c r="H20" s="599">
        <f ca="1"/>
        <v>182.4674882772</v>
      </c>
      <c r="I20" s="599">
        <f ca="1"/>
        <v>182.4674882772</v>
      </c>
      <c r="J20" s="599">
        <f ca="1"/>
        <v>182.4674882772</v>
      </c>
      <c r="K20" s="599">
        <f ca="1"/>
        <v>182.4674882772</v>
      </c>
      <c r="L20" s="599">
        <f ca="1"/>
        <v>182.4674882772</v>
      </c>
      <c r="M20" s="609">
        <f ca="1"/>
        <v>182.4674882772</v>
      </c>
      <c r="N20" s="591">
        <f t="shared" ref="N20:N39" ca="1" si="1">SUM(B20:M20)</f>
        <v>2189.6098593264005</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c r="A24" s="1997" t="str">
        <v/>
      </c>
      <c r="B24" s="600">
        <f ca="1"/>
        <v>0</v>
      </c>
      <c r="C24" s="601">
        <f ca="1"/>
        <v>0</v>
      </c>
      <c r="D24" s="601">
        <f ca="1"/>
        <v>0</v>
      </c>
      <c r="E24" s="601">
        <f ca="1"/>
        <v>0</v>
      </c>
      <c r="F24" s="601">
        <f ca="1"/>
        <v>0</v>
      </c>
      <c r="G24" s="601">
        <f ca="1"/>
        <v>0</v>
      </c>
      <c r="H24" s="601">
        <f ca="1"/>
        <v>0</v>
      </c>
      <c r="I24" s="601">
        <f ca="1"/>
        <v>0</v>
      </c>
      <c r="J24" s="601">
        <f ca="1"/>
        <v>0</v>
      </c>
      <c r="K24" s="601">
        <f ca="1"/>
        <v>0</v>
      </c>
      <c r="L24" s="601">
        <f ca="1"/>
        <v>0</v>
      </c>
      <c r="M24" s="610">
        <f ca="1"/>
        <v>0</v>
      </c>
      <c r="N24" s="594">
        <f t="shared" ca="1" si="1"/>
        <v>0</v>
      </c>
      <c r="O24" s="62"/>
    </row>
    <row r="25" spans="1:15" ht="15.75" customHeight="1">
      <c r="A25" s="1997" t="str">
        <v/>
      </c>
      <c r="B25" s="600">
        <f ca="1"/>
        <v>0</v>
      </c>
      <c r="C25" s="601">
        <f ca="1"/>
        <v>0</v>
      </c>
      <c r="D25" s="601">
        <f ca="1"/>
        <v>0</v>
      </c>
      <c r="E25" s="601">
        <f ca="1"/>
        <v>0</v>
      </c>
      <c r="F25" s="601">
        <f ca="1"/>
        <v>0</v>
      </c>
      <c r="G25" s="601">
        <f ca="1"/>
        <v>0</v>
      </c>
      <c r="H25" s="601">
        <f ca="1"/>
        <v>0</v>
      </c>
      <c r="I25" s="601">
        <f ca="1"/>
        <v>0</v>
      </c>
      <c r="J25" s="601">
        <f ca="1"/>
        <v>0</v>
      </c>
      <c r="K25" s="601">
        <f ca="1"/>
        <v>0</v>
      </c>
      <c r="L25" s="601">
        <f ca="1"/>
        <v>0</v>
      </c>
      <c r="M25" s="610">
        <f ca="1"/>
        <v>0</v>
      </c>
      <c r="N25" s="594">
        <f t="shared" ca="1" si="1"/>
        <v>0</v>
      </c>
      <c r="O25" s="62"/>
    </row>
    <row r="26" spans="1:15" ht="15.75" customHeight="1">
      <c r="A26" s="1997" t="str">
        <v/>
      </c>
      <c r="B26" s="600">
        <f ca="1"/>
        <v>0</v>
      </c>
      <c r="C26" s="601">
        <f ca="1"/>
        <v>0</v>
      </c>
      <c r="D26" s="601">
        <f ca="1"/>
        <v>0</v>
      </c>
      <c r="E26" s="601">
        <f ca="1"/>
        <v>0</v>
      </c>
      <c r="F26" s="601">
        <f ca="1"/>
        <v>0</v>
      </c>
      <c r="G26" s="601">
        <f ca="1"/>
        <v>0</v>
      </c>
      <c r="H26" s="601">
        <f ca="1"/>
        <v>0</v>
      </c>
      <c r="I26" s="601">
        <f ca="1"/>
        <v>0</v>
      </c>
      <c r="J26" s="601">
        <f ca="1"/>
        <v>0</v>
      </c>
      <c r="K26" s="601">
        <f ca="1"/>
        <v>0</v>
      </c>
      <c r="L26" s="601">
        <f ca="1"/>
        <v>0</v>
      </c>
      <c r="M26" s="610">
        <f ca="1"/>
        <v>0</v>
      </c>
      <c r="N26" s="594">
        <f t="shared" ca="1" si="1"/>
        <v>0</v>
      </c>
      <c r="O26" s="62"/>
    </row>
    <row r="27" spans="1:15" ht="15.75" customHeight="1" thickBot="1">
      <c r="A27" s="1998" t="str">
        <v/>
      </c>
      <c r="B27" s="602">
        <f ca="1"/>
        <v>0</v>
      </c>
      <c r="C27" s="603">
        <f ca="1"/>
        <v>0</v>
      </c>
      <c r="D27" s="603">
        <f ca="1"/>
        <v>0</v>
      </c>
      <c r="E27" s="603">
        <f ca="1"/>
        <v>0</v>
      </c>
      <c r="F27" s="603">
        <f ca="1"/>
        <v>0</v>
      </c>
      <c r="G27" s="603">
        <f ca="1"/>
        <v>0</v>
      </c>
      <c r="H27" s="603">
        <f ca="1"/>
        <v>0</v>
      </c>
      <c r="I27" s="603">
        <f ca="1"/>
        <v>0</v>
      </c>
      <c r="J27" s="603">
        <f ca="1"/>
        <v>0</v>
      </c>
      <c r="K27" s="603">
        <f ca="1"/>
        <v>0</v>
      </c>
      <c r="L27" s="603">
        <f ca="1"/>
        <v>0</v>
      </c>
      <c r="M27" s="611">
        <f ca="1"/>
        <v>0</v>
      </c>
      <c r="N27" s="604">
        <f t="shared" ca="1" si="1"/>
        <v>0</v>
      </c>
      <c r="O27" s="62"/>
    </row>
    <row r="28" spans="1:15" ht="15.75" customHeight="1" thickBot="1">
      <c r="A28" s="105" t="str">
        <f>'Distr CV 0'!A28</f>
        <v>Totais</v>
      </c>
      <c r="B28" s="606">
        <f t="shared" ref="B28:M28" ca="1" si="2">SUM(B20:B27)</f>
        <v>182.4674882772</v>
      </c>
      <c r="C28" s="607">
        <f t="shared" ca="1" si="2"/>
        <v>182.4674882772</v>
      </c>
      <c r="D28" s="607">
        <f t="shared" ca="1" si="2"/>
        <v>182.4674882772</v>
      </c>
      <c r="E28" s="607">
        <f t="shared" ca="1" si="2"/>
        <v>182.4674882772</v>
      </c>
      <c r="F28" s="607">
        <f t="shared" ca="1" si="2"/>
        <v>182.4674882772</v>
      </c>
      <c r="G28" s="607">
        <f t="shared" ca="1" si="2"/>
        <v>182.4674882772</v>
      </c>
      <c r="H28" s="607">
        <f t="shared" ca="1" si="2"/>
        <v>182.4674882772</v>
      </c>
      <c r="I28" s="607">
        <f t="shared" ca="1" si="2"/>
        <v>182.4674882772</v>
      </c>
      <c r="J28" s="607">
        <f t="shared" ca="1" si="2"/>
        <v>182.4674882772</v>
      </c>
      <c r="K28" s="607">
        <f t="shared" ca="1" si="2"/>
        <v>182.4674882772</v>
      </c>
      <c r="L28" s="607">
        <f t="shared" ca="1" si="2"/>
        <v>182.4674882772</v>
      </c>
      <c r="M28" s="608">
        <f t="shared" ca="1" si="2"/>
        <v>182.4674882772</v>
      </c>
      <c r="N28" s="605">
        <f t="shared" ca="1" si="1"/>
        <v>2189.6098593264005</v>
      </c>
      <c r="O28" s="62"/>
    </row>
    <row r="29" spans="1:15" ht="15">
      <c r="A29" s="220"/>
    </row>
    <row r="30" spans="1:15" ht="15.75" thickBot="1">
      <c r="A30" s="220"/>
    </row>
    <row r="31" spans="1:15" ht="19.5" customHeight="1" thickBot="1">
      <c r="A31" s="457" t="str">
        <f>'Distr CV 0'!A31</f>
        <v>IVA sop. Custos produç.</v>
      </c>
      <c r="B31" s="455"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tr">
        <f>N$7</f>
        <v>Totais</v>
      </c>
    </row>
    <row r="32" spans="1:15" ht="15.75" customHeight="1">
      <c r="A32" s="1996" t="str">
        <f t="array" ref="A32:A39">productos</f>
        <v>produto 1</v>
      </c>
      <c r="B32" s="598">
        <f t="array" aca="1" ref="B32:M39" ca="1">B20:M27*Parametros!$F24:$F31</f>
        <v>38.318172538211996</v>
      </c>
      <c r="C32" s="599">
        <f ca="1"/>
        <v>38.318172538211996</v>
      </c>
      <c r="D32" s="599">
        <f ca="1"/>
        <v>38.318172538211996</v>
      </c>
      <c r="E32" s="599">
        <f ca="1"/>
        <v>38.318172538211996</v>
      </c>
      <c r="F32" s="599">
        <f ca="1"/>
        <v>38.318172538211996</v>
      </c>
      <c r="G32" s="599">
        <f ca="1"/>
        <v>38.318172538211996</v>
      </c>
      <c r="H32" s="599">
        <f ca="1"/>
        <v>38.318172538211996</v>
      </c>
      <c r="I32" s="599">
        <f ca="1"/>
        <v>38.318172538211996</v>
      </c>
      <c r="J32" s="599">
        <f ca="1"/>
        <v>38.318172538211996</v>
      </c>
      <c r="K32" s="599">
        <f ca="1"/>
        <v>38.318172538211996</v>
      </c>
      <c r="L32" s="599">
        <f ca="1"/>
        <v>38.318172538211996</v>
      </c>
      <c r="M32" s="609">
        <f ca="1"/>
        <v>38.318172538211996</v>
      </c>
      <c r="N32" s="591">
        <f t="shared" ca="1" si="1"/>
        <v>459.81807045854407</v>
      </c>
      <c r="O32" s="62"/>
    </row>
    <row r="33" spans="1:15" ht="15.75" customHeight="1">
      <c r="A33" s="1997" t="str">
        <v/>
      </c>
      <c r="B33" s="600">
        <f ca="1"/>
        <v>0</v>
      </c>
      <c r="C33" s="601">
        <f ca="1"/>
        <v>0</v>
      </c>
      <c r="D33" s="601">
        <f ca="1"/>
        <v>0</v>
      </c>
      <c r="E33" s="601">
        <f ca="1"/>
        <v>0</v>
      </c>
      <c r="F33" s="601">
        <f ca="1"/>
        <v>0</v>
      </c>
      <c r="G33" s="601">
        <f ca="1"/>
        <v>0</v>
      </c>
      <c r="H33" s="601">
        <f ca="1"/>
        <v>0</v>
      </c>
      <c r="I33" s="601">
        <f ca="1"/>
        <v>0</v>
      </c>
      <c r="J33" s="601">
        <f ca="1"/>
        <v>0</v>
      </c>
      <c r="K33" s="601">
        <f ca="1"/>
        <v>0</v>
      </c>
      <c r="L33" s="601">
        <f ca="1"/>
        <v>0</v>
      </c>
      <c r="M33" s="610">
        <f ca="1"/>
        <v>0</v>
      </c>
      <c r="N33" s="594">
        <f t="shared" ca="1" si="1"/>
        <v>0</v>
      </c>
      <c r="O33" s="62"/>
    </row>
    <row r="34" spans="1:15" ht="15.75" customHeight="1">
      <c r="A34" s="1997" t="str">
        <v/>
      </c>
      <c r="B34" s="600">
        <f ca="1"/>
        <v>0</v>
      </c>
      <c r="C34" s="601">
        <f ca="1"/>
        <v>0</v>
      </c>
      <c r="D34" s="601">
        <f ca="1"/>
        <v>0</v>
      </c>
      <c r="E34" s="601">
        <f ca="1"/>
        <v>0</v>
      </c>
      <c r="F34" s="601">
        <f ca="1"/>
        <v>0</v>
      </c>
      <c r="G34" s="601">
        <f ca="1"/>
        <v>0</v>
      </c>
      <c r="H34" s="601">
        <f ca="1"/>
        <v>0</v>
      </c>
      <c r="I34" s="601">
        <f ca="1"/>
        <v>0</v>
      </c>
      <c r="J34" s="601">
        <f ca="1"/>
        <v>0</v>
      </c>
      <c r="K34" s="601">
        <f ca="1"/>
        <v>0</v>
      </c>
      <c r="L34" s="601">
        <f ca="1"/>
        <v>0</v>
      </c>
      <c r="M34" s="610">
        <f ca="1"/>
        <v>0</v>
      </c>
      <c r="N34" s="594">
        <f t="shared" ca="1" si="1"/>
        <v>0</v>
      </c>
      <c r="O34" s="62"/>
    </row>
    <row r="35" spans="1:15" ht="15.75" customHeight="1">
      <c r="A35" s="1997" t="str">
        <v/>
      </c>
      <c r="B35" s="600">
        <f ca="1"/>
        <v>0</v>
      </c>
      <c r="C35" s="601">
        <f ca="1"/>
        <v>0</v>
      </c>
      <c r="D35" s="601">
        <f ca="1"/>
        <v>0</v>
      </c>
      <c r="E35" s="601">
        <f ca="1"/>
        <v>0</v>
      </c>
      <c r="F35" s="601">
        <f ca="1"/>
        <v>0</v>
      </c>
      <c r="G35" s="601">
        <f ca="1"/>
        <v>0</v>
      </c>
      <c r="H35" s="601">
        <f ca="1"/>
        <v>0</v>
      </c>
      <c r="I35" s="601">
        <f ca="1"/>
        <v>0</v>
      </c>
      <c r="J35" s="601">
        <f ca="1"/>
        <v>0</v>
      </c>
      <c r="K35" s="601">
        <f ca="1"/>
        <v>0</v>
      </c>
      <c r="L35" s="601">
        <f ca="1"/>
        <v>0</v>
      </c>
      <c r="M35" s="610">
        <f ca="1"/>
        <v>0</v>
      </c>
      <c r="N35" s="594">
        <f t="shared" ca="1" si="1"/>
        <v>0</v>
      </c>
      <c r="O35" s="62"/>
    </row>
    <row r="36" spans="1:15" ht="15.75" customHeight="1">
      <c r="A36" s="1997" t="str">
        <v/>
      </c>
      <c r="B36" s="600">
        <f ca="1"/>
        <v>0</v>
      </c>
      <c r="C36" s="601">
        <f ca="1"/>
        <v>0</v>
      </c>
      <c r="D36" s="601">
        <f ca="1"/>
        <v>0</v>
      </c>
      <c r="E36" s="601">
        <f ca="1"/>
        <v>0</v>
      </c>
      <c r="F36" s="601">
        <f ca="1"/>
        <v>0</v>
      </c>
      <c r="G36" s="601">
        <f ca="1"/>
        <v>0</v>
      </c>
      <c r="H36" s="601">
        <f ca="1"/>
        <v>0</v>
      </c>
      <c r="I36" s="601">
        <f ca="1"/>
        <v>0</v>
      </c>
      <c r="J36" s="601">
        <f ca="1"/>
        <v>0</v>
      </c>
      <c r="K36" s="601">
        <f ca="1"/>
        <v>0</v>
      </c>
      <c r="L36" s="601">
        <f ca="1"/>
        <v>0</v>
      </c>
      <c r="M36" s="610">
        <f ca="1"/>
        <v>0</v>
      </c>
      <c r="N36" s="594">
        <f t="shared" ca="1" si="1"/>
        <v>0</v>
      </c>
      <c r="O36" s="62"/>
    </row>
    <row r="37" spans="1:15" ht="15.75" customHeight="1">
      <c r="A37" s="1997" t="str">
        <v/>
      </c>
      <c r="B37" s="600">
        <f ca="1"/>
        <v>0</v>
      </c>
      <c r="C37" s="601">
        <f ca="1"/>
        <v>0</v>
      </c>
      <c r="D37" s="601">
        <f ca="1"/>
        <v>0</v>
      </c>
      <c r="E37" s="601">
        <f ca="1"/>
        <v>0</v>
      </c>
      <c r="F37" s="601">
        <f ca="1"/>
        <v>0</v>
      </c>
      <c r="G37" s="601">
        <f ca="1"/>
        <v>0</v>
      </c>
      <c r="H37" s="601">
        <f ca="1"/>
        <v>0</v>
      </c>
      <c r="I37" s="601">
        <f ca="1"/>
        <v>0</v>
      </c>
      <c r="J37" s="601">
        <f ca="1"/>
        <v>0</v>
      </c>
      <c r="K37" s="601">
        <f ca="1"/>
        <v>0</v>
      </c>
      <c r="L37" s="601">
        <f ca="1"/>
        <v>0</v>
      </c>
      <c r="M37" s="610">
        <f ca="1"/>
        <v>0</v>
      </c>
      <c r="N37" s="594">
        <f t="shared" ca="1" si="1"/>
        <v>0</v>
      </c>
      <c r="O37" s="62"/>
    </row>
    <row r="38" spans="1:15" ht="15.75" customHeight="1">
      <c r="A38" s="1997" t="str">
        <v/>
      </c>
      <c r="B38" s="600">
        <f ca="1"/>
        <v>0</v>
      </c>
      <c r="C38" s="601">
        <f ca="1"/>
        <v>0</v>
      </c>
      <c r="D38" s="601">
        <f ca="1"/>
        <v>0</v>
      </c>
      <c r="E38" s="601">
        <f ca="1"/>
        <v>0</v>
      </c>
      <c r="F38" s="601">
        <f ca="1"/>
        <v>0</v>
      </c>
      <c r="G38" s="601">
        <f ca="1"/>
        <v>0</v>
      </c>
      <c r="H38" s="601">
        <f ca="1"/>
        <v>0</v>
      </c>
      <c r="I38" s="601">
        <f ca="1"/>
        <v>0</v>
      </c>
      <c r="J38" s="601">
        <f ca="1"/>
        <v>0</v>
      </c>
      <c r="K38" s="601">
        <f ca="1"/>
        <v>0</v>
      </c>
      <c r="L38" s="601">
        <f ca="1"/>
        <v>0</v>
      </c>
      <c r="M38" s="610">
        <f ca="1"/>
        <v>0</v>
      </c>
      <c r="N38" s="594">
        <f t="shared" ca="1" si="1"/>
        <v>0</v>
      </c>
      <c r="O38" s="62"/>
    </row>
    <row r="39" spans="1:15" ht="15.75" customHeight="1" thickBot="1">
      <c r="A39" s="1998" t="str">
        <v/>
      </c>
      <c r="B39" s="602">
        <f ca="1"/>
        <v>0</v>
      </c>
      <c r="C39" s="603">
        <f ca="1"/>
        <v>0</v>
      </c>
      <c r="D39" s="603">
        <f ca="1"/>
        <v>0</v>
      </c>
      <c r="E39" s="603">
        <f ca="1"/>
        <v>0</v>
      </c>
      <c r="F39" s="603">
        <f ca="1"/>
        <v>0</v>
      </c>
      <c r="G39" s="603">
        <f ca="1"/>
        <v>0</v>
      </c>
      <c r="H39" s="603">
        <f ca="1"/>
        <v>0</v>
      </c>
      <c r="I39" s="603">
        <f ca="1"/>
        <v>0</v>
      </c>
      <c r="J39" s="603">
        <f ca="1"/>
        <v>0</v>
      </c>
      <c r="K39" s="603">
        <f ca="1"/>
        <v>0</v>
      </c>
      <c r="L39" s="603">
        <f ca="1"/>
        <v>0</v>
      </c>
      <c r="M39" s="611">
        <f ca="1"/>
        <v>0</v>
      </c>
      <c r="N39" s="604">
        <f t="shared" ca="1" si="1"/>
        <v>0</v>
      </c>
      <c r="O39" s="62"/>
    </row>
    <row r="40" spans="1:15" ht="15.75" customHeight="1" thickBot="1">
      <c r="A40" s="105" t="str">
        <f>A$28</f>
        <v>Totais</v>
      </c>
      <c r="B40" s="606">
        <f t="shared" ref="B40:M40" ca="1" si="3">SUM(B32:B39)</f>
        <v>38.318172538211996</v>
      </c>
      <c r="C40" s="607">
        <f t="shared" ca="1" si="3"/>
        <v>38.318172538211996</v>
      </c>
      <c r="D40" s="607">
        <f t="shared" ca="1" si="3"/>
        <v>38.318172538211996</v>
      </c>
      <c r="E40" s="607">
        <f t="shared" ca="1" si="3"/>
        <v>38.318172538211996</v>
      </c>
      <c r="F40" s="607">
        <f t="shared" ca="1" si="3"/>
        <v>38.318172538211996</v>
      </c>
      <c r="G40" s="607">
        <f t="shared" ca="1" si="3"/>
        <v>38.318172538211996</v>
      </c>
      <c r="H40" s="607">
        <f t="shared" ca="1" si="3"/>
        <v>38.318172538211996</v>
      </c>
      <c r="I40" s="607">
        <f t="shared" ca="1" si="3"/>
        <v>38.318172538211996</v>
      </c>
      <c r="J40" s="607">
        <f t="shared" ca="1" si="3"/>
        <v>38.318172538211996</v>
      </c>
      <c r="K40" s="607">
        <f t="shared" ca="1" si="3"/>
        <v>38.318172538211996</v>
      </c>
      <c r="L40" s="607">
        <f t="shared" ca="1" si="3"/>
        <v>38.318172538211996</v>
      </c>
      <c r="M40" s="608">
        <f t="shared" ca="1" si="3"/>
        <v>38.318172538211996</v>
      </c>
      <c r="N40" s="605">
        <f ca="1">SUM(B40:M40)</f>
        <v>459.81807045854407</v>
      </c>
      <c r="O40" s="62"/>
    </row>
    <row r="41" spans="1:15" ht="15">
      <c r="A41" s="220"/>
      <c r="B41" s="62" t="str">
        <f>'Distr CV 0'!B41</f>
        <v>Não faz sentido calcular o IVA dos CV no mes no que fosse imputado (mes de venda) senão no mes no que se produzira a compra</v>
      </c>
    </row>
    <row r="42" spans="1:15" ht="15">
      <c r="A42" s="220"/>
    </row>
    <row r="43" spans="1:15" ht="15">
      <c r="A43" s="220"/>
    </row>
    <row r="44" spans="1:15" ht="18.75" thickBot="1">
      <c r="A44" s="1993" t="str">
        <f>'Distr CV 0'!A44</f>
        <v>Custos de produção no ano</v>
      </c>
      <c r="G44" s="2741" t="str">
        <f>$K$1</f>
        <v>Ano 4:  2030</v>
      </c>
      <c r="I44" s="1993" t="str">
        <f>'Distr CV 0'!I44</f>
        <v>IVA NÃO incluido</v>
      </c>
    </row>
    <row r="45" spans="1:15" s="456" customFormat="1" ht="15.75" customHeight="1" thickBot="1">
      <c r="A45" s="457" t="str">
        <f>'Distr CV 0'!A45</f>
        <v>Custos produção</v>
      </c>
      <c r="B45" s="455" t="str">
        <f t="array" ref="B45:M45">meses</f>
        <v>janeiro</v>
      </c>
      <c r="C45" s="451" t="str">
        <v>fevereiro</v>
      </c>
      <c r="D45" s="451" t="str">
        <v>março</v>
      </c>
      <c r="E45" s="451" t="str">
        <v>abril</v>
      </c>
      <c r="F45" s="451" t="str">
        <v>maio</v>
      </c>
      <c r="G45" s="451" t="str">
        <v>junho</v>
      </c>
      <c r="H45" s="451" t="str">
        <v>julho</v>
      </c>
      <c r="I45" s="451" t="str">
        <v>agosto</v>
      </c>
      <c r="J45" s="451" t="str">
        <v>setembro</v>
      </c>
      <c r="K45" s="451" t="str">
        <v>outubro</v>
      </c>
      <c r="L45" s="451" t="str">
        <v>novembro</v>
      </c>
      <c r="M45" s="452" t="str">
        <v>dezembro</v>
      </c>
      <c r="N45" s="449" t="str">
        <f>N$7</f>
        <v>Totais</v>
      </c>
    </row>
    <row r="46" spans="1:15" ht="15.75" customHeight="1">
      <c r="A46" s="1996" t="str">
        <f t="array" ref="A46:A53">productos</f>
        <v>produto 1</v>
      </c>
      <c r="B46" s="598">
        <f t="array" aca="1" ref="B46:M46" ca="1">N124:Y124</f>
        <v>182.4674882772</v>
      </c>
      <c r="C46" s="599">
        <f ca="1"/>
        <v>182.4674882772</v>
      </c>
      <c r="D46" s="599">
        <f ca="1"/>
        <v>182.4674882772</v>
      </c>
      <c r="E46" s="599">
        <f ca="1"/>
        <v>182.4674882772</v>
      </c>
      <c r="F46" s="599">
        <f ca="1"/>
        <v>182.4674882772</v>
      </c>
      <c r="G46" s="599">
        <f ca="1"/>
        <v>182.4674882772</v>
      </c>
      <c r="H46" s="599">
        <f ca="1"/>
        <v>182.4674882772</v>
      </c>
      <c r="I46" s="599">
        <f ca="1"/>
        <v>182.4674882772</v>
      </c>
      <c r="J46" s="599">
        <f ca="1"/>
        <v>182.4674882772</v>
      </c>
      <c r="K46" s="599">
        <f ca="1"/>
        <v>182.4674882772</v>
      </c>
      <c r="L46" s="599">
        <f ca="1"/>
        <v>182.4674882772</v>
      </c>
      <c r="M46" s="609">
        <f ca="1"/>
        <v>182.4674882772</v>
      </c>
      <c r="N46" s="591">
        <f t="shared" ref="N46:N54" ca="1" si="4">SUM(B46:M46)</f>
        <v>2189.6098593264005</v>
      </c>
      <c r="O46" s="62"/>
    </row>
    <row r="47" spans="1:15" ht="15.75" customHeight="1">
      <c r="A47" s="1997" t="str">
        <v/>
      </c>
      <c r="B47" s="600">
        <f t="array" aca="1" ref="B47:M47" ca="1">N142:Y142</f>
        <v>0</v>
      </c>
      <c r="C47" s="601">
        <f ca="1"/>
        <v>0</v>
      </c>
      <c r="D47" s="601">
        <f ca="1"/>
        <v>0</v>
      </c>
      <c r="E47" s="601">
        <f ca="1"/>
        <v>0</v>
      </c>
      <c r="F47" s="601">
        <f ca="1"/>
        <v>0</v>
      </c>
      <c r="G47" s="601">
        <f ca="1"/>
        <v>0</v>
      </c>
      <c r="H47" s="601">
        <f ca="1"/>
        <v>0</v>
      </c>
      <c r="I47" s="601">
        <f ca="1"/>
        <v>0</v>
      </c>
      <c r="J47" s="601">
        <f ca="1"/>
        <v>0</v>
      </c>
      <c r="K47" s="601">
        <f ca="1"/>
        <v>0</v>
      </c>
      <c r="L47" s="601">
        <f ca="1"/>
        <v>0</v>
      </c>
      <c r="M47" s="610">
        <f ca="1"/>
        <v>0</v>
      </c>
      <c r="N47" s="594">
        <f t="shared" ca="1" si="4"/>
        <v>0</v>
      </c>
      <c r="O47" s="62"/>
    </row>
    <row r="48" spans="1:15" ht="15.75" customHeight="1">
      <c r="A48" s="1997" t="str">
        <v/>
      </c>
      <c r="B48" s="600">
        <f t="array" aca="1" ref="B48:M48" ca="1">N160:Y160</f>
        <v>0</v>
      </c>
      <c r="C48" s="601">
        <f ca="1"/>
        <v>0</v>
      </c>
      <c r="D48" s="601">
        <f ca="1"/>
        <v>0</v>
      </c>
      <c r="E48" s="601">
        <f ca="1"/>
        <v>0</v>
      </c>
      <c r="F48" s="601">
        <f ca="1"/>
        <v>0</v>
      </c>
      <c r="G48" s="601">
        <f ca="1"/>
        <v>0</v>
      </c>
      <c r="H48" s="601">
        <f ca="1"/>
        <v>0</v>
      </c>
      <c r="I48" s="601">
        <f ca="1"/>
        <v>0</v>
      </c>
      <c r="J48" s="601">
        <f ca="1"/>
        <v>0</v>
      </c>
      <c r="K48" s="601">
        <f ca="1"/>
        <v>0</v>
      </c>
      <c r="L48" s="601">
        <f ca="1"/>
        <v>0</v>
      </c>
      <c r="M48" s="610">
        <f ca="1"/>
        <v>0</v>
      </c>
      <c r="N48" s="594">
        <f t="shared" ca="1" si="4"/>
        <v>0</v>
      </c>
      <c r="O48" s="62"/>
    </row>
    <row r="49" spans="1:15" ht="15.75" customHeight="1">
      <c r="A49" s="1997" t="str">
        <v/>
      </c>
      <c r="B49" s="600">
        <f t="array" aca="1" ref="B49:M49" ca="1">N178:Y178</f>
        <v>0</v>
      </c>
      <c r="C49" s="601">
        <f ca="1"/>
        <v>0</v>
      </c>
      <c r="D49" s="601">
        <f ca="1"/>
        <v>0</v>
      </c>
      <c r="E49" s="601">
        <f ca="1"/>
        <v>0</v>
      </c>
      <c r="F49" s="601">
        <f ca="1"/>
        <v>0</v>
      </c>
      <c r="G49" s="601">
        <f ca="1"/>
        <v>0</v>
      </c>
      <c r="H49" s="601">
        <f ca="1"/>
        <v>0</v>
      </c>
      <c r="I49" s="601">
        <f ca="1"/>
        <v>0</v>
      </c>
      <c r="J49" s="601">
        <f ca="1"/>
        <v>0</v>
      </c>
      <c r="K49" s="601">
        <f ca="1"/>
        <v>0</v>
      </c>
      <c r="L49" s="601">
        <f ca="1"/>
        <v>0</v>
      </c>
      <c r="M49" s="610">
        <f ca="1"/>
        <v>0</v>
      </c>
      <c r="N49" s="594">
        <f t="shared" ca="1" si="4"/>
        <v>0</v>
      </c>
      <c r="O49" s="62"/>
    </row>
    <row r="50" spans="1:15" ht="15.75" customHeight="1">
      <c r="A50" s="1997" t="str">
        <v/>
      </c>
      <c r="B50" s="600">
        <f t="array" aca="1" ref="B50:M50" ca="1">N196:Y196</f>
        <v>0</v>
      </c>
      <c r="C50" s="601">
        <f ca="1"/>
        <v>0</v>
      </c>
      <c r="D50" s="601">
        <f ca="1"/>
        <v>0</v>
      </c>
      <c r="E50" s="601">
        <f ca="1"/>
        <v>0</v>
      </c>
      <c r="F50" s="601">
        <f ca="1"/>
        <v>0</v>
      </c>
      <c r="G50" s="601">
        <f ca="1"/>
        <v>0</v>
      </c>
      <c r="H50" s="601">
        <f ca="1"/>
        <v>0</v>
      </c>
      <c r="I50" s="601">
        <f ca="1"/>
        <v>0</v>
      </c>
      <c r="J50" s="601">
        <f ca="1"/>
        <v>0</v>
      </c>
      <c r="K50" s="601">
        <f ca="1"/>
        <v>0</v>
      </c>
      <c r="L50" s="601">
        <f ca="1"/>
        <v>0</v>
      </c>
      <c r="M50" s="610">
        <f ca="1"/>
        <v>0</v>
      </c>
      <c r="N50" s="594">
        <f t="shared" ca="1" si="4"/>
        <v>0</v>
      </c>
      <c r="O50" s="62"/>
    </row>
    <row r="51" spans="1:15" ht="15.75" customHeight="1">
      <c r="A51" s="1997" t="str">
        <v/>
      </c>
      <c r="B51" s="600">
        <f t="array" aca="1" ref="B51:M51" ca="1">N214:Y214</f>
        <v>0</v>
      </c>
      <c r="C51" s="601">
        <f ca="1"/>
        <v>0</v>
      </c>
      <c r="D51" s="601">
        <f ca="1"/>
        <v>0</v>
      </c>
      <c r="E51" s="601">
        <f ca="1"/>
        <v>0</v>
      </c>
      <c r="F51" s="601">
        <f ca="1"/>
        <v>0</v>
      </c>
      <c r="G51" s="601">
        <f ca="1"/>
        <v>0</v>
      </c>
      <c r="H51" s="601">
        <f ca="1"/>
        <v>0</v>
      </c>
      <c r="I51" s="601">
        <f ca="1"/>
        <v>0</v>
      </c>
      <c r="J51" s="601">
        <f ca="1"/>
        <v>0</v>
      </c>
      <c r="K51" s="601">
        <f ca="1"/>
        <v>0</v>
      </c>
      <c r="L51" s="601">
        <f ca="1"/>
        <v>0</v>
      </c>
      <c r="M51" s="610">
        <f ca="1"/>
        <v>0</v>
      </c>
      <c r="N51" s="594">
        <f t="shared" ca="1" si="4"/>
        <v>0</v>
      </c>
      <c r="O51" s="62"/>
    </row>
    <row r="52" spans="1:15" ht="15.75" customHeight="1">
      <c r="A52" s="1997" t="str">
        <v/>
      </c>
      <c r="B52" s="600">
        <f t="array" aca="1" ref="B52:M52" ca="1">N232:Y232</f>
        <v>0</v>
      </c>
      <c r="C52" s="601">
        <f ca="1"/>
        <v>0</v>
      </c>
      <c r="D52" s="601">
        <f ca="1"/>
        <v>0</v>
      </c>
      <c r="E52" s="601">
        <f ca="1"/>
        <v>0</v>
      </c>
      <c r="F52" s="601">
        <f ca="1"/>
        <v>0</v>
      </c>
      <c r="G52" s="601">
        <f ca="1"/>
        <v>0</v>
      </c>
      <c r="H52" s="601">
        <f ca="1"/>
        <v>0</v>
      </c>
      <c r="I52" s="601">
        <f ca="1"/>
        <v>0</v>
      </c>
      <c r="J52" s="601">
        <f ca="1"/>
        <v>0</v>
      </c>
      <c r="K52" s="601">
        <f ca="1"/>
        <v>0</v>
      </c>
      <c r="L52" s="601">
        <f ca="1"/>
        <v>0</v>
      </c>
      <c r="M52" s="610">
        <f ca="1"/>
        <v>0</v>
      </c>
      <c r="N52" s="594">
        <f t="shared" ca="1" si="4"/>
        <v>0</v>
      </c>
      <c r="O52" s="62"/>
    </row>
    <row r="53" spans="1:15" ht="15.75" customHeight="1" thickBot="1">
      <c r="A53" s="1998" t="str">
        <v/>
      </c>
      <c r="B53" s="602">
        <f t="array" aca="1" ref="B53:M53" ca="1">N250:Y250</f>
        <v>0</v>
      </c>
      <c r="C53" s="603">
        <f ca="1"/>
        <v>0</v>
      </c>
      <c r="D53" s="603">
        <f ca="1"/>
        <v>0</v>
      </c>
      <c r="E53" s="603">
        <f ca="1"/>
        <v>0</v>
      </c>
      <c r="F53" s="603">
        <f ca="1"/>
        <v>0</v>
      </c>
      <c r="G53" s="603">
        <f ca="1"/>
        <v>0</v>
      </c>
      <c r="H53" s="603">
        <f ca="1"/>
        <v>0</v>
      </c>
      <c r="I53" s="603">
        <f ca="1"/>
        <v>0</v>
      </c>
      <c r="J53" s="603">
        <f ca="1"/>
        <v>0</v>
      </c>
      <c r="K53" s="603">
        <f ca="1"/>
        <v>0</v>
      </c>
      <c r="L53" s="603">
        <f ca="1"/>
        <v>0</v>
      </c>
      <c r="M53" s="611">
        <f ca="1"/>
        <v>0</v>
      </c>
      <c r="N53" s="604">
        <f t="shared" ca="1" si="4"/>
        <v>0</v>
      </c>
      <c r="O53" s="62"/>
    </row>
    <row r="54" spans="1:15" ht="15.75" customHeight="1" thickBot="1">
      <c r="A54" s="105" t="str">
        <f>A$28</f>
        <v>Totais</v>
      </c>
      <c r="B54" s="606">
        <f t="shared" ref="B54:M54" ca="1" si="5">SUM(B46:B53)</f>
        <v>182.4674882772</v>
      </c>
      <c r="C54" s="607">
        <f t="shared" ca="1" si="5"/>
        <v>182.4674882772</v>
      </c>
      <c r="D54" s="607">
        <f t="shared" ca="1" si="5"/>
        <v>182.4674882772</v>
      </c>
      <c r="E54" s="607">
        <f t="shared" ca="1" si="5"/>
        <v>182.4674882772</v>
      </c>
      <c r="F54" s="607">
        <f t="shared" ca="1" si="5"/>
        <v>182.4674882772</v>
      </c>
      <c r="G54" s="607">
        <f t="shared" ca="1" si="5"/>
        <v>182.4674882772</v>
      </c>
      <c r="H54" s="607">
        <f t="shared" ca="1" si="5"/>
        <v>182.4674882772</v>
      </c>
      <c r="I54" s="607">
        <f t="shared" ca="1" si="5"/>
        <v>182.4674882772</v>
      </c>
      <c r="J54" s="607">
        <f t="shared" ca="1" si="5"/>
        <v>182.4674882772</v>
      </c>
      <c r="K54" s="607">
        <f t="shared" ca="1" si="5"/>
        <v>182.4674882772</v>
      </c>
      <c r="L54" s="607">
        <f t="shared" ca="1" si="5"/>
        <v>182.4674882772</v>
      </c>
      <c r="M54" s="608">
        <f t="shared" ca="1" si="5"/>
        <v>182.4674882772</v>
      </c>
      <c r="N54" s="605">
        <f t="shared" ca="1" si="4"/>
        <v>2189.6098593264005</v>
      </c>
      <c r="O54" s="62"/>
    </row>
    <row r="55" spans="1:15">
      <c r="A55" s="1011" t="str">
        <f>'Distr CV 1'!A55</f>
        <v>Pendente anterior</v>
      </c>
      <c r="B55" s="1011">
        <f ca="1">SUM(B124:M124,B142:M142,B160:M160,B178:M178,B196:M196,B214:M214,B232:M232,B250:M250)</f>
        <v>0</v>
      </c>
    </row>
    <row r="57" spans="1:15" ht="18.75" thickBot="1">
      <c r="A57" s="1993" t="str">
        <f>'Distr CV 0'!A57</f>
        <v>IVA soportado dos custos de produção no ano</v>
      </c>
      <c r="G57" s="2741" t="str">
        <f>$K$1</f>
        <v>Ano 4:  2030</v>
      </c>
      <c r="I57" s="1993"/>
    </row>
    <row r="58" spans="1:15" s="456" customFormat="1" ht="15.75" customHeight="1" thickBot="1">
      <c r="A58" s="457" t="str">
        <f>'Distr CV 0'!A58</f>
        <v>Custos produção</v>
      </c>
      <c r="B58" s="455" t="str">
        <f t="array" ref="B58:M58">meses</f>
        <v>janeiro</v>
      </c>
      <c r="C58" s="451" t="str">
        <v>fevereiro</v>
      </c>
      <c r="D58" s="451" t="str">
        <v>março</v>
      </c>
      <c r="E58" s="451" t="str">
        <v>abril</v>
      </c>
      <c r="F58" s="451" t="str">
        <v>maio</v>
      </c>
      <c r="G58" s="451" t="str">
        <v>junho</v>
      </c>
      <c r="H58" s="451" t="str">
        <v>julho</v>
      </c>
      <c r="I58" s="451" t="str">
        <v>agosto</v>
      </c>
      <c r="J58" s="451" t="str">
        <v>setembro</v>
      </c>
      <c r="K58" s="451" t="str">
        <v>outubro</v>
      </c>
      <c r="L58" s="451" t="str">
        <v>novembro</v>
      </c>
      <c r="M58" s="452" t="str">
        <v>dezembro</v>
      </c>
      <c r="N58" s="449" t="str">
        <f>N$7</f>
        <v>Totais</v>
      </c>
    </row>
    <row r="59" spans="1:15" ht="15.75" customHeight="1">
      <c r="A59" s="1996" t="str">
        <f t="array" ref="A59:A66">productos</f>
        <v>produto 1</v>
      </c>
      <c r="B59" s="598">
        <f t="array" aca="1" ref="B59:M59" ca="1">N125:Y125</f>
        <v>38.318172538211996</v>
      </c>
      <c r="C59" s="599">
        <f ca="1"/>
        <v>38.318172538211996</v>
      </c>
      <c r="D59" s="599">
        <f ca="1"/>
        <v>38.318172538211996</v>
      </c>
      <c r="E59" s="599">
        <f ca="1"/>
        <v>38.318172538211996</v>
      </c>
      <c r="F59" s="599">
        <f ca="1"/>
        <v>38.318172538211996</v>
      </c>
      <c r="G59" s="599">
        <f ca="1"/>
        <v>38.318172538211996</v>
      </c>
      <c r="H59" s="599">
        <f ca="1"/>
        <v>38.318172538211996</v>
      </c>
      <c r="I59" s="599">
        <f ca="1"/>
        <v>38.318172538211996</v>
      </c>
      <c r="J59" s="599">
        <f ca="1"/>
        <v>38.318172538211996</v>
      </c>
      <c r="K59" s="599">
        <f ca="1"/>
        <v>38.318172538211996</v>
      </c>
      <c r="L59" s="599">
        <f ca="1"/>
        <v>38.318172538211996</v>
      </c>
      <c r="M59" s="609">
        <f ca="1"/>
        <v>38.318172538211996</v>
      </c>
      <c r="N59" s="591">
        <f t="shared" ref="N59:N67" ca="1" si="6">SUM(B59:M59)</f>
        <v>459.81807045854407</v>
      </c>
      <c r="O59" s="62"/>
    </row>
    <row r="60" spans="1:15" ht="15.75" customHeight="1">
      <c r="A60" s="1997" t="str">
        <v/>
      </c>
      <c r="B60" s="600">
        <f t="array" aca="1" ref="B60:M60" ca="1">N143:Y143</f>
        <v>0</v>
      </c>
      <c r="C60" s="601">
        <f ca="1"/>
        <v>0</v>
      </c>
      <c r="D60" s="601">
        <f ca="1"/>
        <v>0</v>
      </c>
      <c r="E60" s="601">
        <f ca="1"/>
        <v>0</v>
      </c>
      <c r="F60" s="601">
        <f ca="1"/>
        <v>0</v>
      </c>
      <c r="G60" s="601">
        <f ca="1"/>
        <v>0</v>
      </c>
      <c r="H60" s="601">
        <f ca="1"/>
        <v>0</v>
      </c>
      <c r="I60" s="601">
        <f ca="1"/>
        <v>0</v>
      </c>
      <c r="J60" s="601">
        <f ca="1"/>
        <v>0</v>
      </c>
      <c r="K60" s="601">
        <f ca="1"/>
        <v>0</v>
      </c>
      <c r="L60" s="601">
        <f ca="1"/>
        <v>0</v>
      </c>
      <c r="M60" s="610">
        <f ca="1"/>
        <v>0</v>
      </c>
      <c r="N60" s="594">
        <f t="shared" ca="1" si="6"/>
        <v>0</v>
      </c>
      <c r="O60" s="62"/>
    </row>
    <row r="61" spans="1:15" ht="15.75" customHeight="1">
      <c r="A61" s="1997" t="str">
        <v/>
      </c>
      <c r="B61" s="600">
        <f t="array" aca="1" ref="B61:M61" ca="1">N161:Y161</f>
        <v>0</v>
      </c>
      <c r="C61" s="601">
        <f ca="1"/>
        <v>0</v>
      </c>
      <c r="D61" s="601">
        <f ca="1"/>
        <v>0</v>
      </c>
      <c r="E61" s="601">
        <f ca="1"/>
        <v>0</v>
      </c>
      <c r="F61" s="601">
        <f ca="1"/>
        <v>0</v>
      </c>
      <c r="G61" s="601">
        <f ca="1"/>
        <v>0</v>
      </c>
      <c r="H61" s="601">
        <f ca="1"/>
        <v>0</v>
      </c>
      <c r="I61" s="601">
        <f ca="1"/>
        <v>0</v>
      </c>
      <c r="J61" s="601">
        <f ca="1"/>
        <v>0</v>
      </c>
      <c r="K61" s="601">
        <f ca="1"/>
        <v>0</v>
      </c>
      <c r="L61" s="601">
        <f ca="1"/>
        <v>0</v>
      </c>
      <c r="M61" s="610">
        <f ca="1"/>
        <v>0</v>
      </c>
      <c r="N61" s="594">
        <f t="shared" ca="1" si="6"/>
        <v>0</v>
      </c>
      <c r="O61" s="62"/>
    </row>
    <row r="62" spans="1:15" ht="15.75" customHeight="1">
      <c r="A62" s="1997" t="str">
        <v/>
      </c>
      <c r="B62" s="600">
        <f t="array" aca="1" ref="B62:M62" ca="1">N179:Y179</f>
        <v>0</v>
      </c>
      <c r="C62" s="601">
        <f ca="1"/>
        <v>0</v>
      </c>
      <c r="D62" s="601">
        <f ca="1"/>
        <v>0</v>
      </c>
      <c r="E62" s="601">
        <f ca="1"/>
        <v>0</v>
      </c>
      <c r="F62" s="601">
        <f ca="1"/>
        <v>0</v>
      </c>
      <c r="G62" s="601">
        <f ca="1"/>
        <v>0</v>
      </c>
      <c r="H62" s="601">
        <f ca="1"/>
        <v>0</v>
      </c>
      <c r="I62" s="601">
        <f ca="1"/>
        <v>0</v>
      </c>
      <c r="J62" s="601">
        <f ca="1"/>
        <v>0</v>
      </c>
      <c r="K62" s="601">
        <f ca="1"/>
        <v>0</v>
      </c>
      <c r="L62" s="601">
        <f ca="1"/>
        <v>0</v>
      </c>
      <c r="M62" s="610">
        <f ca="1"/>
        <v>0</v>
      </c>
      <c r="N62" s="594">
        <f t="shared" ca="1" si="6"/>
        <v>0</v>
      </c>
      <c r="O62" s="62"/>
    </row>
    <row r="63" spans="1:15" ht="15.75" customHeight="1">
      <c r="A63" s="1997" t="str">
        <v/>
      </c>
      <c r="B63" s="600">
        <f t="array" aca="1" ref="B63:M63" ca="1">N197:Y197</f>
        <v>0</v>
      </c>
      <c r="C63" s="601">
        <f ca="1"/>
        <v>0</v>
      </c>
      <c r="D63" s="601">
        <f ca="1"/>
        <v>0</v>
      </c>
      <c r="E63" s="601">
        <f ca="1"/>
        <v>0</v>
      </c>
      <c r="F63" s="601">
        <f ca="1"/>
        <v>0</v>
      </c>
      <c r="G63" s="601">
        <f ca="1"/>
        <v>0</v>
      </c>
      <c r="H63" s="601">
        <f ca="1"/>
        <v>0</v>
      </c>
      <c r="I63" s="601">
        <f ca="1"/>
        <v>0</v>
      </c>
      <c r="J63" s="601">
        <f ca="1"/>
        <v>0</v>
      </c>
      <c r="K63" s="601">
        <f ca="1"/>
        <v>0</v>
      </c>
      <c r="L63" s="601">
        <f ca="1"/>
        <v>0</v>
      </c>
      <c r="M63" s="610">
        <f ca="1"/>
        <v>0</v>
      </c>
      <c r="N63" s="594">
        <f t="shared" ca="1" si="6"/>
        <v>0</v>
      </c>
      <c r="O63" s="62"/>
    </row>
    <row r="64" spans="1:15" ht="15.75" customHeight="1">
      <c r="A64" s="1997" t="str">
        <v/>
      </c>
      <c r="B64" s="600">
        <f t="array" aca="1" ref="B64:M64" ca="1">N215:Y215</f>
        <v>0</v>
      </c>
      <c r="C64" s="601">
        <f ca="1"/>
        <v>0</v>
      </c>
      <c r="D64" s="601">
        <f ca="1"/>
        <v>0</v>
      </c>
      <c r="E64" s="601">
        <f ca="1"/>
        <v>0</v>
      </c>
      <c r="F64" s="601">
        <f ca="1"/>
        <v>0</v>
      </c>
      <c r="G64" s="601">
        <f ca="1"/>
        <v>0</v>
      </c>
      <c r="H64" s="601">
        <f ca="1"/>
        <v>0</v>
      </c>
      <c r="I64" s="601">
        <f ca="1"/>
        <v>0</v>
      </c>
      <c r="J64" s="601">
        <f ca="1"/>
        <v>0</v>
      </c>
      <c r="K64" s="601">
        <f ca="1"/>
        <v>0</v>
      </c>
      <c r="L64" s="601">
        <f ca="1"/>
        <v>0</v>
      </c>
      <c r="M64" s="610">
        <f ca="1"/>
        <v>0</v>
      </c>
      <c r="N64" s="594">
        <f t="shared" ca="1" si="6"/>
        <v>0</v>
      </c>
      <c r="O64" s="62"/>
    </row>
    <row r="65" spans="1:26" ht="15.75" customHeight="1">
      <c r="A65" s="1997" t="str">
        <v/>
      </c>
      <c r="B65" s="600">
        <f t="array" aca="1" ref="B65:M65" ca="1">N233:Y233</f>
        <v>0</v>
      </c>
      <c r="C65" s="601">
        <f ca="1"/>
        <v>0</v>
      </c>
      <c r="D65" s="601">
        <f ca="1"/>
        <v>0</v>
      </c>
      <c r="E65" s="601">
        <f ca="1"/>
        <v>0</v>
      </c>
      <c r="F65" s="601">
        <f ca="1"/>
        <v>0</v>
      </c>
      <c r="G65" s="601">
        <f ca="1"/>
        <v>0</v>
      </c>
      <c r="H65" s="601">
        <f ca="1"/>
        <v>0</v>
      </c>
      <c r="I65" s="601">
        <f ca="1"/>
        <v>0</v>
      </c>
      <c r="J65" s="601">
        <f ca="1"/>
        <v>0</v>
      </c>
      <c r="K65" s="601">
        <f ca="1"/>
        <v>0</v>
      </c>
      <c r="L65" s="601">
        <f ca="1"/>
        <v>0</v>
      </c>
      <c r="M65" s="610">
        <f ca="1"/>
        <v>0</v>
      </c>
      <c r="N65" s="594">
        <f t="shared" ca="1" si="6"/>
        <v>0</v>
      </c>
      <c r="O65" s="62"/>
    </row>
    <row r="66" spans="1:26" ht="15.75" customHeight="1" thickBot="1">
      <c r="A66" s="1998" t="str">
        <v/>
      </c>
      <c r="B66" s="602">
        <f t="array" aca="1" ref="B66:M66" ca="1">N251:Y251</f>
        <v>0</v>
      </c>
      <c r="C66" s="603">
        <f ca="1"/>
        <v>0</v>
      </c>
      <c r="D66" s="603">
        <f ca="1"/>
        <v>0</v>
      </c>
      <c r="E66" s="603">
        <f ca="1"/>
        <v>0</v>
      </c>
      <c r="F66" s="603">
        <f ca="1"/>
        <v>0</v>
      </c>
      <c r="G66" s="603">
        <f ca="1"/>
        <v>0</v>
      </c>
      <c r="H66" s="603">
        <f ca="1"/>
        <v>0</v>
      </c>
      <c r="I66" s="603">
        <f ca="1"/>
        <v>0</v>
      </c>
      <c r="J66" s="603">
        <f ca="1"/>
        <v>0</v>
      </c>
      <c r="K66" s="603">
        <f ca="1"/>
        <v>0</v>
      </c>
      <c r="L66" s="603">
        <f ca="1"/>
        <v>0</v>
      </c>
      <c r="M66" s="611">
        <f ca="1"/>
        <v>0</v>
      </c>
      <c r="N66" s="604">
        <f t="shared" ca="1" si="6"/>
        <v>0</v>
      </c>
      <c r="O66" s="62"/>
    </row>
    <row r="67" spans="1:26" ht="15.75" customHeight="1" thickBot="1">
      <c r="A67" s="105" t="str">
        <f>A$28</f>
        <v>Totais</v>
      </c>
      <c r="B67" s="606">
        <f t="shared" ref="B67:M67" ca="1" si="7">SUM(B59:B66)</f>
        <v>38.318172538211996</v>
      </c>
      <c r="C67" s="607">
        <f t="shared" ca="1" si="7"/>
        <v>38.318172538211996</v>
      </c>
      <c r="D67" s="607">
        <f t="shared" ca="1" si="7"/>
        <v>38.318172538211996</v>
      </c>
      <c r="E67" s="607">
        <f t="shared" ca="1" si="7"/>
        <v>38.318172538211996</v>
      </c>
      <c r="F67" s="607">
        <f t="shared" ca="1" si="7"/>
        <v>38.318172538211996</v>
      </c>
      <c r="G67" s="607">
        <f t="shared" ca="1" si="7"/>
        <v>38.318172538211996</v>
      </c>
      <c r="H67" s="607">
        <f t="shared" ca="1" si="7"/>
        <v>38.318172538211996</v>
      </c>
      <c r="I67" s="607">
        <f t="shared" ca="1" si="7"/>
        <v>38.318172538211996</v>
      </c>
      <c r="J67" s="607">
        <f t="shared" ca="1" si="7"/>
        <v>38.318172538211996</v>
      </c>
      <c r="K67" s="607">
        <f t="shared" ca="1" si="7"/>
        <v>38.318172538211996</v>
      </c>
      <c r="L67" s="607">
        <f t="shared" ca="1" si="7"/>
        <v>38.318172538211996</v>
      </c>
      <c r="M67" s="608">
        <f t="shared" ca="1" si="7"/>
        <v>38.318172538211996</v>
      </c>
      <c r="N67" s="605">
        <f t="shared" ca="1" si="6"/>
        <v>459.81807045854407</v>
      </c>
      <c r="O67" s="62"/>
    </row>
    <row r="68" spans="1:26">
      <c r="A68" s="1011" t="s">
        <v>272</v>
      </c>
      <c r="B68" s="1011">
        <f ca="1">SUM(B125:M125,B143:M143,B161:M161,B179:M179,B197:M197,B215:M215,B233:M233,B251:M251)</f>
        <v>0</v>
      </c>
    </row>
    <row r="69" spans="1:26" ht="15">
      <c r="A69" s="220"/>
    </row>
    <row r="70" spans="1:26" ht="18.75" thickBot="1">
      <c r="A70" s="1993" t="str">
        <f>'Distr CV 0'!A70</f>
        <v>Distribuição dos custos de produção por meses das unidades vendidas no ano</v>
      </c>
      <c r="I70" s="1993" t="str">
        <f>I$44</f>
        <v>IVA NÃO incluido</v>
      </c>
    </row>
    <row r="71" spans="1:26" s="456" customFormat="1" ht="32.25" customHeight="1" thickBot="1">
      <c r="A71" s="457" t="str">
        <f>'Distr CV 0'!A71</f>
        <v>Custos produção</v>
      </c>
      <c r="B71" s="2011" t="str">
        <f t="array" ref="B71:M71">'Estimações Vendas'!B44:M44</f>
        <v>janeiro 
2029</v>
      </c>
      <c r="C71" s="2011" t="str">
        <v>fevereiro 
2029</v>
      </c>
      <c r="D71" s="2011" t="str">
        <v>março 
2029</v>
      </c>
      <c r="E71" s="2011" t="str">
        <v>abril 
2029</v>
      </c>
      <c r="F71" s="2011" t="str">
        <v>maio 
2029</v>
      </c>
      <c r="G71" s="2011" t="str">
        <v>junho 
2029</v>
      </c>
      <c r="H71" s="2011" t="str">
        <v>julho 
2029</v>
      </c>
      <c r="I71" s="2011" t="str">
        <v>agosto 
2029</v>
      </c>
      <c r="J71" s="2011" t="str">
        <v>setembro 
2029</v>
      </c>
      <c r="K71" s="2011" t="str">
        <v>outubro 
2029</v>
      </c>
      <c r="L71" s="2011" t="str">
        <v>novembro 
2029</v>
      </c>
      <c r="M71" s="2011" t="str">
        <v>dezembro 
2029</v>
      </c>
      <c r="N71" s="2734" t="str">
        <f t="array" ref="N71:Y71">'Estimações Vendas'!B57:M57</f>
        <v>janeiro 
2030</v>
      </c>
      <c r="O71" s="2735" t="str">
        <v>fevereiro 
2030</v>
      </c>
      <c r="P71" s="2735" t="str">
        <v>março 
2030</v>
      </c>
      <c r="Q71" s="2735" t="str">
        <v>abril 
2030</v>
      </c>
      <c r="R71" s="2735" t="str">
        <v>maio 
2030</v>
      </c>
      <c r="S71" s="2735" t="str">
        <v>junho 
2030</v>
      </c>
      <c r="T71" s="2735" t="str">
        <v>julho 
2030</v>
      </c>
      <c r="U71" s="2735" t="str">
        <v>agosto 
2030</v>
      </c>
      <c r="V71" s="2735" t="str">
        <v>setembro 
2030</v>
      </c>
      <c r="W71" s="2735" t="str">
        <v>outubro 
2030</v>
      </c>
      <c r="X71" s="2735" t="str">
        <v>novembro 
2030</v>
      </c>
      <c r="Y71" s="2736" t="str">
        <v>dezembro 
2030</v>
      </c>
      <c r="Z71" s="62"/>
    </row>
    <row r="72" spans="1:26" ht="15.75" customHeight="1">
      <c r="A72" s="1994" t="s">
        <v>259</v>
      </c>
      <c r="B72" s="1991"/>
      <c r="C72" s="1991"/>
      <c r="D72" s="1991"/>
      <c r="E72" s="1991"/>
      <c r="F72" s="1991"/>
      <c r="G72" s="1991"/>
      <c r="H72" s="1989">
        <v>0</v>
      </c>
      <c r="I72" s="1990">
        <v>0</v>
      </c>
      <c r="J72" s="1990">
        <v>0</v>
      </c>
      <c r="K72" s="1990">
        <v>0</v>
      </c>
      <c r="L72" s="1990">
        <v>0</v>
      </c>
      <c r="M72" s="1990">
        <v>0</v>
      </c>
      <c r="N72" s="599">
        <f t="array" aca="1" ref="N72" ca="1">SUM(B20:B27*Produção!$N$8:$N$15)</f>
        <v>182.4674882772</v>
      </c>
      <c r="O72" s="599">
        <f t="array" aca="1" ref="O72" ca="1">SUM(C20:C27*Produção!$N$8:$N$15)</f>
        <v>182.4674882772</v>
      </c>
      <c r="P72" s="599">
        <f t="array" aca="1" ref="P72" ca="1">SUM(D20:D27*Produção!$N$8:$N$15)</f>
        <v>182.4674882772</v>
      </c>
      <c r="Q72" s="599">
        <f t="array" aca="1" ref="Q72" ca="1">SUM(E20:E27*Produção!$N$8:$N$15)</f>
        <v>182.4674882772</v>
      </c>
      <c r="R72" s="599">
        <f t="array" aca="1" ref="R72" ca="1">SUM(F20:F27*Produção!$N$8:$N$15)</f>
        <v>182.4674882772</v>
      </c>
      <c r="S72" s="599">
        <f t="array" aca="1" ref="S72" ca="1">SUM(G20:G27*Produção!$N$8:$N$15)</f>
        <v>182.4674882772</v>
      </c>
      <c r="T72" s="599">
        <f t="array" aca="1" ref="T72" ca="1">SUM(H20:H27*Produção!$N$8:$N$15)</f>
        <v>182.4674882772</v>
      </c>
      <c r="U72" s="599">
        <f t="array" aca="1" ref="U72" ca="1">SUM(I20:I27*Produção!$N$8:$N$15)</f>
        <v>182.4674882772</v>
      </c>
      <c r="V72" s="599">
        <f t="array" aca="1" ref="V72" ca="1">SUM(J20:J27*Produção!$N$8:$N$15)</f>
        <v>182.4674882772</v>
      </c>
      <c r="W72" s="599">
        <f t="array" aca="1" ref="W72" ca="1">SUM(K20:K27*Produção!$N$8:$N$15)</f>
        <v>182.4674882772</v>
      </c>
      <c r="X72" s="599">
        <f t="array" aca="1" ref="X72" ca="1">SUM(L20:L27*Produção!$N$8:$N$15)</f>
        <v>182.4674882772</v>
      </c>
      <c r="Y72" s="2009">
        <f t="array" aca="1" ref="Y72" ca="1">SUM(M20:M27*Produção!$N$8:$N$15)</f>
        <v>182.4674882772</v>
      </c>
    </row>
    <row r="73" spans="1:26" ht="15.75" customHeight="1">
      <c r="A73" s="1995" t="s">
        <v>260</v>
      </c>
      <c r="B73" s="1991"/>
      <c r="C73" s="1991"/>
      <c r="D73" s="1991"/>
      <c r="E73" s="1991"/>
      <c r="F73" s="1991"/>
      <c r="G73" s="1991"/>
      <c r="H73" s="1991"/>
      <c r="I73" s="1988"/>
      <c r="J73" s="1988"/>
      <c r="K73" s="1988"/>
      <c r="L73" s="1988"/>
      <c r="M73" s="601">
        <f t="array" aca="1" ref="M73" ca="1">SUM(B20:B27*Produção!$M$8:$M$15)</f>
        <v>0</v>
      </c>
      <c r="N73" s="601">
        <f t="array" aca="1" ref="N73" ca="1">SUM(C20:C27*Produção!$M$8:$M$15)</f>
        <v>0</v>
      </c>
      <c r="O73" s="601">
        <f t="array" aca="1" ref="O73" ca="1">SUM(D20:D27*Produção!$M$8:$M$15)</f>
        <v>0</v>
      </c>
      <c r="P73" s="601">
        <f t="array" aca="1" ref="P73" ca="1">SUM(E20:E27*Produção!$M$8:$M$15)</f>
        <v>0</v>
      </c>
      <c r="Q73" s="601">
        <f t="array" aca="1" ref="Q73" ca="1">SUM(F20:F27*Produção!$M$8:$M$15)</f>
        <v>0</v>
      </c>
      <c r="R73" s="601">
        <f t="array" aca="1" ref="R73" ca="1">SUM(G20:G27*Produção!$M$8:$M$15)</f>
        <v>0</v>
      </c>
      <c r="S73" s="601">
        <f t="array" aca="1" ref="S73" ca="1">SUM(H20:H27*Produção!$M$8:$M$15)</f>
        <v>0</v>
      </c>
      <c r="T73" s="601">
        <f t="array" aca="1" ref="T73" ca="1">SUM(I20:I27*Produção!$M$8:$M$15)</f>
        <v>0</v>
      </c>
      <c r="U73" s="601">
        <f t="array" aca="1" ref="U73" ca="1">SUM(J20:J27*Produção!$M$8:$M$15)</f>
        <v>0</v>
      </c>
      <c r="V73" s="601">
        <f t="array" aca="1" ref="V73" ca="1">SUM(K20:K27*Produção!$M$8:$M$15)</f>
        <v>0</v>
      </c>
      <c r="W73" s="601">
        <f t="array" aca="1" ref="W73" ca="1">SUM(L20:L27*Produção!$M$8:$M$15)</f>
        <v>0</v>
      </c>
      <c r="X73" s="601">
        <f t="array" aca="1" ref="X73" ca="1">SUM(M20:M27*Produção!$M$8:$M$15)</f>
        <v>0</v>
      </c>
      <c r="Y73" s="2007">
        <f t="array" aca="1" ref="Y73:Y84" ca="1">'Distr CV 5'!M73:M84</f>
        <v>0</v>
      </c>
    </row>
    <row r="74" spans="1:26" ht="15.75" customHeight="1">
      <c r="A74" s="1995" t="s">
        <v>261</v>
      </c>
      <c r="B74" s="1991"/>
      <c r="C74" s="1991"/>
      <c r="D74" s="1991"/>
      <c r="E74" s="1991"/>
      <c r="F74" s="1991"/>
      <c r="G74" s="1991"/>
      <c r="H74" s="1991"/>
      <c r="I74" s="1988"/>
      <c r="J74" s="1988"/>
      <c r="K74" s="1988"/>
      <c r="L74" s="601">
        <f t="array" aca="1" ref="L74" ca="1">SUM(B20:B27*Produção!$L$8:$L$15)</f>
        <v>0</v>
      </c>
      <c r="M74" s="601">
        <f t="array" aca="1" ref="M74" ca="1">SUM(C20:C27*Produção!$L$8:$L$15)</f>
        <v>0</v>
      </c>
      <c r="N74" s="601">
        <f t="array" aca="1" ref="N74" ca="1">SUM(D20:D27*Produção!$L$8:$L$15)</f>
        <v>0</v>
      </c>
      <c r="O74" s="601">
        <f t="array" aca="1" ref="O74" ca="1">SUM(E20:E27*Produção!$L$8:$L$15)</f>
        <v>0</v>
      </c>
      <c r="P74" s="601">
        <f t="array" aca="1" ref="P74" ca="1">SUM(F20:F27*Produção!$L$8:$L$15)</f>
        <v>0</v>
      </c>
      <c r="Q74" s="601">
        <f t="array" aca="1" ref="Q74" ca="1">SUM(G20:G27*Produção!$L$8:$L$15)</f>
        <v>0</v>
      </c>
      <c r="R74" s="601">
        <f t="array" aca="1" ref="R74" ca="1">SUM(H20:H27*Produção!$L$8:$L$15)</f>
        <v>0</v>
      </c>
      <c r="S74" s="601">
        <f t="array" aca="1" ref="S74" ca="1">SUM(I20:I27*Produção!$L$8:$L$15)</f>
        <v>0</v>
      </c>
      <c r="T74" s="601">
        <f t="array" aca="1" ref="T74" ca="1">SUM(J20:J27*Produção!$L$8:$L$15)</f>
        <v>0</v>
      </c>
      <c r="U74" s="601">
        <f t="array" aca="1" ref="U74" ca="1">SUM(K20:K27*Produção!$L$8:$L$15)</f>
        <v>0</v>
      </c>
      <c r="V74" s="601">
        <f t="array" aca="1" ref="V74" ca="1">SUM(L20:L27*Produção!$L$8:$L$15)</f>
        <v>0</v>
      </c>
      <c r="W74" s="601">
        <f t="array" aca="1" ref="W74" ca="1">SUM(M20:M27*Produção!$L$8:$L$15)</f>
        <v>0</v>
      </c>
      <c r="X74" s="1988">
        <f t="array" aca="1" ref="X74:X84" ca="1">'Distr CV 5'!L74:L84</f>
        <v>0</v>
      </c>
      <c r="Y74" s="2007">
        <f ca="1"/>
        <v>0</v>
      </c>
    </row>
    <row r="75" spans="1:26" ht="15.75" customHeight="1">
      <c r="A75" s="1995" t="s">
        <v>262</v>
      </c>
      <c r="B75" s="1991"/>
      <c r="C75" s="1991"/>
      <c r="D75" s="1991"/>
      <c r="E75" s="1991"/>
      <c r="F75" s="1991"/>
      <c r="G75" s="1991"/>
      <c r="H75" s="1991"/>
      <c r="I75" s="1988"/>
      <c r="J75" s="1988"/>
      <c r="K75" s="601">
        <f t="array" aca="1" ref="K75" ca="1">SUM(B20:B27*Produção!$K$8:$K$15)</f>
        <v>0</v>
      </c>
      <c r="L75" s="601">
        <f t="array" aca="1" ref="L75" ca="1">SUM(C20:C27*Produção!$K$8:$K$15)</f>
        <v>0</v>
      </c>
      <c r="M75" s="601">
        <f t="array" aca="1" ref="M75" ca="1">SUM(D20:D27*Produção!$K$8:$K$15)</f>
        <v>0</v>
      </c>
      <c r="N75" s="601">
        <f t="array" aca="1" ref="N75" ca="1">SUM(E20:E27*Produção!$K$8:$K$15)</f>
        <v>0</v>
      </c>
      <c r="O75" s="601">
        <f t="array" aca="1" ref="O75" ca="1">SUM(F20:F27*Produção!$K$8:$K$15)</f>
        <v>0</v>
      </c>
      <c r="P75" s="601">
        <f t="array" aca="1" ref="P75" ca="1">SUM(G20:G27*Produção!$K$8:$K$15)</f>
        <v>0</v>
      </c>
      <c r="Q75" s="601">
        <f t="array" aca="1" ref="Q75" ca="1">SUM(H20:H27*Produção!$K$8:$K$15)</f>
        <v>0</v>
      </c>
      <c r="R75" s="601">
        <f t="array" aca="1" ref="R75" ca="1">SUM(I20:I27*Produção!$K$8:$K$15)</f>
        <v>0</v>
      </c>
      <c r="S75" s="601">
        <f t="array" aca="1" ref="S75" ca="1">SUM(J20:J27*Produção!$K$8:$K$15)</f>
        <v>0</v>
      </c>
      <c r="T75" s="601">
        <f t="array" aca="1" ref="T75" ca="1">SUM(K20:K27*Produção!$K$8:$K$15)</f>
        <v>0</v>
      </c>
      <c r="U75" s="601">
        <f t="array" aca="1" ref="U75" ca="1">SUM(L20:L27*Produção!$K$8:$K$15)</f>
        <v>0</v>
      </c>
      <c r="V75" s="601">
        <f t="array" aca="1" ref="V75" ca="1">SUM(M20:M27*Produção!$K$8:$K$15)</f>
        <v>0</v>
      </c>
      <c r="W75" s="1988">
        <f t="array" aca="1" ref="W75:W84" ca="1">'Distr CV 5'!K75:K84</f>
        <v>0</v>
      </c>
      <c r="X75" s="1988">
        <f ca="1"/>
        <v>0</v>
      </c>
      <c r="Y75" s="2007">
        <f ca="1"/>
        <v>0</v>
      </c>
    </row>
    <row r="76" spans="1:26" ht="15.75" customHeight="1">
      <c r="A76" s="1995" t="s">
        <v>263</v>
      </c>
      <c r="B76" s="1991"/>
      <c r="C76" s="1991"/>
      <c r="D76" s="1991"/>
      <c r="E76" s="1991"/>
      <c r="F76" s="1991"/>
      <c r="G76" s="1991"/>
      <c r="H76" s="1991"/>
      <c r="I76" s="1988"/>
      <c r="J76" s="601">
        <f t="array" aca="1" ref="J76" ca="1">SUM(B20:B27*Produção!$J$8:$J$15)</f>
        <v>0</v>
      </c>
      <c r="K76" s="601">
        <f t="array" aca="1" ref="K76" ca="1">SUM(C20:C27*Produção!$J$8:$J$15)</f>
        <v>0</v>
      </c>
      <c r="L76" s="601">
        <f t="array" aca="1" ref="L76" ca="1">SUM(D20:D27*Produção!$J$8:$J$15)</f>
        <v>0</v>
      </c>
      <c r="M76" s="601">
        <f t="array" aca="1" ref="M76" ca="1">SUM(E20:E27*Produção!$J$8:$J$15)</f>
        <v>0</v>
      </c>
      <c r="N76" s="601">
        <f t="array" aca="1" ref="N76" ca="1">SUM(F20:F27*Produção!$J$8:$J$15)</f>
        <v>0</v>
      </c>
      <c r="O76" s="601">
        <f t="array" aca="1" ref="O76" ca="1">SUM(G20:G27*Produção!$J$8:$J$15)</f>
        <v>0</v>
      </c>
      <c r="P76" s="601">
        <f t="array" aca="1" ref="P76" ca="1">SUM(H20:H27*Produção!$J$8:$J$15)</f>
        <v>0</v>
      </c>
      <c r="Q76" s="601">
        <f t="array" aca="1" ref="Q76" ca="1">SUM(I20:I27*Produção!$J$8:$J$15)</f>
        <v>0</v>
      </c>
      <c r="R76" s="601">
        <f t="array" aca="1" ref="R76" ca="1">SUM(J20:J27*Produção!$J$8:$J$15)</f>
        <v>0</v>
      </c>
      <c r="S76" s="601">
        <f t="array" aca="1" ref="S76" ca="1">SUM(K20:K27*Produção!$J$8:$J$15)</f>
        <v>0</v>
      </c>
      <c r="T76" s="601">
        <f t="array" aca="1" ref="T76" ca="1">SUM(L20:L27*Produção!$J$8:$J$15)</f>
        <v>0</v>
      </c>
      <c r="U76" s="601">
        <f t="array" aca="1" ref="U76" ca="1">SUM(M20:M27*Produção!$J$8:$J$15)</f>
        <v>0</v>
      </c>
      <c r="V76" s="1988">
        <f t="array" aca="1" ref="V76:V84" ca="1">'Distr CV 5'!J76:J84</f>
        <v>0</v>
      </c>
      <c r="W76" s="1988">
        <f ca="1"/>
        <v>0</v>
      </c>
      <c r="X76" s="1988">
        <f ca="1"/>
        <v>0</v>
      </c>
      <c r="Y76" s="2007">
        <f ca="1"/>
        <v>0</v>
      </c>
    </row>
    <row r="77" spans="1:26" ht="15.75" customHeight="1">
      <c r="A77" s="1995" t="s">
        <v>264</v>
      </c>
      <c r="B77" s="1991"/>
      <c r="C77" s="1991"/>
      <c r="D77" s="1991"/>
      <c r="E77" s="1991"/>
      <c r="F77" s="1991"/>
      <c r="G77" s="1991"/>
      <c r="H77" s="1991"/>
      <c r="I77" s="601">
        <f t="array" aca="1" ref="I77" ca="1">SUM(B20:B27*Produção!$I$8:$I$15)</f>
        <v>0</v>
      </c>
      <c r="J77" s="601">
        <f t="array" aca="1" ref="J77" ca="1">SUM(C20:C27*Produção!$I$8:$I$15)</f>
        <v>0</v>
      </c>
      <c r="K77" s="601">
        <f t="array" aca="1" ref="K77" ca="1">SUM(D20:D27*Produção!$I$8:$I$15)</f>
        <v>0</v>
      </c>
      <c r="L77" s="601">
        <f t="array" aca="1" ref="L77" ca="1">SUM(E20:E27*Produção!$I$8:$I$15)</f>
        <v>0</v>
      </c>
      <c r="M77" s="601">
        <f t="array" aca="1" ref="M77" ca="1">SUM(F20:F27*Produção!$I$8:$I$15)</f>
        <v>0</v>
      </c>
      <c r="N77" s="601">
        <f t="array" aca="1" ref="N77" ca="1">SUM(G20:G27*Produção!$I$8:$I$15)</f>
        <v>0</v>
      </c>
      <c r="O77" s="601">
        <f t="array" aca="1" ref="O77" ca="1">SUM(H20:H27*Produção!$I$8:$I$15)</f>
        <v>0</v>
      </c>
      <c r="P77" s="601">
        <f t="array" aca="1" ref="P77" ca="1">SUM(I20:I27*Produção!$I$8:$I$15)</f>
        <v>0</v>
      </c>
      <c r="Q77" s="601">
        <f t="array" aca="1" ref="Q77" ca="1">SUM(J20:J27*Produção!$I$8:$I$15)</f>
        <v>0</v>
      </c>
      <c r="R77" s="601">
        <f t="array" aca="1" ref="R77" ca="1">SUM(K20:K27*Produção!$I$8:$I$15)</f>
        <v>0</v>
      </c>
      <c r="S77" s="601">
        <f t="array" aca="1" ref="S77" ca="1">SUM(L20:L27*Produção!$I$8:$I$15)</f>
        <v>0</v>
      </c>
      <c r="T77" s="601">
        <f t="array" aca="1" ref="T77" ca="1">SUM(M20:M27*Produção!$I$8:$I$15)</f>
        <v>0</v>
      </c>
      <c r="U77" s="1988">
        <f t="array" aca="1" ref="U77:U84" ca="1">'Distr CV 5'!I77:I84</f>
        <v>0</v>
      </c>
      <c r="V77" s="1988">
        <f ca="1"/>
        <v>0</v>
      </c>
      <c r="W77" s="1988">
        <f ca="1"/>
        <v>0</v>
      </c>
      <c r="X77" s="1988">
        <f ca="1"/>
        <v>0</v>
      </c>
      <c r="Y77" s="2007">
        <f ca="1"/>
        <v>0</v>
      </c>
    </row>
    <row r="78" spans="1:26" ht="15.75" customHeight="1">
      <c r="A78" s="1995" t="s">
        <v>265</v>
      </c>
      <c r="B78" s="1991"/>
      <c r="C78" s="1991"/>
      <c r="D78" s="1991"/>
      <c r="E78" s="1991"/>
      <c r="F78" s="1991"/>
      <c r="G78" s="1991"/>
      <c r="H78" s="601">
        <f t="array" aca="1" ref="H78" ca="1">SUM(B20:B27*Produção!$H$8:$H$15)</f>
        <v>0</v>
      </c>
      <c r="I78" s="601">
        <f t="array" aca="1" ref="I78" ca="1">SUM(C20:C27*Produção!$H$8:$H$15)</f>
        <v>0</v>
      </c>
      <c r="J78" s="601">
        <f t="array" aca="1" ref="J78" ca="1">SUM(D20:D27*Produção!$H$8:$H$15)</f>
        <v>0</v>
      </c>
      <c r="K78" s="601">
        <f t="array" aca="1" ref="K78" ca="1">SUM(E20:E27*Produção!$H$8:$H$15)</f>
        <v>0</v>
      </c>
      <c r="L78" s="601">
        <f t="array" aca="1" ref="L78" ca="1">SUM(F20:F27*Produção!$H$8:$H$15)</f>
        <v>0</v>
      </c>
      <c r="M78" s="601">
        <f t="array" aca="1" ref="M78" ca="1">SUM(G20:G27*Produção!$H$8:$H$15)</f>
        <v>0</v>
      </c>
      <c r="N78" s="601">
        <f t="array" aca="1" ref="N78" ca="1">SUM(H20:H27*Produção!$H$8:$H$15)</f>
        <v>0</v>
      </c>
      <c r="O78" s="601">
        <f t="array" aca="1" ref="O78" ca="1">SUM(I20:I27*Produção!$H$8:$H$15)</f>
        <v>0</v>
      </c>
      <c r="P78" s="601">
        <f t="array" aca="1" ref="P78" ca="1">SUM(J20:J27*Produção!$H$8:$H$15)</f>
        <v>0</v>
      </c>
      <c r="Q78" s="601">
        <f t="array" aca="1" ref="Q78" ca="1">SUM(K20:K27*Produção!$H$8:$H$15)</f>
        <v>0</v>
      </c>
      <c r="R78" s="601">
        <f t="array" aca="1" ref="R78" ca="1">SUM(L20:L27*Produção!$H$8:$H$15)</f>
        <v>0</v>
      </c>
      <c r="S78" s="601">
        <f t="array" aca="1" ref="S78" ca="1">SUM(M20:M27*Produção!$H$8:$H$15)</f>
        <v>0</v>
      </c>
      <c r="T78" s="1988">
        <f t="array" aca="1" ref="T78:T84" ca="1">'Distr CV 5'!H78:H84</f>
        <v>0</v>
      </c>
      <c r="U78" s="1988">
        <f ca="1"/>
        <v>0</v>
      </c>
      <c r="V78" s="1988">
        <f ca="1"/>
        <v>0</v>
      </c>
      <c r="W78" s="1988">
        <f ca="1"/>
        <v>0</v>
      </c>
      <c r="X78" s="1988">
        <f ca="1"/>
        <v>0</v>
      </c>
      <c r="Y78" s="2007">
        <f ca="1"/>
        <v>0</v>
      </c>
    </row>
    <row r="79" spans="1:26" ht="15.75" customHeight="1">
      <c r="A79" s="1995" t="s">
        <v>266</v>
      </c>
      <c r="B79" s="1991"/>
      <c r="C79" s="1991"/>
      <c r="D79" s="1991"/>
      <c r="E79" s="1991"/>
      <c r="F79" s="1991"/>
      <c r="G79" s="603">
        <f t="array" aca="1" ref="G79" ca="1">SUM(B20:B27*Produção!$G$8:$G$15)</f>
        <v>0</v>
      </c>
      <c r="H79" s="603">
        <f t="array" aca="1" ref="H79" ca="1">SUM(C20:C27*Produção!$G$8:$G$15)</f>
        <v>0</v>
      </c>
      <c r="I79" s="603">
        <f t="array" aca="1" ref="I79" ca="1">SUM(D20:D27*Produção!$G$8:$G$15)</f>
        <v>0</v>
      </c>
      <c r="J79" s="603">
        <f t="array" aca="1" ref="J79" ca="1">SUM(E20:E27*Produção!$G$8:$G$15)</f>
        <v>0</v>
      </c>
      <c r="K79" s="603">
        <f t="array" aca="1" ref="K79" ca="1">SUM(F20:F27*Produção!$G$8:$G$15)</f>
        <v>0</v>
      </c>
      <c r="L79" s="603">
        <f t="array" aca="1" ref="L79" ca="1">SUM(G20:G27*Produção!$G$8:$G$15)</f>
        <v>0</v>
      </c>
      <c r="M79" s="603">
        <f t="array" aca="1" ref="M79" ca="1">SUM(H20:H27*Produção!$G$8:$G$15)</f>
        <v>0</v>
      </c>
      <c r="N79" s="603">
        <f t="array" aca="1" ref="N79" ca="1">SUM(I20:I27*Produção!$G$8:$G$15)</f>
        <v>0</v>
      </c>
      <c r="O79" s="603">
        <f t="array" aca="1" ref="O79" ca="1">SUM(J20:J27*Produção!$G$8:$G$15)</f>
        <v>0</v>
      </c>
      <c r="P79" s="603">
        <f t="array" aca="1" ref="P79" ca="1">SUM(K20:K27*Produção!$G$8:$G$15)</f>
        <v>0</v>
      </c>
      <c r="Q79" s="603">
        <f t="array" aca="1" ref="Q79" ca="1">SUM(L20:L27*Produção!$G$8:$G$15)</f>
        <v>0</v>
      </c>
      <c r="R79" s="603">
        <f t="array" aca="1" ref="R79" ca="1">SUM(M20:M27*Produção!$G$8:$G$15)</f>
        <v>0</v>
      </c>
      <c r="S79" s="1992">
        <f t="array" aca="1" ref="S79:S84" ca="1">'Distr CV 5'!G79:G84</f>
        <v>0</v>
      </c>
      <c r="T79" s="1992">
        <f ca="1"/>
        <v>0</v>
      </c>
      <c r="U79" s="1992">
        <f ca="1"/>
        <v>0</v>
      </c>
      <c r="V79" s="1992">
        <f ca="1"/>
        <v>0</v>
      </c>
      <c r="W79" s="1992">
        <f ca="1"/>
        <v>0</v>
      </c>
      <c r="X79" s="1992">
        <f ca="1"/>
        <v>0</v>
      </c>
      <c r="Y79" s="2010">
        <f ca="1"/>
        <v>0</v>
      </c>
    </row>
    <row r="80" spans="1:26" ht="15.75" customHeight="1">
      <c r="A80" s="1995" t="s">
        <v>267</v>
      </c>
      <c r="B80" s="1991"/>
      <c r="C80" s="1991"/>
      <c r="D80" s="1991"/>
      <c r="E80" s="1991"/>
      <c r="F80" s="603">
        <f t="array" aca="1" ref="F80" ca="1">SUM(B20:B27*Produção!$F$8:$F$15)</f>
        <v>0</v>
      </c>
      <c r="G80" s="603">
        <f t="array" aca="1" ref="G80" ca="1">SUM(C20:C27*Produção!$F$8:$F$15)</f>
        <v>0</v>
      </c>
      <c r="H80" s="603">
        <f t="array" aca="1" ref="H80" ca="1">SUM(D20:D27*Produção!$F$8:$F$15)</f>
        <v>0</v>
      </c>
      <c r="I80" s="603">
        <f t="array" aca="1" ref="I80" ca="1">SUM(E20:E27*Produção!$F$8:$F$15)</f>
        <v>0</v>
      </c>
      <c r="J80" s="603">
        <f t="array" aca="1" ref="J80" ca="1">SUM(F20:F27*Produção!$F$8:$F$15)</f>
        <v>0</v>
      </c>
      <c r="K80" s="603">
        <f t="array" aca="1" ref="K80" ca="1">SUM(G20:G27*Produção!$F$8:$F$15)</f>
        <v>0</v>
      </c>
      <c r="L80" s="603">
        <f t="array" aca="1" ref="L80" ca="1">SUM(H20:H27*Produção!$F$8:$F$15)</f>
        <v>0</v>
      </c>
      <c r="M80" s="603">
        <f t="array" aca="1" ref="M80" ca="1">SUM(I20:I27*Produção!$F$8:$F$15)</f>
        <v>0</v>
      </c>
      <c r="N80" s="603">
        <f t="array" aca="1" ref="N80" ca="1">SUM(J20:J27*Produção!$F$8:$F$15)</f>
        <v>0</v>
      </c>
      <c r="O80" s="603">
        <f t="array" aca="1" ref="O80" ca="1">SUM(K20:K27*Produção!$F$8:$F$15)</f>
        <v>0</v>
      </c>
      <c r="P80" s="603">
        <f t="array" aca="1" ref="P80" ca="1">SUM(L20:L27*Produção!$F$8:$F$15)</f>
        <v>0</v>
      </c>
      <c r="Q80" s="603">
        <f t="array" aca="1" ref="Q80" ca="1">SUM(M20:M27*Produção!$F$8:$F$15)</f>
        <v>0</v>
      </c>
      <c r="R80" s="1992">
        <f t="array" aca="1" ref="R80:R84" ca="1">'Distr CV 5'!F80:F84</f>
        <v>0</v>
      </c>
      <c r="S80" s="1992">
        <f ca="1"/>
        <v>0</v>
      </c>
      <c r="T80" s="1992">
        <f ca="1"/>
        <v>0</v>
      </c>
      <c r="U80" s="1992">
        <f ca="1"/>
        <v>0</v>
      </c>
      <c r="V80" s="1992">
        <f ca="1"/>
        <v>0</v>
      </c>
      <c r="W80" s="1992">
        <f ca="1"/>
        <v>0</v>
      </c>
      <c r="X80" s="1992">
        <f ca="1"/>
        <v>0</v>
      </c>
      <c r="Y80" s="2010">
        <f ca="1"/>
        <v>0</v>
      </c>
    </row>
    <row r="81" spans="1:26" ht="15.75" customHeight="1">
      <c r="A81" s="1995" t="s">
        <v>268</v>
      </c>
      <c r="B81" s="1991"/>
      <c r="C81" s="1991"/>
      <c r="D81" s="1991"/>
      <c r="E81" s="603">
        <f t="array" aca="1" ref="E81" ca="1">SUM(B20:B27*Produção!$E$8:$E$15)</f>
        <v>0</v>
      </c>
      <c r="F81" s="603">
        <f t="array" aca="1" ref="F81" ca="1">SUM(C20:C27*Produção!$E$8:$E$15)</f>
        <v>0</v>
      </c>
      <c r="G81" s="603">
        <f t="array" aca="1" ref="G81" ca="1">SUM(D20:D27*Produção!$E$8:$E$15)</f>
        <v>0</v>
      </c>
      <c r="H81" s="603">
        <f t="array" aca="1" ref="H81" ca="1">SUM(E20:E27*Produção!$E$8:$E$15)</f>
        <v>0</v>
      </c>
      <c r="I81" s="603">
        <f t="array" aca="1" ref="I81" ca="1">SUM(F20:F27*Produção!$E$8:$E$15)</f>
        <v>0</v>
      </c>
      <c r="J81" s="603">
        <f t="array" aca="1" ref="J81" ca="1">SUM(G20:G27*Produção!$E$8:$E$15)</f>
        <v>0</v>
      </c>
      <c r="K81" s="603">
        <f t="array" aca="1" ref="K81" ca="1">SUM(H20:H27*Produção!$E$8:$E$15)</f>
        <v>0</v>
      </c>
      <c r="L81" s="603">
        <f t="array" aca="1" ref="L81" ca="1">SUM(I20:I27*Produção!$E$8:$E$15)</f>
        <v>0</v>
      </c>
      <c r="M81" s="603">
        <f t="array" aca="1" ref="M81" ca="1">SUM(J20:J27*Produção!$E$8:$E$15)</f>
        <v>0</v>
      </c>
      <c r="N81" s="603">
        <f t="array" aca="1" ref="N81" ca="1">SUM(K20:K27*Produção!$E$8:$E$15)</f>
        <v>0</v>
      </c>
      <c r="O81" s="603">
        <f t="array" aca="1" ref="O81" ca="1">SUM(L20:L27*Produção!$E$8:$E$15)</f>
        <v>0</v>
      </c>
      <c r="P81" s="603">
        <f t="array" aca="1" ref="P81" ca="1">SUM(M20:M27*Produção!$E$8:$E$15)</f>
        <v>0</v>
      </c>
      <c r="Q81" s="1992">
        <f t="array" aca="1" ref="Q81:Q84" ca="1">'Distr CV 5'!E81:E84</f>
        <v>0</v>
      </c>
      <c r="R81" s="1992">
        <f ca="1"/>
        <v>0</v>
      </c>
      <c r="S81" s="1992">
        <f ca="1"/>
        <v>0</v>
      </c>
      <c r="T81" s="1992">
        <f ca="1"/>
        <v>0</v>
      </c>
      <c r="U81" s="1992">
        <f ca="1"/>
        <v>0</v>
      </c>
      <c r="V81" s="1992">
        <f ca="1"/>
        <v>0</v>
      </c>
      <c r="W81" s="1992">
        <f ca="1"/>
        <v>0</v>
      </c>
      <c r="X81" s="1992">
        <f ca="1"/>
        <v>0</v>
      </c>
      <c r="Y81" s="2010">
        <f ca="1"/>
        <v>0</v>
      </c>
    </row>
    <row r="82" spans="1:26" ht="15.75" customHeight="1">
      <c r="A82" s="1995" t="s">
        <v>269</v>
      </c>
      <c r="B82" s="1991"/>
      <c r="C82" s="1991"/>
      <c r="D82" s="602">
        <f t="array" aca="1" ref="D82" ca="1">SUM(B20:B27*Produção!$D$8:$D$15)</f>
        <v>0</v>
      </c>
      <c r="E82" s="602">
        <f t="array" aca="1" ref="E82" ca="1">SUM(C20:C27*Produção!$D$8:$D$15)</f>
        <v>0</v>
      </c>
      <c r="F82" s="602">
        <f t="array" aca="1" ref="F82" ca="1">SUM(D20:D27*Produção!$D$8:$D$15)</f>
        <v>0</v>
      </c>
      <c r="G82" s="602">
        <f t="array" aca="1" ref="G82" ca="1">SUM(E20:E27*Produção!$D$8:$D$15)</f>
        <v>0</v>
      </c>
      <c r="H82" s="602">
        <f t="array" aca="1" ref="H82" ca="1">SUM(F20:F27*Produção!$D$8:$D$15)</f>
        <v>0</v>
      </c>
      <c r="I82" s="602">
        <f t="array" aca="1" ref="I82" ca="1">SUM(G20:G27*Produção!$D$8:$D$15)</f>
        <v>0</v>
      </c>
      <c r="J82" s="602">
        <f t="array" aca="1" ref="J82" ca="1">SUM(H20:H27*Produção!$D$8:$D$15)</f>
        <v>0</v>
      </c>
      <c r="K82" s="602">
        <f t="array" aca="1" ref="K82" ca="1">SUM(I20:I27*Produção!$D$8:$D$15)</f>
        <v>0</v>
      </c>
      <c r="L82" s="602">
        <f t="array" aca="1" ref="L82" ca="1">SUM(J20:J27*Produção!$D$8:$D$15)</f>
        <v>0</v>
      </c>
      <c r="M82" s="602">
        <f t="array" aca="1" ref="M82" ca="1">SUM(K20:K27*Produção!$D$8:$D$15)</f>
        <v>0</v>
      </c>
      <c r="N82" s="602">
        <f t="array" aca="1" ref="N82" ca="1">SUM(L20:L27*Produção!$D$8:$D$15)</f>
        <v>0</v>
      </c>
      <c r="O82" s="602">
        <f t="array" aca="1" ref="O82" ca="1">SUM(M20:M27*Produção!$D$8:$D$15)</f>
        <v>0</v>
      </c>
      <c r="P82" s="1992">
        <f t="array" aca="1" ref="P82:P84" ca="1">'Distr CV 5'!D82:D84</f>
        <v>0</v>
      </c>
      <c r="Q82" s="1992">
        <f ca="1"/>
        <v>0</v>
      </c>
      <c r="R82" s="1992">
        <f ca="1"/>
        <v>0</v>
      </c>
      <c r="S82" s="1992">
        <f ca="1"/>
        <v>0</v>
      </c>
      <c r="T82" s="1992">
        <f ca="1"/>
        <v>0</v>
      </c>
      <c r="U82" s="1992">
        <f ca="1"/>
        <v>0</v>
      </c>
      <c r="V82" s="1992">
        <f ca="1"/>
        <v>0</v>
      </c>
      <c r="W82" s="1992">
        <f ca="1"/>
        <v>0</v>
      </c>
      <c r="X82" s="1992">
        <f ca="1"/>
        <v>0</v>
      </c>
      <c r="Y82" s="2010">
        <f ca="1"/>
        <v>0</v>
      </c>
    </row>
    <row r="83" spans="1:26" ht="15.75" customHeight="1">
      <c r="A83" s="1995" t="s">
        <v>270</v>
      </c>
      <c r="B83" s="1991"/>
      <c r="C83" s="603">
        <f t="array" aca="1" ref="C83" ca="1">SUM(B20:B27*Produção!$C$8:$C$15)</f>
        <v>0</v>
      </c>
      <c r="D83" s="603">
        <f t="array" aca="1" ref="D83" ca="1">SUM(C20:C27*Produção!$C$8:$C$15)</f>
        <v>0</v>
      </c>
      <c r="E83" s="603">
        <f t="array" aca="1" ref="E83" ca="1">SUM(D20:D27*Produção!$C$8:$C$15)</f>
        <v>0</v>
      </c>
      <c r="F83" s="603">
        <f t="array" aca="1" ref="F83" ca="1">SUM(E20:E27*Produção!$C$8:$C$15)</f>
        <v>0</v>
      </c>
      <c r="G83" s="603">
        <f t="array" aca="1" ref="G83" ca="1">SUM(F20:F27*Produção!$C$8:$C$15)</f>
        <v>0</v>
      </c>
      <c r="H83" s="603">
        <f t="array" aca="1" ref="H83" ca="1">SUM(G20:G27*Produção!$C$8:$C$15)</f>
        <v>0</v>
      </c>
      <c r="I83" s="603">
        <f t="array" aca="1" ref="I83" ca="1">SUM(H20:H27*Produção!$C$8:$C$15)</f>
        <v>0</v>
      </c>
      <c r="J83" s="603">
        <f t="array" aca="1" ref="J83" ca="1">SUM(I20:I27*Produção!$C$8:$C$15)</f>
        <v>0</v>
      </c>
      <c r="K83" s="603">
        <f t="array" aca="1" ref="K83" ca="1">SUM(J20:J27*Produção!$C$8:$C$15)</f>
        <v>0</v>
      </c>
      <c r="L83" s="603">
        <f t="array" aca="1" ref="L83" ca="1">SUM(K20:K27*Produção!$C$8:$C$15)</f>
        <v>0</v>
      </c>
      <c r="M83" s="603">
        <f t="array" aca="1" ref="M83" ca="1">SUM(L20:L27*Produção!$C$8:$C$15)</f>
        <v>0</v>
      </c>
      <c r="N83" s="603">
        <f t="array" aca="1" ref="N83" ca="1">SUM(M20:M27*Produção!$C$8:$C$15)</f>
        <v>0</v>
      </c>
      <c r="O83" s="1992">
        <f t="array" aca="1" ref="O83:O84" ca="1">'Distr CV 5'!C83:C84</f>
        <v>0</v>
      </c>
      <c r="P83" s="1992">
        <f ca="1"/>
        <v>0</v>
      </c>
      <c r="Q83" s="1992">
        <f ca="1"/>
        <v>0</v>
      </c>
      <c r="R83" s="1992">
        <f ca="1"/>
        <v>0</v>
      </c>
      <c r="S83" s="1992">
        <f ca="1"/>
        <v>0</v>
      </c>
      <c r="T83" s="1992">
        <f ca="1"/>
        <v>0</v>
      </c>
      <c r="U83" s="1992">
        <f ca="1"/>
        <v>0</v>
      </c>
      <c r="V83" s="1992">
        <f ca="1"/>
        <v>0</v>
      </c>
      <c r="W83" s="1992">
        <f ca="1"/>
        <v>0</v>
      </c>
      <c r="X83" s="1992">
        <f ca="1"/>
        <v>0</v>
      </c>
      <c r="Y83" s="2010">
        <f ca="1"/>
        <v>0</v>
      </c>
    </row>
    <row r="84" spans="1:26" ht="15.75" customHeight="1" thickBot="1">
      <c r="A84" s="1995" t="s">
        <v>271</v>
      </c>
      <c r="B84" s="603">
        <f t="array" aca="1" ref="B84" ca="1">SUM(B20:B27*Produção!$B$8:$B$15)</f>
        <v>0</v>
      </c>
      <c r="C84" s="603">
        <f t="array" aca="1" ref="C84" ca="1">SUM(C20:C27*Produção!$B$8:$B$15)</f>
        <v>0</v>
      </c>
      <c r="D84" s="603">
        <f t="array" aca="1" ref="D84" ca="1">SUM(D20:D27*Produção!$B$8:$B$15)</f>
        <v>0</v>
      </c>
      <c r="E84" s="603">
        <f t="array" aca="1" ref="E84" ca="1">SUM(E20:E27*Produção!$B$8:$B$15)</f>
        <v>0</v>
      </c>
      <c r="F84" s="603">
        <f t="array" aca="1" ref="F84" ca="1">SUM(F20:F27*Produção!$B$8:$B$15)</f>
        <v>0</v>
      </c>
      <c r="G84" s="603">
        <f t="array" aca="1" ref="G84" ca="1">SUM(G20:G27*Produção!$B$8:$B$15)</f>
        <v>0</v>
      </c>
      <c r="H84" s="603">
        <f t="array" aca="1" ref="H84" ca="1">SUM(H20:H27*Produção!$B$8:$B$15)</f>
        <v>0</v>
      </c>
      <c r="I84" s="603">
        <f t="array" aca="1" ref="I84" ca="1">SUM(I20:I27*Produção!$B$8:$B$15)</f>
        <v>0</v>
      </c>
      <c r="J84" s="603">
        <f t="array" aca="1" ref="J84" ca="1">SUM(J20:J27*Produção!$B$8:$B$15)</f>
        <v>0</v>
      </c>
      <c r="K84" s="603">
        <f t="array" aca="1" ref="K84" ca="1">SUM(K20:K27*Produção!$B$8:$B$15)</f>
        <v>0</v>
      </c>
      <c r="L84" s="603">
        <f t="array" aca="1" ref="L84" ca="1">SUM(L20:L27*Produção!$B$8:$B$15)</f>
        <v>0</v>
      </c>
      <c r="M84" s="603">
        <f t="array" aca="1" ref="M84" ca="1">SUM(M20:M27*Produção!$B$8:$B$15)</f>
        <v>0</v>
      </c>
      <c r="N84" s="1992">
        <f ca="1">'Distr CV 5'!B84</f>
        <v>0</v>
      </c>
      <c r="O84" s="1992">
        <f ca="1"/>
        <v>0</v>
      </c>
      <c r="P84" s="1992">
        <f ca="1"/>
        <v>0</v>
      </c>
      <c r="Q84" s="1992">
        <f ca="1"/>
        <v>0</v>
      </c>
      <c r="R84" s="1992">
        <f ca="1"/>
        <v>0</v>
      </c>
      <c r="S84" s="1992">
        <f ca="1"/>
        <v>0</v>
      </c>
      <c r="T84" s="1992">
        <f ca="1"/>
        <v>0</v>
      </c>
      <c r="U84" s="1992">
        <f ca="1"/>
        <v>0</v>
      </c>
      <c r="V84" s="1992">
        <f ca="1"/>
        <v>0</v>
      </c>
      <c r="W84" s="1992">
        <f ca="1"/>
        <v>0</v>
      </c>
      <c r="X84" s="1992">
        <f ca="1"/>
        <v>0</v>
      </c>
      <c r="Y84" s="2010">
        <f ca="1"/>
        <v>0</v>
      </c>
    </row>
    <row r="85" spans="1:26" ht="15.75" customHeight="1" thickBot="1">
      <c r="A85" s="105" t="str">
        <f>A$28</f>
        <v>Totais</v>
      </c>
      <c r="B85" s="607">
        <f t="shared" ref="B85:Y85" ca="1" si="8">SUM(B72:B84)</f>
        <v>0</v>
      </c>
      <c r="C85" s="607">
        <f t="shared" ca="1" si="8"/>
        <v>0</v>
      </c>
      <c r="D85" s="607">
        <f t="shared" ca="1" si="8"/>
        <v>0</v>
      </c>
      <c r="E85" s="607">
        <f t="shared" ca="1" si="8"/>
        <v>0</v>
      </c>
      <c r="F85" s="607">
        <f t="shared" ca="1" si="8"/>
        <v>0</v>
      </c>
      <c r="G85" s="607">
        <f t="shared" ca="1" si="8"/>
        <v>0</v>
      </c>
      <c r="H85" s="607">
        <f t="shared" ca="1" si="8"/>
        <v>0</v>
      </c>
      <c r="I85" s="607">
        <f t="shared" ca="1" si="8"/>
        <v>0</v>
      </c>
      <c r="J85" s="607">
        <f t="shared" ca="1" si="8"/>
        <v>0</v>
      </c>
      <c r="K85" s="607">
        <f t="shared" ca="1" si="8"/>
        <v>0</v>
      </c>
      <c r="L85" s="607">
        <f t="shared" ca="1" si="8"/>
        <v>0</v>
      </c>
      <c r="M85" s="607">
        <f t="shared" ca="1" si="8"/>
        <v>0</v>
      </c>
      <c r="N85" s="607">
        <f t="shared" ca="1" si="8"/>
        <v>182.4674882772</v>
      </c>
      <c r="O85" s="607">
        <f t="shared" ca="1" si="8"/>
        <v>182.4674882772</v>
      </c>
      <c r="P85" s="607">
        <f t="shared" ca="1" si="8"/>
        <v>182.4674882772</v>
      </c>
      <c r="Q85" s="607">
        <f t="shared" ca="1" si="8"/>
        <v>182.4674882772</v>
      </c>
      <c r="R85" s="607">
        <f t="shared" ca="1" si="8"/>
        <v>182.4674882772</v>
      </c>
      <c r="S85" s="607">
        <f t="shared" ca="1" si="8"/>
        <v>182.4674882772</v>
      </c>
      <c r="T85" s="607">
        <f t="shared" ca="1" si="8"/>
        <v>182.4674882772</v>
      </c>
      <c r="U85" s="607">
        <f t="shared" ca="1" si="8"/>
        <v>182.4674882772</v>
      </c>
      <c r="V85" s="607">
        <f t="shared" ca="1" si="8"/>
        <v>182.4674882772</v>
      </c>
      <c r="W85" s="607">
        <f t="shared" ca="1" si="8"/>
        <v>182.4674882772</v>
      </c>
      <c r="X85" s="607">
        <f t="shared" ca="1" si="8"/>
        <v>182.4674882772</v>
      </c>
      <c r="Y85" s="2008">
        <f t="shared" ca="1" si="8"/>
        <v>182.4674882772</v>
      </c>
    </row>
    <row r="86" spans="1:26">
      <c r="B86" s="62"/>
    </row>
    <row r="87" spans="1:26">
      <c r="B87" s="62">
        <f ca="1">SUM(B85:M85)</f>
        <v>0</v>
      </c>
    </row>
    <row r="88" spans="1:26">
      <c r="B88" s="62"/>
    </row>
    <row r="89" spans="1:26" ht="18.75" thickBot="1">
      <c r="A89" s="1993" t="str">
        <f>'Distr CV 0'!A89</f>
        <v>IVA dos custos de produção por meses de compra</v>
      </c>
      <c r="I89" s="1993"/>
    </row>
    <row r="90" spans="1:26" s="456" customFormat="1" ht="35.25" customHeight="1" thickBot="1">
      <c r="A90" s="457" t="str">
        <f>'Distr CV 0'!A90</f>
        <v>IVA Custos produção</v>
      </c>
      <c r="B90" s="2011" t="str">
        <f t="array" ref="B90:Y90">B$71:Y$71</f>
        <v>janeiro 
2029</v>
      </c>
      <c r="C90" s="2011" t="str">
        <v>fevereiro 
2029</v>
      </c>
      <c r="D90" s="2011" t="str">
        <v>março 
2029</v>
      </c>
      <c r="E90" s="2011" t="str">
        <v>abril 
2029</v>
      </c>
      <c r="F90" s="2011" t="str">
        <v>maio 
2029</v>
      </c>
      <c r="G90" s="2011" t="str">
        <v>junho 
2029</v>
      </c>
      <c r="H90" s="2011" t="str">
        <v>julho 
2029</v>
      </c>
      <c r="I90" s="2011" t="str">
        <v>agosto 
2029</v>
      </c>
      <c r="J90" s="2011" t="str">
        <v>setembro 
2029</v>
      </c>
      <c r="K90" s="2011" t="str">
        <v>outubro 
2029</v>
      </c>
      <c r="L90" s="2011" t="str">
        <v>novembro 
2029</v>
      </c>
      <c r="M90" s="2011" t="str">
        <v>dezembro 
2029</v>
      </c>
      <c r="N90" s="2734" t="str">
        <v>janeiro 
2030</v>
      </c>
      <c r="O90" s="2735" t="str">
        <v>fevereiro 
2030</v>
      </c>
      <c r="P90" s="2735" t="str">
        <v>março 
2030</v>
      </c>
      <c r="Q90" s="2735" t="str">
        <v>abril 
2030</v>
      </c>
      <c r="R90" s="2735" t="str">
        <v>maio 
2030</v>
      </c>
      <c r="S90" s="2735" t="str">
        <v>junho 
2030</v>
      </c>
      <c r="T90" s="2735" t="str">
        <v>julho 
2030</v>
      </c>
      <c r="U90" s="2735" t="str">
        <v>agosto 
2030</v>
      </c>
      <c r="V90" s="2735" t="str">
        <v>setembro 
2030</v>
      </c>
      <c r="W90" s="2735" t="str">
        <v>outubro 
2030</v>
      </c>
      <c r="X90" s="2735" t="str">
        <v>novembro 
2030</v>
      </c>
      <c r="Y90" s="2736" t="str">
        <v>dezembro 
2030</v>
      </c>
      <c r="Z90" s="62"/>
    </row>
    <row r="91" spans="1:26" ht="15.75" customHeight="1">
      <c r="A91" s="1994" t="str">
        <f t="shared" ref="A91:A103" si="9">A72</f>
        <v>mismo mes</v>
      </c>
      <c r="B91" s="1991"/>
      <c r="C91" s="1991"/>
      <c r="D91" s="1991"/>
      <c r="E91" s="1991"/>
      <c r="F91" s="1991"/>
      <c r="G91" s="1991"/>
      <c r="H91" s="1989">
        <v>0</v>
      </c>
      <c r="I91" s="1990">
        <v>0</v>
      </c>
      <c r="J91" s="1990">
        <v>0</v>
      </c>
      <c r="K91" s="1990">
        <v>0</v>
      </c>
      <c r="L91" s="1990">
        <v>0</v>
      </c>
      <c r="M91" s="1990">
        <v>0</v>
      </c>
      <c r="N91" s="599">
        <f t="array" aca="1" ref="N91" ca="1">SUM(B32:B39*Produção!$N$8:$N$15)</f>
        <v>38.318172538211996</v>
      </c>
      <c r="O91" s="599">
        <f t="array" aca="1" ref="O91" ca="1">SUM(C32:C39*Produção!$N$8:$N$15)</f>
        <v>38.318172538211996</v>
      </c>
      <c r="P91" s="599">
        <f t="array" aca="1" ref="P91" ca="1">SUM(D32:D39*Produção!$N$8:$N$15)</f>
        <v>38.318172538211996</v>
      </c>
      <c r="Q91" s="599">
        <f t="array" aca="1" ref="Q91" ca="1">SUM(E32:E39*Produção!$N$8:$N$15)</f>
        <v>38.318172538211996</v>
      </c>
      <c r="R91" s="599">
        <f t="array" aca="1" ref="R91" ca="1">SUM(F32:F39*Produção!$N$8:$N$15)</f>
        <v>38.318172538211996</v>
      </c>
      <c r="S91" s="599">
        <f t="array" aca="1" ref="S91" ca="1">SUM(G32:G39*Produção!$N$8:$N$15)</f>
        <v>38.318172538211996</v>
      </c>
      <c r="T91" s="599">
        <f t="array" aca="1" ref="T91" ca="1">SUM(H32:H39*Produção!$N$8:$N$15)</f>
        <v>38.318172538211996</v>
      </c>
      <c r="U91" s="599">
        <f t="array" aca="1" ref="U91" ca="1">SUM(I32:I39*Produção!$N$8:$N$15)</f>
        <v>38.318172538211996</v>
      </c>
      <c r="V91" s="599">
        <f t="array" aca="1" ref="V91" ca="1">SUM(J32:J39*Produção!$N$8:$N$15)</f>
        <v>38.318172538211996</v>
      </c>
      <c r="W91" s="599">
        <f t="array" aca="1" ref="W91" ca="1">SUM(K32:K39*Produção!$N$8:$N$15)</f>
        <v>38.318172538211996</v>
      </c>
      <c r="X91" s="599">
        <f t="array" aca="1" ref="X91" ca="1">SUM(L32:L39*Produção!$N$8:$N$15)</f>
        <v>38.318172538211996</v>
      </c>
      <c r="Y91" s="2009">
        <f t="array" aca="1" ref="Y91" ca="1">SUM(M32:M39*Produção!$N$8:$N$15)</f>
        <v>38.318172538211996</v>
      </c>
    </row>
    <row r="92" spans="1:26" ht="15.75" customHeight="1">
      <c r="A92" s="1995" t="str">
        <f t="shared" si="9"/>
        <v>1 mes antes</v>
      </c>
      <c r="B92" s="1991"/>
      <c r="C92" s="1991"/>
      <c r="D92" s="1991"/>
      <c r="E92" s="1991"/>
      <c r="F92" s="1991"/>
      <c r="G92" s="1991"/>
      <c r="H92" s="1991"/>
      <c r="I92" s="1988"/>
      <c r="J92" s="1988"/>
      <c r="K92" s="1988"/>
      <c r="L92" s="1988"/>
      <c r="M92" s="601">
        <f t="array" aca="1" ref="M92" ca="1">SUM(B32:B39*Produção!$M$8:$M$15)</f>
        <v>0</v>
      </c>
      <c r="N92" s="601">
        <f t="array" aca="1" ref="N92" ca="1">SUM(C32:C39*Produção!$M$8:$M$15)</f>
        <v>0</v>
      </c>
      <c r="O92" s="601">
        <f t="array" aca="1" ref="O92" ca="1">SUM(D32:D39*Produção!$M$8:$M$15)</f>
        <v>0</v>
      </c>
      <c r="P92" s="601">
        <f t="array" aca="1" ref="P92" ca="1">SUM(E32:E39*Produção!$M$8:$M$15)</f>
        <v>0</v>
      </c>
      <c r="Q92" s="601">
        <f t="array" aca="1" ref="Q92" ca="1">SUM(F32:F39*Produção!$M$8:$M$15)</f>
        <v>0</v>
      </c>
      <c r="R92" s="601">
        <f t="array" aca="1" ref="R92" ca="1">SUM(G32:G39*Produção!$M$8:$M$15)</f>
        <v>0</v>
      </c>
      <c r="S92" s="601">
        <f t="array" aca="1" ref="S92" ca="1">SUM(H32:H39*Produção!$M$8:$M$15)</f>
        <v>0</v>
      </c>
      <c r="T92" s="601">
        <f t="array" aca="1" ref="T92" ca="1">SUM(I32:I39*Produção!$M$8:$M$15)</f>
        <v>0</v>
      </c>
      <c r="U92" s="601">
        <f t="array" aca="1" ref="U92" ca="1">SUM(J32:J39*Produção!$M$8:$M$15)</f>
        <v>0</v>
      </c>
      <c r="V92" s="601">
        <f t="array" aca="1" ref="V92" ca="1">SUM(K32:K39*Produção!$M$8:$M$15)</f>
        <v>0</v>
      </c>
      <c r="W92" s="601">
        <f t="array" aca="1" ref="W92" ca="1">SUM(L32:L39*Produção!$M$8:$M$15)</f>
        <v>0</v>
      </c>
      <c r="X92" s="601">
        <f t="array" aca="1" ref="X92" ca="1">SUM(M32:M39*Produção!$M$8:$M$15)</f>
        <v>0</v>
      </c>
      <c r="Y92" s="2007">
        <f t="array" aca="1" ref="Y92:Y103" ca="1">'Distr CV 5'!M92:M103</f>
        <v>0</v>
      </c>
    </row>
    <row r="93" spans="1:26" ht="15.75" customHeight="1">
      <c r="A93" s="1995" t="str">
        <f t="shared" si="9"/>
        <v>2 meses antes</v>
      </c>
      <c r="B93" s="1991"/>
      <c r="C93" s="1991"/>
      <c r="D93" s="1991"/>
      <c r="E93" s="1991"/>
      <c r="F93" s="1991"/>
      <c r="G93" s="1991"/>
      <c r="H93" s="1991"/>
      <c r="I93" s="1988"/>
      <c r="J93" s="1988"/>
      <c r="K93" s="1988"/>
      <c r="L93" s="601">
        <f t="array" aca="1" ref="L93" ca="1">SUM(B32:B39*Produção!$L$8:$L$15)</f>
        <v>0</v>
      </c>
      <c r="M93" s="601">
        <f t="array" aca="1" ref="M93" ca="1">SUM(C32:C39*Produção!$L$8:$L$15)</f>
        <v>0</v>
      </c>
      <c r="N93" s="601">
        <f t="array" aca="1" ref="N93" ca="1">SUM(D32:D39*Produção!$L$8:$L$15)</f>
        <v>0</v>
      </c>
      <c r="O93" s="601">
        <f t="array" aca="1" ref="O93" ca="1">SUM(E32:E39*Produção!$L$8:$L$15)</f>
        <v>0</v>
      </c>
      <c r="P93" s="601">
        <f t="array" aca="1" ref="P93" ca="1">SUM(F32:F39*Produção!$L$8:$L$15)</f>
        <v>0</v>
      </c>
      <c r="Q93" s="601">
        <f t="array" aca="1" ref="Q93" ca="1">SUM(G32:G39*Produção!$L$8:$L$15)</f>
        <v>0</v>
      </c>
      <c r="R93" s="601">
        <f t="array" aca="1" ref="R93" ca="1">SUM(H32:H39*Produção!$L$8:$L$15)</f>
        <v>0</v>
      </c>
      <c r="S93" s="601">
        <f t="array" aca="1" ref="S93" ca="1">SUM(I32:I39*Produção!$L$8:$L$15)</f>
        <v>0</v>
      </c>
      <c r="T93" s="601">
        <f t="array" aca="1" ref="T93" ca="1">SUM(J32:J39*Produção!$L$8:$L$15)</f>
        <v>0</v>
      </c>
      <c r="U93" s="601">
        <f t="array" aca="1" ref="U93" ca="1">SUM(K32:K39*Produção!$L$8:$L$15)</f>
        <v>0</v>
      </c>
      <c r="V93" s="601">
        <f t="array" aca="1" ref="V93" ca="1">SUM(L32:L39*Produção!$L$8:$L$15)</f>
        <v>0</v>
      </c>
      <c r="W93" s="601">
        <f t="array" aca="1" ref="W93" ca="1">SUM(M32:M39*Produção!$L$8:$L$15)</f>
        <v>0</v>
      </c>
      <c r="X93" s="1988">
        <f t="array" aca="1" ref="X93:X103" ca="1">'Distr CV 5'!L93:L103</f>
        <v>0</v>
      </c>
      <c r="Y93" s="2007">
        <f ca="1"/>
        <v>0</v>
      </c>
    </row>
    <row r="94" spans="1:26" ht="15.75" customHeight="1">
      <c r="A94" s="1995" t="str">
        <f t="shared" si="9"/>
        <v>3 meses antes</v>
      </c>
      <c r="B94" s="1991"/>
      <c r="C94" s="1991"/>
      <c r="D94" s="1991"/>
      <c r="E94" s="1991"/>
      <c r="F94" s="1991"/>
      <c r="G94" s="1991"/>
      <c r="H94" s="1991"/>
      <c r="I94" s="1988"/>
      <c r="J94" s="1988"/>
      <c r="K94" s="601">
        <f t="array" aca="1" ref="K94" ca="1">SUM(B32:B39*Produção!$K$8:$K$15)</f>
        <v>0</v>
      </c>
      <c r="L94" s="601">
        <f t="array" aca="1" ref="L94" ca="1">SUM(C32:C39*Produção!$K$8:$K$15)</f>
        <v>0</v>
      </c>
      <c r="M94" s="601">
        <f t="array" aca="1" ref="M94" ca="1">SUM(D32:D39*Produção!$K$8:$K$15)</f>
        <v>0</v>
      </c>
      <c r="N94" s="601">
        <f t="array" aca="1" ref="N94" ca="1">SUM(E32:E39*Produção!$K$8:$K$15)</f>
        <v>0</v>
      </c>
      <c r="O94" s="601">
        <f t="array" aca="1" ref="O94" ca="1">SUM(F32:F39*Produção!$K$8:$K$15)</f>
        <v>0</v>
      </c>
      <c r="P94" s="601">
        <f t="array" aca="1" ref="P94" ca="1">SUM(G32:G39*Produção!$K$8:$K$15)</f>
        <v>0</v>
      </c>
      <c r="Q94" s="601">
        <f t="array" aca="1" ref="Q94" ca="1">SUM(H32:H39*Produção!$K$8:$K$15)</f>
        <v>0</v>
      </c>
      <c r="R94" s="601">
        <f t="array" aca="1" ref="R94" ca="1">SUM(I32:I39*Produção!$K$8:$K$15)</f>
        <v>0</v>
      </c>
      <c r="S94" s="601">
        <f t="array" aca="1" ref="S94" ca="1">SUM(J32:J39*Produção!$K$8:$K$15)</f>
        <v>0</v>
      </c>
      <c r="T94" s="601">
        <f t="array" aca="1" ref="T94" ca="1">SUM(K32:K39*Produção!$K$8:$K$15)</f>
        <v>0</v>
      </c>
      <c r="U94" s="601">
        <f t="array" aca="1" ref="U94" ca="1">SUM(L32:L39*Produção!$K$8:$K$15)</f>
        <v>0</v>
      </c>
      <c r="V94" s="601">
        <f t="array" aca="1" ref="V94" ca="1">SUM(M32:M39*Produção!$K$8:$K$15)</f>
        <v>0</v>
      </c>
      <c r="W94" s="1988">
        <f t="array" aca="1" ref="W94:W103" ca="1">'Distr CV 5'!K94:K103</f>
        <v>0</v>
      </c>
      <c r="X94" s="1988">
        <f ca="1"/>
        <v>0</v>
      </c>
      <c r="Y94" s="2007">
        <f ca="1"/>
        <v>0</v>
      </c>
    </row>
    <row r="95" spans="1:26" ht="15.75" customHeight="1">
      <c r="A95" s="1995" t="str">
        <f t="shared" si="9"/>
        <v>4 meses antes</v>
      </c>
      <c r="B95" s="1991"/>
      <c r="C95" s="1991"/>
      <c r="D95" s="1991"/>
      <c r="E95" s="1991"/>
      <c r="F95" s="1991"/>
      <c r="G95" s="1991"/>
      <c r="H95" s="1991"/>
      <c r="I95" s="1988"/>
      <c r="J95" s="601">
        <f t="array" aca="1" ref="J95" ca="1">SUM(B32:B39*Produção!$J$8:$J$15)</f>
        <v>0</v>
      </c>
      <c r="K95" s="601">
        <f t="array" aca="1" ref="K95" ca="1">SUM(C32:C39*Produção!$J$8:$J$15)</f>
        <v>0</v>
      </c>
      <c r="L95" s="601">
        <f t="array" aca="1" ref="L95" ca="1">SUM(D32:D39*Produção!$J$8:$J$15)</f>
        <v>0</v>
      </c>
      <c r="M95" s="601">
        <f t="array" aca="1" ref="M95" ca="1">SUM(E32:E39*Produção!$J$8:$J$15)</f>
        <v>0</v>
      </c>
      <c r="N95" s="601">
        <f t="array" aca="1" ref="N95" ca="1">SUM(F32:F39*Produção!$J$8:$J$15)</f>
        <v>0</v>
      </c>
      <c r="O95" s="601">
        <f t="array" aca="1" ref="O95" ca="1">SUM(G32:G39*Produção!$J$8:$J$15)</f>
        <v>0</v>
      </c>
      <c r="P95" s="601">
        <f t="array" aca="1" ref="P95" ca="1">SUM(H32:H39*Produção!$J$8:$J$15)</f>
        <v>0</v>
      </c>
      <c r="Q95" s="601">
        <f t="array" aca="1" ref="Q95" ca="1">SUM(I32:I39*Produção!$J$8:$J$15)</f>
        <v>0</v>
      </c>
      <c r="R95" s="601">
        <f t="array" aca="1" ref="R95" ca="1">SUM(J32:J39*Produção!$J$8:$J$15)</f>
        <v>0</v>
      </c>
      <c r="S95" s="601">
        <f t="array" aca="1" ref="S95" ca="1">SUM(K32:K39*Produção!$J$8:$J$15)</f>
        <v>0</v>
      </c>
      <c r="T95" s="601">
        <f t="array" aca="1" ref="T95" ca="1">SUM(L32:L39*Produção!$J$8:$J$15)</f>
        <v>0</v>
      </c>
      <c r="U95" s="601">
        <f t="array" aca="1" ref="U95" ca="1">SUM(M32:M39*Produção!$J$8:$J$15)</f>
        <v>0</v>
      </c>
      <c r="V95" s="1988">
        <f t="array" aca="1" ref="V95:V103" ca="1">'Distr CV 5'!J95:J103</f>
        <v>0</v>
      </c>
      <c r="W95" s="1988">
        <f ca="1"/>
        <v>0</v>
      </c>
      <c r="X95" s="1988">
        <f ca="1"/>
        <v>0</v>
      </c>
      <c r="Y95" s="2007">
        <f ca="1"/>
        <v>0</v>
      </c>
    </row>
    <row r="96" spans="1:26" ht="15.75" customHeight="1">
      <c r="A96" s="1995" t="str">
        <f t="shared" si="9"/>
        <v>5 meses antes</v>
      </c>
      <c r="B96" s="1991"/>
      <c r="C96" s="1991"/>
      <c r="D96" s="1991"/>
      <c r="E96" s="1991"/>
      <c r="F96" s="1991"/>
      <c r="G96" s="1991"/>
      <c r="H96" s="1991"/>
      <c r="I96" s="601">
        <f t="array" aca="1" ref="I96" ca="1">SUM(B32:B39*Produção!$I$8:$I$15)</f>
        <v>0</v>
      </c>
      <c r="J96" s="601">
        <f t="array" aca="1" ref="J96" ca="1">SUM(C32:C39*Produção!$I$8:$I$15)</f>
        <v>0</v>
      </c>
      <c r="K96" s="601">
        <f t="array" aca="1" ref="K96" ca="1">SUM(D32:D39*Produção!$I$8:$I$15)</f>
        <v>0</v>
      </c>
      <c r="L96" s="601">
        <f t="array" aca="1" ref="L96" ca="1">SUM(E32:E39*Produção!$I$8:$I$15)</f>
        <v>0</v>
      </c>
      <c r="M96" s="601">
        <f t="array" aca="1" ref="M96" ca="1">SUM(F32:F39*Produção!$I$8:$I$15)</f>
        <v>0</v>
      </c>
      <c r="N96" s="601">
        <f t="array" aca="1" ref="N96" ca="1">SUM(G32:G39*Produção!$I$8:$I$15)</f>
        <v>0</v>
      </c>
      <c r="O96" s="601">
        <f t="array" aca="1" ref="O96" ca="1">SUM(H32:H39*Produção!$I$8:$I$15)</f>
        <v>0</v>
      </c>
      <c r="P96" s="601">
        <f t="array" aca="1" ref="P96" ca="1">SUM(I32:I39*Produção!$I$8:$I$15)</f>
        <v>0</v>
      </c>
      <c r="Q96" s="601">
        <f t="array" aca="1" ref="Q96" ca="1">SUM(J32:J39*Produção!$I$8:$I$15)</f>
        <v>0</v>
      </c>
      <c r="R96" s="601">
        <f t="array" aca="1" ref="R96" ca="1">SUM(K32:K39*Produção!$I$8:$I$15)</f>
        <v>0</v>
      </c>
      <c r="S96" s="601">
        <f t="array" aca="1" ref="S96" ca="1">SUM(L32:L39*Produção!$I$8:$I$15)</f>
        <v>0</v>
      </c>
      <c r="T96" s="601">
        <f t="array" aca="1" ref="T96" ca="1">SUM(M32:M39*Produção!$I$8:$I$15)</f>
        <v>0</v>
      </c>
      <c r="U96" s="1988">
        <f t="array" aca="1" ref="U96:U103" ca="1">'Distr CV 5'!I96:I103</f>
        <v>0</v>
      </c>
      <c r="V96" s="1988">
        <f ca="1"/>
        <v>0</v>
      </c>
      <c r="W96" s="1988">
        <f ca="1"/>
        <v>0</v>
      </c>
      <c r="X96" s="1988">
        <f ca="1"/>
        <v>0</v>
      </c>
      <c r="Y96" s="2007">
        <f ca="1"/>
        <v>0</v>
      </c>
    </row>
    <row r="97" spans="1:26" ht="15.75" customHeight="1">
      <c r="A97" s="1995" t="str">
        <f t="shared" si="9"/>
        <v>6 meses antes</v>
      </c>
      <c r="B97" s="1991"/>
      <c r="C97" s="1991"/>
      <c r="D97" s="1991"/>
      <c r="E97" s="1991"/>
      <c r="F97" s="1991"/>
      <c r="G97" s="1991"/>
      <c r="H97" s="601">
        <f t="array" aca="1" ref="H97" ca="1">SUM(B32:B39*Produção!$H$8:$H$15)</f>
        <v>0</v>
      </c>
      <c r="I97" s="601">
        <f t="array" aca="1" ref="I97" ca="1">SUM(C32:C39*Produção!$H$8:$H$15)</f>
        <v>0</v>
      </c>
      <c r="J97" s="601">
        <f t="array" aca="1" ref="J97" ca="1">SUM(D32:D39*Produção!$H$8:$H$15)</f>
        <v>0</v>
      </c>
      <c r="K97" s="601">
        <f t="array" aca="1" ref="K97" ca="1">SUM(E32:E39*Produção!$H$8:$H$15)</f>
        <v>0</v>
      </c>
      <c r="L97" s="601">
        <f t="array" aca="1" ref="L97" ca="1">SUM(F32:F39*Produção!$H$8:$H$15)</f>
        <v>0</v>
      </c>
      <c r="M97" s="601">
        <f t="array" aca="1" ref="M97" ca="1">SUM(G32:G39*Produção!$H$8:$H$15)</f>
        <v>0</v>
      </c>
      <c r="N97" s="601">
        <f t="array" aca="1" ref="N97" ca="1">SUM(H32:H39*Produção!$H$8:$H$15)</f>
        <v>0</v>
      </c>
      <c r="O97" s="601">
        <f t="array" aca="1" ref="O97" ca="1">SUM(I32:I39*Produção!$H$8:$H$15)</f>
        <v>0</v>
      </c>
      <c r="P97" s="601">
        <f t="array" aca="1" ref="P97" ca="1">SUM(J32:J39*Produção!$H$8:$H$15)</f>
        <v>0</v>
      </c>
      <c r="Q97" s="601">
        <f t="array" aca="1" ref="Q97" ca="1">SUM(K32:K39*Produção!$H$8:$H$15)</f>
        <v>0</v>
      </c>
      <c r="R97" s="601">
        <f t="array" aca="1" ref="R97" ca="1">SUM(L32:L39*Produção!$H$8:$H$15)</f>
        <v>0</v>
      </c>
      <c r="S97" s="601">
        <f t="array" aca="1" ref="S97" ca="1">SUM(M32:M39*Produção!$H$8:$H$15)</f>
        <v>0</v>
      </c>
      <c r="T97" s="1988">
        <f t="array" aca="1" ref="T97:T103" ca="1">'Distr CV 5'!H97:H103</f>
        <v>0</v>
      </c>
      <c r="U97" s="1988">
        <f ca="1"/>
        <v>0</v>
      </c>
      <c r="V97" s="1988">
        <f ca="1"/>
        <v>0</v>
      </c>
      <c r="W97" s="1988">
        <f ca="1"/>
        <v>0</v>
      </c>
      <c r="X97" s="1988">
        <f ca="1"/>
        <v>0</v>
      </c>
      <c r="Y97" s="2007">
        <f ca="1"/>
        <v>0</v>
      </c>
    </row>
    <row r="98" spans="1:26" ht="15.75" customHeight="1">
      <c r="A98" s="1995" t="str">
        <f t="shared" si="9"/>
        <v>7 meses antes</v>
      </c>
      <c r="B98" s="1991"/>
      <c r="C98" s="1991"/>
      <c r="D98" s="1991"/>
      <c r="E98" s="1991"/>
      <c r="F98" s="1991"/>
      <c r="G98" s="603">
        <f t="array" aca="1" ref="G98" ca="1">SUM(B32:B39*Produção!$G$8:$G$15)</f>
        <v>0</v>
      </c>
      <c r="H98" s="603">
        <f t="array" aca="1" ref="H98" ca="1">SUM(C32:C39*Produção!$G$8:$G$15)</f>
        <v>0</v>
      </c>
      <c r="I98" s="603">
        <f t="array" aca="1" ref="I98" ca="1">SUM(D32:D39*Produção!$G$8:$G$15)</f>
        <v>0</v>
      </c>
      <c r="J98" s="603">
        <f t="array" aca="1" ref="J98" ca="1">SUM(E32:E39*Produção!$G$8:$G$15)</f>
        <v>0</v>
      </c>
      <c r="K98" s="603">
        <f t="array" aca="1" ref="K98" ca="1">SUM(F32:F39*Produção!$G$8:$G$15)</f>
        <v>0</v>
      </c>
      <c r="L98" s="603">
        <f t="array" aca="1" ref="L98" ca="1">SUM(G32:G39*Produção!$G$8:$G$15)</f>
        <v>0</v>
      </c>
      <c r="M98" s="603">
        <f t="array" aca="1" ref="M98" ca="1">SUM(H32:H39*Produção!$G$8:$G$15)</f>
        <v>0</v>
      </c>
      <c r="N98" s="603">
        <f t="array" aca="1" ref="N98" ca="1">SUM(I32:I39*Produção!$G$8:$G$15)</f>
        <v>0</v>
      </c>
      <c r="O98" s="603">
        <f t="array" aca="1" ref="O98" ca="1">SUM(J32:J39*Produção!$G$8:$G$15)</f>
        <v>0</v>
      </c>
      <c r="P98" s="603">
        <f t="array" aca="1" ref="P98" ca="1">SUM(K32:K39*Produção!$G$8:$G$15)</f>
        <v>0</v>
      </c>
      <c r="Q98" s="603">
        <f t="array" aca="1" ref="Q98" ca="1">SUM(L32:L39*Produção!$G$8:$G$15)</f>
        <v>0</v>
      </c>
      <c r="R98" s="603">
        <f t="array" aca="1" ref="R98" ca="1">SUM(M32:M39*Produção!$G$8:$G$15)</f>
        <v>0</v>
      </c>
      <c r="S98" s="1992">
        <f t="array" aca="1" ref="S98:S103" ca="1">'Distr CV 5'!G98:G103</f>
        <v>0</v>
      </c>
      <c r="T98" s="1992">
        <f ca="1"/>
        <v>0</v>
      </c>
      <c r="U98" s="1992">
        <f ca="1"/>
        <v>0</v>
      </c>
      <c r="V98" s="1992">
        <f ca="1"/>
        <v>0</v>
      </c>
      <c r="W98" s="1992">
        <f ca="1"/>
        <v>0</v>
      </c>
      <c r="X98" s="1992">
        <f ca="1"/>
        <v>0</v>
      </c>
      <c r="Y98" s="2010">
        <f ca="1"/>
        <v>0</v>
      </c>
    </row>
    <row r="99" spans="1:26" ht="15.75" customHeight="1">
      <c r="A99" s="1995" t="str">
        <f t="shared" si="9"/>
        <v>8 meses antes</v>
      </c>
      <c r="B99" s="1991"/>
      <c r="C99" s="1991"/>
      <c r="D99" s="1991"/>
      <c r="E99" s="1991"/>
      <c r="F99" s="603">
        <f t="array" aca="1" ref="F99" ca="1">SUM(B32:B39*Produção!$F$8:$F$15)</f>
        <v>0</v>
      </c>
      <c r="G99" s="603">
        <f t="array" aca="1" ref="G99" ca="1">SUM(C32:C39*Produção!$F$8:$F$15)</f>
        <v>0</v>
      </c>
      <c r="H99" s="603">
        <f t="array" aca="1" ref="H99" ca="1">SUM(D32:D39*Produção!$F$8:$F$15)</f>
        <v>0</v>
      </c>
      <c r="I99" s="603">
        <f t="array" aca="1" ref="I99" ca="1">SUM(E32:E39*Produção!$F$8:$F$15)</f>
        <v>0</v>
      </c>
      <c r="J99" s="603">
        <f t="array" aca="1" ref="J99" ca="1">SUM(F32:F39*Produção!$F$8:$F$15)</f>
        <v>0</v>
      </c>
      <c r="K99" s="603">
        <f t="array" aca="1" ref="K99" ca="1">SUM(G32:G39*Produção!$F$8:$F$15)</f>
        <v>0</v>
      </c>
      <c r="L99" s="603">
        <f t="array" aca="1" ref="L99" ca="1">SUM(H32:H39*Produção!$F$8:$F$15)</f>
        <v>0</v>
      </c>
      <c r="M99" s="603">
        <f t="array" aca="1" ref="M99" ca="1">SUM(I32:I39*Produção!$F$8:$F$15)</f>
        <v>0</v>
      </c>
      <c r="N99" s="603">
        <f t="array" aca="1" ref="N99" ca="1">SUM(J32:J39*Produção!$F$8:$F$15)</f>
        <v>0</v>
      </c>
      <c r="O99" s="603">
        <f t="array" aca="1" ref="O99" ca="1">SUM(K32:K39*Produção!$F$8:$F$15)</f>
        <v>0</v>
      </c>
      <c r="P99" s="603">
        <f t="array" aca="1" ref="P99" ca="1">SUM(L32:L39*Produção!$F$8:$F$15)</f>
        <v>0</v>
      </c>
      <c r="Q99" s="603">
        <f t="array" aca="1" ref="Q99" ca="1">SUM(M32:M39*Produção!$F$8:$F$15)</f>
        <v>0</v>
      </c>
      <c r="R99" s="1992">
        <f t="array" aca="1" ref="R99:R103" ca="1">'Distr CV 5'!F99:F103</f>
        <v>0</v>
      </c>
      <c r="S99" s="1992">
        <f ca="1"/>
        <v>0</v>
      </c>
      <c r="T99" s="1992">
        <f ca="1"/>
        <v>0</v>
      </c>
      <c r="U99" s="1992">
        <f ca="1"/>
        <v>0</v>
      </c>
      <c r="V99" s="1992">
        <f ca="1"/>
        <v>0</v>
      </c>
      <c r="W99" s="1992">
        <f ca="1"/>
        <v>0</v>
      </c>
      <c r="X99" s="1992">
        <f ca="1"/>
        <v>0</v>
      </c>
      <c r="Y99" s="2010">
        <f ca="1"/>
        <v>0</v>
      </c>
    </row>
    <row r="100" spans="1:26" ht="15.75" customHeight="1">
      <c r="A100" s="1995" t="str">
        <f t="shared" si="9"/>
        <v>9 meses antes</v>
      </c>
      <c r="B100" s="1991"/>
      <c r="C100" s="1991"/>
      <c r="D100" s="1991"/>
      <c r="E100" s="603">
        <f t="array" aca="1" ref="E100" ca="1">SUM(B32:B39*Produção!$E$8:$E$15)</f>
        <v>0</v>
      </c>
      <c r="F100" s="603">
        <f t="array" aca="1" ref="F100" ca="1">SUM(C32:C39*Produção!$E$8:$E$15)</f>
        <v>0</v>
      </c>
      <c r="G100" s="603">
        <f t="array" aca="1" ref="G100" ca="1">SUM(D32:D39*Produção!$E$8:$E$15)</f>
        <v>0</v>
      </c>
      <c r="H100" s="603">
        <f t="array" aca="1" ref="H100" ca="1">SUM(E32:E39*Produção!$E$8:$E$15)</f>
        <v>0</v>
      </c>
      <c r="I100" s="603">
        <f t="array" aca="1" ref="I100" ca="1">SUM(F32:F39*Produção!$E$8:$E$15)</f>
        <v>0</v>
      </c>
      <c r="J100" s="603">
        <f t="array" aca="1" ref="J100" ca="1">SUM(G32:G39*Produção!$E$8:$E$15)</f>
        <v>0</v>
      </c>
      <c r="K100" s="603">
        <f t="array" aca="1" ref="K100" ca="1">SUM(H32:H39*Produção!$E$8:$E$15)</f>
        <v>0</v>
      </c>
      <c r="L100" s="603">
        <f t="array" aca="1" ref="L100" ca="1">SUM(I32:I39*Produção!$E$8:$E$15)</f>
        <v>0</v>
      </c>
      <c r="M100" s="603">
        <f t="array" aca="1" ref="M100" ca="1">SUM(J32:J39*Produção!$E$8:$E$15)</f>
        <v>0</v>
      </c>
      <c r="N100" s="603">
        <f t="array" aca="1" ref="N100" ca="1">SUM(K32:K39*Produção!$E$8:$E$15)</f>
        <v>0</v>
      </c>
      <c r="O100" s="603">
        <f t="array" aca="1" ref="O100" ca="1">SUM(L32:L39*Produção!$E$8:$E$15)</f>
        <v>0</v>
      </c>
      <c r="P100" s="603">
        <f t="array" aca="1" ref="P100" ca="1">SUM(M32:M39*Produção!$E$8:$E$15)</f>
        <v>0</v>
      </c>
      <c r="Q100" s="1992">
        <f t="array" aca="1" ref="Q100:Q103" ca="1">'Distr CV 5'!E100:E103</f>
        <v>0</v>
      </c>
      <c r="R100" s="1992">
        <f ca="1"/>
        <v>0</v>
      </c>
      <c r="S100" s="1992">
        <f ca="1"/>
        <v>0</v>
      </c>
      <c r="T100" s="1992">
        <f ca="1"/>
        <v>0</v>
      </c>
      <c r="U100" s="1992">
        <f ca="1"/>
        <v>0</v>
      </c>
      <c r="V100" s="1992">
        <f ca="1"/>
        <v>0</v>
      </c>
      <c r="W100" s="1992">
        <f ca="1"/>
        <v>0</v>
      </c>
      <c r="X100" s="1992">
        <f ca="1"/>
        <v>0</v>
      </c>
      <c r="Y100" s="2010">
        <f ca="1"/>
        <v>0</v>
      </c>
    </row>
    <row r="101" spans="1:26" ht="15.75" customHeight="1">
      <c r="A101" s="1995" t="str">
        <f t="shared" si="9"/>
        <v>10 meses antes</v>
      </c>
      <c r="B101" s="1991"/>
      <c r="C101" s="1991"/>
      <c r="D101" s="602">
        <f t="array" aca="1" ref="D101" ca="1">SUM(B32:B39*Produção!$D$8:$D$15)</f>
        <v>0</v>
      </c>
      <c r="E101" s="602">
        <f t="array" aca="1" ref="E101" ca="1">SUM(C32:C39*Produção!$D$8:$D$15)</f>
        <v>0</v>
      </c>
      <c r="F101" s="602">
        <f t="array" aca="1" ref="F101" ca="1">SUM(D32:D39*Produção!$D$8:$D$15)</f>
        <v>0</v>
      </c>
      <c r="G101" s="602">
        <f t="array" aca="1" ref="G101" ca="1">SUM(E32:E39*Produção!$D$8:$D$15)</f>
        <v>0</v>
      </c>
      <c r="H101" s="602">
        <f t="array" aca="1" ref="H101" ca="1">SUM(F32:F39*Produção!$D$8:$D$15)</f>
        <v>0</v>
      </c>
      <c r="I101" s="602">
        <f t="array" aca="1" ref="I101" ca="1">SUM(G32:G39*Produção!$D$8:$D$15)</f>
        <v>0</v>
      </c>
      <c r="J101" s="602">
        <f t="array" aca="1" ref="J101" ca="1">SUM(H32:H39*Produção!$D$8:$D$15)</f>
        <v>0</v>
      </c>
      <c r="K101" s="602">
        <f t="array" aca="1" ref="K101" ca="1">SUM(I32:I39*Produção!$D$8:$D$15)</f>
        <v>0</v>
      </c>
      <c r="L101" s="602">
        <f t="array" aca="1" ref="L101" ca="1">SUM(J32:J39*Produção!$D$8:$D$15)</f>
        <v>0</v>
      </c>
      <c r="M101" s="602">
        <f t="array" aca="1" ref="M101" ca="1">SUM(K32:K39*Produção!$D$8:$D$15)</f>
        <v>0</v>
      </c>
      <c r="N101" s="602">
        <f t="array" aca="1" ref="N101" ca="1">SUM(L32:L39*Produção!$D$8:$D$15)</f>
        <v>0</v>
      </c>
      <c r="O101" s="602">
        <f t="array" aca="1" ref="O101" ca="1">SUM(M32:M39*Produção!$D$8:$D$15)</f>
        <v>0</v>
      </c>
      <c r="P101" s="1992">
        <f t="array" aca="1" ref="P101:P103" ca="1">'Distr CV 5'!D101:D103</f>
        <v>0</v>
      </c>
      <c r="Q101" s="1992">
        <f ca="1"/>
        <v>0</v>
      </c>
      <c r="R101" s="1992">
        <f ca="1"/>
        <v>0</v>
      </c>
      <c r="S101" s="1992">
        <f ca="1"/>
        <v>0</v>
      </c>
      <c r="T101" s="1992">
        <f ca="1"/>
        <v>0</v>
      </c>
      <c r="U101" s="1992">
        <f ca="1"/>
        <v>0</v>
      </c>
      <c r="V101" s="1992">
        <f ca="1"/>
        <v>0</v>
      </c>
      <c r="W101" s="1992">
        <f ca="1"/>
        <v>0</v>
      </c>
      <c r="X101" s="1992">
        <f ca="1"/>
        <v>0</v>
      </c>
      <c r="Y101" s="2010">
        <f ca="1"/>
        <v>0</v>
      </c>
    </row>
    <row r="102" spans="1:26" ht="15.75" customHeight="1">
      <c r="A102" s="1995" t="str">
        <f t="shared" si="9"/>
        <v>11 meses antes</v>
      </c>
      <c r="B102" s="1991"/>
      <c r="C102" s="603">
        <f t="array" aca="1" ref="C102" ca="1">SUM(B32:B39*Produção!$C$8:$C$15)</f>
        <v>0</v>
      </c>
      <c r="D102" s="603">
        <f t="array" aca="1" ref="D102" ca="1">SUM(C32:C39*Produção!$C$8:$C$15)</f>
        <v>0</v>
      </c>
      <c r="E102" s="603">
        <f t="array" aca="1" ref="E102" ca="1">SUM(D32:D39*Produção!$C$8:$C$15)</f>
        <v>0</v>
      </c>
      <c r="F102" s="603">
        <f t="array" aca="1" ref="F102" ca="1">SUM(E32:E39*Produção!$C$8:$C$15)</f>
        <v>0</v>
      </c>
      <c r="G102" s="603">
        <f t="array" aca="1" ref="G102" ca="1">SUM(F32:F39*Produção!$C$8:$C$15)</f>
        <v>0</v>
      </c>
      <c r="H102" s="603">
        <f t="array" aca="1" ref="H102" ca="1">SUM(G32:G39*Produção!$C$8:$C$15)</f>
        <v>0</v>
      </c>
      <c r="I102" s="603">
        <f t="array" aca="1" ref="I102" ca="1">SUM(H32:H39*Produção!$C$8:$C$15)</f>
        <v>0</v>
      </c>
      <c r="J102" s="603">
        <f t="array" aca="1" ref="J102" ca="1">SUM(I32:I39*Produção!$C$8:$C$15)</f>
        <v>0</v>
      </c>
      <c r="K102" s="603">
        <f t="array" aca="1" ref="K102" ca="1">SUM(J32:J39*Produção!$C$8:$C$15)</f>
        <v>0</v>
      </c>
      <c r="L102" s="603">
        <f t="array" aca="1" ref="L102" ca="1">SUM(K32:K39*Produção!$C$8:$C$15)</f>
        <v>0</v>
      </c>
      <c r="M102" s="603">
        <f t="array" aca="1" ref="M102" ca="1">SUM(L32:L39*Produção!$C$8:$C$15)</f>
        <v>0</v>
      </c>
      <c r="N102" s="603">
        <f t="array" aca="1" ref="N102" ca="1">SUM(M32:M39*Produção!$C$8:$C$15)</f>
        <v>0</v>
      </c>
      <c r="O102" s="1992">
        <f ca="1">'Distr CV 5'!C102</f>
        <v>0</v>
      </c>
      <c r="P102" s="1992">
        <f ca="1"/>
        <v>0</v>
      </c>
      <c r="Q102" s="1992">
        <f ca="1"/>
        <v>0</v>
      </c>
      <c r="R102" s="1992">
        <f ca="1"/>
        <v>0</v>
      </c>
      <c r="S102" s="1992">
        <f ca="1"/>
        <v>0</v>
      </c>
      <c r="T102" s="1992">
        <f ca="1"/>
        <v>0</v>
      </c>
      <c r="U102" s="1992">
        <f ca="1"/>
        <v>0</v>
      </c>
      <c r="V102" s="1992">
        <f ca="1"/>
        <v>0</v>
      </c>
      <c r="W102" s="1992">
        <f ca="1"/>
        <v>0</v>
      </c>
      <c r="X102" s="1992">
        <f ca="1"/>
        <v>0</v>
      </c>
      <c r="Y102" s="2010">
        <f ca="1"/>
        <v>0</v>
      </c>
    </row>
    <row r="103" spans="1:26" ht="15.75" customHeight="1" thickBot="1">
      <c r="A103" s="1995" t="str">
        <f t="shared" si="9"/>
        <v>12 meses antes</v>
      </c>
      <c r="B103" s="603">
        <f t="array" aca="1" ref="B103" ca="1">SUM(B32:B39*Produção!$B$8:$B$15)</f>
        <v>0</v>
      </c>
      <c r="C103" s="603">
        <f t="array" aca="1" ref="C103" ca="1">SUM(C32:C39*Produção!$B$8:$B$15)</f>
        <v>0</v>
      </c>
      <c r="D103" s="603">
        <f t="array" aca="1" ref="D103" ca="1">SUM(D32:D39*Produção!$B$8:$B$15)</f>
        <v>0</v>
      </c>
      <c r="E103" s="603">
        <f t="array" aca="1" ref="E103" ca="1">SUM(E32:E39*Produção!$B$8:$B$15)</f>
        <v>0</v>
      </c>
      <c r="F103" s="603">
        <f t="array" aca="1" ref="F103" ca="1">SUM(F32:F39*Produção!$B$8:$B$15)</f>
        <v>0</v>
      </c>
      <c r="G103" s="603">
        <f t="array" aca="1" ref="G103" ca="1">SUM(G32:G39*Produção!$B$8:$B$15)</f>
        <v>0</v>
      </c>
      <c r="H103" s="603">
        <f t="array" aca="1" ref="H103" ca="1">SUM(H32:H39*Produção!$B$8:$B$15)</f>
        <v>0</v>
      </c>
      <c r="I103" s="603">
        <f t="array" aca="1" ref="I103" ca="1">SUM(I32:I39*Produção!$B$8:$B$15)</f>
        <v>0</v>
      </c>
      <c r="J103" s="603">
        <f t="array" aca="1" ref="J103" ca="1">SUM(J32:J39*Produção!$B$8:$B$15)</f>
        <v>0</v>
      </c>
      <c r="K103" s="603">
        <f t="array" aca="1" ref="K103" ca="1">SUM(K32:K39*Produção!$B$8:$B$15)</f>
        <v>0</v>
      </c>
      <c r="L103" s="603">
        <f t="array" aca="1" ref="L103" ca="1">SUM(L32:L39*Produção!$B$8:$B$15)</f>
        <v>0</v>
      </c>
      <c r="M103" s="603">
        <f t="array" aca="1" ref="M103" ca="1">SUM(M32:M39*Produção!$B$8:$B$15)</f>
        <v>0</v>
      </c>
      <c r="N103" s="1992">
        <f ca="1">'Distr CV 5'!B103</f>
        <v>0</v>
      </c>
      <c r="O103" s="1992">
        <f ca="1">'Distr CV 5'!C103</f>
        <v>0</v>
      </c>
      <c r="P103" s="1992">
        <f ca="1"/>
        <v>0</v>
      </c>
      <c r="Q103" s="1992">
        <f ca="1"/>
        <v>0</v>
      </c>
      <c r="R103" s="1992">
        <f ca="1"/>
        <v>0</v>
      </c>
      <c r="S103" s="1992">
        <f ca="1"/>
        <v>0</v>
      </c>
      <c r="T103" s="1992">
        <f ca="1"/>
        <v>0</v>
      </c>
      <c r="U103" s="1992">
        <f ca="1"/>
        <v>0</v>
      </c>
      <c r="V103" s="1992">
        <f ca="1"/>
        <v>0</v>
      </c>
      <c r="W103" s="1992">
        <f ca="1"/>
        <v>0</v>
      </c>
      <c r="X103" s="1992">
        <f ca="1"/>
        <v>0</v>
      </c>
      <c r="Y103" s="2010">
        <f ca="1"/>
        <v>0</v>
      </c>
    </row>
    <row r="104" spans="1:26" ht="15.75" customHeight="1" thickBot="1">
      <c r="A104" s="105" t="str">
        <f>A$28</f>
        <v>Totais</v>
      </c>
      <c r="B104" s="607">
        <f t="shared" ref="B104:Y104" ca="1" si="10">SUM(B91:B103)</f>
        <v>0</v>
      </c>
      <c r="C104" s="607">
        <f t="shared" ca="1" si="10"/>
        <v>0</v>
      </c>
      <c r="D104" s="607">
        <f t="shared" ca="1" si="10"/>
        <v>0</v>
      </c>
      <c r="E104" s="607">
        <f t="shared" ca="1" si="10"/>
        <v>0</v>
      </c>
      <c r="F104" s="607">
        <f t="shared" ca="1" si="10"/>
        <v>0</v>
      </c>
      <c r="G104" s="607">
        <f t="shared" ca="1" si="10"/>
        <v>0</v>
      </c>
      <c r="H104" s="607">
        <f t="shared" ca="1" si="10"/>
        <v>0</v>
      </c>
      <c r="I104" s="607">
        <f t="shared" ca="1" si="10"/>
        <v>0</v>
      </c>
      <c r="J104" s="607">
        <f t="shared" ca="1" si="10"/>
        <v>0</v>
      </c>
      <c r="K104" s="607">
        <f t="shared" ca="1" si="10"/>
        <v>0</v>
      </c>
      <c r="L104" s="607">
        <f t="shared" ca="1" si="10"/>
        <v>0</v>
      </c>
      <c r="M104" s="607">
        <f t="shared" ca="1" si="10"/>
        <v>0</v>
      </c>
      <c r="N104" s="607">
        <f t="shared" ca="1" si="10"/>
        <v>38.318172538211996</v>
      </c>
      <c r="O104" s="607">
        <f t="shared" ca="1" si="10"/>
        <v>38.318172538211996</v>
      </c>
      <c r="P104" s="607">
        <f t="shared" ca="1" si="10"/>
        <v>38.318172538211996</v>
      </c>
      <c r="Q104" s="607">
        <f t="shared" ca="1" si="10"/>
        <v>38.318172538211996</v>
      </c>
      <c r="R104" s="607">
        <f t="shared" ca="1" si="10"/>
        <v>38.318172538211996</v>
      </c>
      <c r="S104" s="607">
        <f t="shared" ca="1" si="10"/>
        <v>38.318172538211996</v>
      </c>
      <c r="T104" s="607">
        <f t="shared" ca="1" si="10"/>
        <v>38.318172538211996</v>
      </c>
      <c r="U104" s="607">
        <f t="shared" ca="1" si="10"/>
        <v>38.318172538211996</v>
      </c>
      <c r="V104" s="607">
        <f t="shared" ca="1" si="10"/>
        <v>38.318172538211996</v>
      </c>
      <c r="W104" s="607">
        <f t="shared" ca="1" si="10"/>
        <v>38.318172538211996</v>
      </c>
      <c r="X104" s="607">
        <f t="shared" ca="1" si="10"/>
        <v>38.318172538211996</v>
      </c>
      <c r="Y104" s="2008">
        <f t="shared" ca="1" si="10"/>
        <v>38.318172538211996</v>
      </c>
    </row>
    <row r="106" spans="1:26">
      <c r="A106" s="239" t="str">
        <f>'Dados Básicos'!A28&amp;" del pendiente anterior"</f>
        <v>IVA del pendiente anterior</v>
      </c>
      <c r="B106" s="62">
        <f ca="1">SUM(B104:M104)</f>
        <v>0</v>
      </c>
    </row>
    <row r="108" spans="1:26">
      <c r="F108" s="62" t="str">
        <f>'Distr CV 0'!F108</f>
        <v>(PARA PODERMOS CALCULAR OS PAGAMENTOS NOS MESES APROPRIADOS)</v>
      </c>
      <c r="K108" s="62" t="str">
        <f>'Distr CV 0'!K108</f>
        <v>Totais custos / compras para a produção do producto 1 pelos meses nos que se produzir os custos</v>
      </c>
    </row>
    <row r="109" spans="1:26" ht="18.75" thickBot="1">
      <c r="A109" s="1993" t="str">
        <f>'Distr CV 0'!A109</f>
        <v>Compras / custos de produção por meses de produto 1</v>
      </c>
      <c r="I109" s="1993" t="str">
        <f>I$44</f>
        <v>IVA NÃO incluido</v>
      </c>
      <c r="K109" s="2005">
        <f>Parametros!$F$24</f>
        <v>0.21</v>
      </c>
    </row>
    <row r="110" spans="1:26" s="456" customFormat="1" ht="30" customHeight="1" thickBot="1">
      <c r="A110" s="457" t="str">
        <f>'Distr CV 0'!A110</f>
        <v>mes de compra / custo</v>
      </c>
      <c r="B110" s="2011" t="str">
        <f t="array" ref="B110:Y110">B$71:Y$71</f>
        <v>janeiro 
2029</v>
      </c>
      <c r="C110" s="2011" t="str">
        <v>fevereiro 
2029</v>
      </c>
      <c r="D110" s="2011" t="str">
        <v>março 
2029</v>
      </c>
      <c r="E110" s="2011" t="str">
        <v>abril 
2029</v>
      </c>
      <c r="F110" s="2011" t="str">
        <v>maio 
2029</v>
      </c>
      <c r="G110" s="2011" t="str">
        <v>junho 
2029</v>
      </c>
      <c r="H110" s="2011" t="str">
        <v>julho 
2029</v>
      </c>
      <c r="I110" s="2011" t="str">
        <v>agosto 
2029</v>
      </c>
      <c r="J110" s="2011" t="str">
        <v>setembro 
2029</v>
      </c>
      <c r="K110" s="2011" t="str">
        <v>outubro 
2029</v>
      </c>
      <c r="L110" s="2011" t="str">
        <v>novembro 
2029</v>
      </c>
      <c r="M110" s="2011" t="str">
        <v>dezembro 
2029</v>
      </c>
      <c r="N110" s="2734" t="str">
        <v>janeiro 
2030</v>
      </c>
      <c r="O110" s="2735" t="str">
        <v>fevereiro 
2030</v>
      </c>
      <c r="P110" s="2735" t="str">
        <v>março 
2030</v>
      </c>
      <c r="Q110" s="2735" t="str">
        <v>abril 
2030</v>
      </c>
      <c r="R110" s="2735" t="str">
        <v>maio 
2030</v>
      </c>
      <c r="S110" s="2735" t="str">
        <v>junho 
2030</v>
      </c>
      <c r="T110" s="2735" t="str">
        <v>julho 
2030</v>
      </c>
      <c r="U110" s="2735" t="str">
        <v>agosto 
2030</v>
      </c>
      <c r="V110" s="2735" t="str">
        <v>setembro 
2030</v>
      </c>
      <c r="W110" s="2735" t="str">
        <v>outubro 
2030</v>
      </c>
      <c r="X110" s="2735" t="str">
        <v>novembro 
2030</v>
      </c>
      <c r="Y110" s="2736" t="str">
        <v>dezembro 
2030</v>
      </c>
      <c r="Z110" s="62"/>
    </row>
    <row r="111" spans="1:26">
      <c r="A111" s="1994" t="str">
        <f>A$72</f>
        <v>mismo mes</v>
      </c>
      <c r="B111" s="1991"/>
      <c r="C111" s="1991"/>
      <c r="D111" s="1991"/>
      <c r="E111" s="1991"/>
      <c r="F111" s="1991"/>
      <c r="G111" s="1991"/>
      <c r="H111" s="1991"/>
      <c r="I111" s="1991"/>
      <c r="J111" s="1991"/>
      <c r="K111" s="1991"/>
      <c r="L111" s="1991"/>
      <c r="M111" s="1991"/>
      <c r="N111" s="603">
        <f t="array" aca="1" ref="N111:Y111" ca="1">B$20:M20*Produção!$N$8</f>
        <v>182.4674882772</v>
      </c>
      <c r="O111" s="603">
        <f ca="1"/>
        <v>182.4674882772</v>
      </c>
      <c r="P111" s="603">
        <f ca="1"/>
        <v>182.4674882772</v>
      </c>
      <c r="Q111" s="603">
        <f ca="1"/>
        <v>182.4674882772</v>
      </c>
      <c r="R111" s="603">
        <f ca="1"/>
        <v>182.4674882772</v>
      </c>
      <c r="S111" s="603">
        <f ca="1"/>
        <v>182.4674882772</v>
      </c>
      <c r="T111" s="603">
        <f ca="1"/>
        <v>182.4674882772</v>
      </c>
      <c r="U111" s="603">
        <f ca="1"/>
        <v>182.4674882772</v>
      </c>
      <c r="V111" s="603">
        <f ca="1"/>
        <v>182.4674882772</v>
      </c>
      <c r="W111" s="603">
        <f ca="1"/>
        <v>182.4674882772</v>
      </c>
      <c r="X111" s="603">
        <f ca="1"/>
        <v>182.4674882772</v>
      </c>
      <c r="Y111" s="2006">
        <f ca="1"/>
        <v>182.4674882772</v>
      </c>
    </row>
    <row r="112" spans="1:26">
      <c r="A112" s="1995" t="str">
        <f>A$73</f>
        <v>1 mes antes</v>
      </c>
      <c r="B112" s="1991"/>
      <c r="C112" s="1991"/>
      <c r="D112" s="1991"/>
      <c r="E112" s="1991"/>
      <c r="F112" s="1991"/>
      <c r="G112" s="1991"/>
      <c r="H112" s="1991"/>
      <c r="I112" s="1991"/>
      <c r="J112" s="1991"/>
      <c r="K112" s="1991"/>
      <c r="L112" s="1991"/>
      <c r="M112" s="603">
        <f t="array" aca="1" ref="M112:X112" ca="1">B$20:M20*Produção!$M$8</f>
        <v>0</v>
      </c>
      <c r="N112" s="603">
        <f ca="1"/>
        <v>0</v>
      </c>
      <c r="O112" s="603">
        <f ca="1"/>
        <v>0</v>
      </c>
      <c r="P112" s="603">
        <f ca="1"/>
        <v>0</v>
      </c>
      <c r="Q112" s="603">
        <f ca="1"/>
        <v>0</v>
      </c>
      <c r="R112" s="603">
        <f ca="1"/>
        <v>0</v>
      </c>
      <c r="S112" s="603">
        <f ca="1"/>
        <v>0</v>
      </c>
      <c r="T112" s="603">
        <f ca="1"/>
        <v>0</v>
      </c>
      <c r="U112" s="603">
        <f ca="1"/>
        <v>0</v>
      </c>
      <c r="V112" s="603">
        <f ca="1"/>
        <v>0</v>
      </c>
      <c r="W112" s="603">
        <f ca="1"/>
        <v>0</v>
      </c>
      <c r="X112" s="603">
        <f ca="1"/>
        <v>0</v>
      </c>
      <c r="Y112" s="2007">
        <f t="array" aca="1" ref="Y112:Y123" ca="1">'Distr CV 5'!M112:M123</f>
        <v>0</v>
      </c>
    </row>
    <row r="113" spans="1:25">
      <c r="A113" s="1995" t="str">
        <f>A$74</f>
        <v>2 meses antes</v>
      </c>
      <c r="B113" s="1991"/>
      <c r="C113" s="1991"/>
      <c r="D113" s="1991"/>
      <c r="E113" s="1991"/>
      <c r="F113" s="1991"/>
      <c r="G113" s="1991"/>
      <c r="H113" s="1991"/>
      <c r="I113" s="1991"/>
      <c r="J113" s="1991"/>
      <c r="K113" s="1991"/>
      <c r="L113" s="603">
        <f t="array" aca="1" ref="L113:W113" ca="1">B$20:M20*Produção!$L$8</f>
        <v>0</v>
      </c>
      <c r="M113" s="603">
        <f ca="1"/>
        <v>0</v>
      </c>
      <c r="N113" s="603">
        <f ca="1"/>
        <v>0</v>
      </c>
      <c r="O113" s="603">
        <f ca="1"/>
        <v>0</v>
      </c>
      <c r="P113" s="603">
        <f ca="1"/>
        <v>0</v>
      </c>
      <c r="Q113" s="603">
        <f ca="1"/>
        <v>0</v>
      </c>
      <c r="R113" s="603">
        <f ca="1"/>
        <v>0</v>
      </c>
      <c r="S113" s="603">
        <f ca="1"/>
        <v>0</v>
      </c>
      <c r="T113" s="603">
        <f ca="1"/>
        <v>0</v>
      </c>
      <c r="U113" s="603">
        <f ca="1"/>
        <v>0</v>
      </c>
      <c r="V113" s="603">
        <f ca="1"/>
        <v>0</v>
      </c>
      <c r="W113" s="603">
        <f ca="1"/>
        <v>0</v>
      </c>
      <c r="X113" s="1988">
        <f t="array" aca="1" ref="X113:X123" ca="1">'Distr CV 5'!L113:L123</f>
        <v>0</v>
      </c>
      <c r="Y113" s="2007">
        <f ca="1"/>
        <v>0</v>
      </c>
    </row>
    <row r="114" spans="1:25">
      <c r="A114" s="1995" t="str">
        <f>A$75</f>
        <v>3 meses antes</v>
      </c>
      <c r="B114" s="1991"/>
      <c r="C114" s="1991"/>
      <c r="D114" s="1991"/>
      <c r="E114" s="1991"/>
      <c r="F114" s="1991"/>
      <c r="G114" s="1991"/>
      <c r="H114" s="1991"/>
      <c r="I114" s="1991"/>
      <c r="J114" s="1991"/>
      <c r="K114" s="603">
        <f t="array" aca="1" ref="K114:V114" ca="1">B$20:M20*Produção!$K$8</f>
        <v>0</v>
      </c>
      <c r="L114" s="603">
        <f ca="1"/>
        <v>0</v>
      </c>
      <c r="M114" s="603">
        <f ca="1"/>
        <v>0</v>
      </c>
      <c r="N114" s="603">
        <f ca="1"/>
        <v>0</v>
      </c>
      <c r="O114" s="603">
        <f ca="1"/>
        <v>0</v>
      </c>
      <c r="P114" s="603">
        <f ca="1"/>
        <v>0</v>
      </c>
      <c r="Q114" s="603">
        <f ca="1"/>
        <v>0</v>
      </c>
      <c r="R114" s="603">
        <f ca="1"/>
        <v>0</v>
      </c>
      <c r="S114" s="603">
        <f ca="1"/>
        <v>0</v>
      </c>
      <c r="T114" s="603">
        <f ca="1"/>
        <v>0</v>
      </c>
      <c r="U114" s="603">
        <f ca="1"/>
        <v>0</v>
      </c>
      <c r="V114" s="603">
        <f ca="1"/>
        <v>0</v>
      </c>
      <c r="W114" s="1988">
        <f t="array" aca="1" ref="W114:W123" ca="1">'Distr CV 5'!K114:K123</f>
        <v>0</v>
      </c>
      <c r="X114" s="1988">
        <f ca="1"/>
        <v>0</v>
      </c>
      <c r="Y114" s="2007">
        <f ca="1"/>
        <v>0</v>
      </c>
    </row>
    <row r="115" spans="1:25">
      <c r="A115" s="1995" t="str">
        <f>A$76</f>
        <v>4 meses antes</v>
      </c>
      <c r="B115" s="1991"/>
      <c r="C115" s="1991"/>
      <c r="D115" s="1991"/>
      <c r="E115" s="1991"/>
      <c r="F115" s="1991"/>
      <c r="G115" s="1991"/>
      <c r="H115" s="1991"/>
      <c r="I115" s="1991"/>
      <c r="J115" s="603">
        <f t="array" aca="1" ref="J115:U115" ca="1">B$20:M20*Produção!$J$8</f>
        <v>0</v>
      </c>
      <c r="K115" s="603">
        <f ca="1"/>
        <v>0</v>
      </c>
      <c r="L115" s="603">
        <f ca="1"/>
        <v>0</v>
      </c>
      <c r="M115" s="603">
        <f ca="1"/>
        <v>0</v>
      </c>
      <c r="N115" s="603">
        <f ca="1"/>
        <v>0</v>
      </c>
      <c r="O115" s="603">
        <f ca="1"/>
        <v>0</v>
      </c>
      <c r="P115" s="603">
        <f ca="1"/>
        <v>0</v>
      </c>
      <c r="Q115" s="603">
        <f ca="1"/>
        <v>0</v>
      </c>
      <c r="R115" s="603">
        <f ca="1"/>
        <v>0</v>
      </c>
      <c r="S115" s="603">
        <f ca="1"/>
        <v>0</v>
      </c>
      <c r="T115" s="603">
        <f ca="1"/>
        <v>0</v>
      </c>
      <c r="U115" s="603">
        <f ca="1"/>
        <v>0</v>
      </c>
      <c r="V115" s="1988">
        <f t="array" aca="1" ref="V115:V123" ca="1">'Distr CV 5'!J115:J123</f>
        <v>0</v>
      </c>
      <c r="W115" s="1988">
        <f ca="1"/>
        <v>0</v>
      </c>
      <c r="X115" s="1988">
        <f ca="1"/>
        <v>0</v>
      </c>
      <c r="Y115" s="2007">
        <f ca="1"/>
        <v>0</v>
      </c>
    </row>
    <row r="116" spans="1:25">
      <c r="A116" s="1995" t="str">
        <f>A$77</f>
        <v>5 meses antes</v>
      </c>
      <c r="B116" s="1991"/>
      <c r="C116" s="1991"/>
      <c r="D116" s="1991"/>
      <c r="E116" s="1991"/>
      <c r="F116" s="1991"/>
      <c r="G116" s="1991"/>
      <c r="H116" s="1991"/>
      <c r="I116" s="603">
        <f t="array" aca="1" ref="I116:T116" ca="1">B$20:M20*Produção!$I$8</f>
        <v>0</v>
      </c>
      <c r="J116" s="603">
        <f ca="1"/>
        <v>0</v>
      </c>
      <c r="K116" s="603">
        <f ca="1"/>
        <v>0</v>
      </c>
      <c r="L116" s="603">
        <f ca="1"/>
        <v>0</v>
      </c>
      <c r="M116" s="603">
        <f ca="1"/>
        <v>0</v>
      </c>
      <c r="N116" s="603">
        <f ca="1"/>
        <v>0</v>
      </c>
      <c r="O116" s="603">
        <f ca="1"/>
        <v>0</v>
      </c>
      <c r="P116" s="603">
        <f ca="1"/>
        <v>0</v>
      </c>
      <c r="Q116" s="603">
        <f ca="1"/>
        <v>0</v>
      </c>
      <c r="R116" s="603">
        <f ca="1"/>
        <v>0</v>
      </c>
      <c r="S116" s="603">
        <f ca="1"/>
        <v>0</v>
      </c>
      <c r="T116" s="603">
        <f ca="1"/>
        <v>0</v>
      </c>
      <c r="U116" s="1988">
        <f t="array" aca="1" ref="U116:U123" ca="1">'Distr CV 5'!I116:I123</f>
        <v>0</v>
      </c>
      <c r="V116" s="1988">
        <f ca="1"/>
        <v>0</v>
      </c>
      <c r="W116" s="1988">
        <f ca="1"/>
        <v>0</v>
      </c>
      <c r="X116" s="1988">
        <f ca="1"/>
        <v>0</v>
      </c>
      <c r="Y116" s="2007">
        <f ca="1"/>
        <v>0</v>
      </c>
    </row>
    <row r="117" spans="1:25">
      <c r="A117" s="1995" t="str">
        <f>A$78</f>
        <v>6 meses antes</v>
      </c>
      <c r="B117" s="1991"/>
      <c r="C117" s="1991"/>
      <c r="D117" s="1991"/>
      <c r="E117" s="1991"/>
      <c r="F117" s="1991"/>
      <c r="G117" s="1991"/>
      <c r="H117" s="603">
        <f t="array" aca="1" ref="H117:S117" ca="1">B$20:M20*Produção!$H$8</f>
        <v>0</v>
      </c>
      <c r="I117" s="603">
        <f ca="1"/>
        <v>0</v>
      </c>
      <c r="J117" s="603">
        <f ca="1"/>
        <v>0</v>
      </c>
      <c r="K117" s="603">
        <f ca="1"/>
        <v>0</v>
      </c>
      <c r="L117" s="603">
        <f ca="1"/>
        <v>0</v>
      </c>
      <c r="M117" s="603">
        <f ca="1"/>
        <v>0</v>
      </c>
      <c r="N117" s="603">
        <f ca="1"/>
        <v>0</v>
      </c>
      <c r="O117" s="603">
        <f ca="1"/>
        <v>0</v>
      </c>
      <c r="P117" s="603">
        <f ca="1"/>
        <v>0</v>
      </c>
      <c r="Q117" s="603">
        <f ca="1"/>
        <v>0</v>
      </c>
      <c r="R117" s="603">
        <f ca="1"/>
        <v>0</v>
      </c>
      <c r="S117" s="603">
        <f ca="1"/>
        <v>0</v>
      </c>
      <c r="T117" s="1988">
        <f t="array" aca="1" ref="T117:T123" ca="1">'Distr CV 5'!H117:H123</f>
        <v>0</v>
      </c>
      <c r="U117" s="1988">
        <f ca="1"/>
        <v>0</v>
      </c>
      <c r="V117" s="1988">
        <f ca="1"/>
        <v>0</v>
      </c>
      <c r="W117" s="1988">
        <f ca="1"/>
        <v>0</v>
      </c>
      <c r="X117" s="1988">
        <f ca="1"/>
        <v>0</v>
      </c>
      <c r="Y117" s="2007">
        <f ca="1"/>
        <v>0</v>
      </c>
    </row>
    <row r="118" spans="1:25">
      <c r="A118" s="1995" t="str">
        <f>A$79</f>
        <v>7 meses antes</v>
      </c>
      <c r="B118" s="1991"/>
      <c r="C118" s="1991"/>
      <c r="D118" s="1991"/>
      <c r="E118" s="1991"/>
      <c r="F118" s="1991"/>
      <c r="G118" s="603">
        <f t="array" aca="1" ref="G118:R118" ca="1">B$20:M20*Produção!$G$8</f>
        <v>0</v>
      </c>
      <c r="H118" s="603">
        <f ca="1"/>
        <v>0</v>
      </c>
      <c r="I118" s="603">
        <f ca="1"/>
        <v>0</v>
      </c>
      <c r="J118" s="603">
        <f ca="1"/>
        <v>0</v>
      </c>
      <c r="K118" s="603">
        <f ca="1"/>
        <v>0</v>
      </c>
      <c r="L118" s="603">
        <f ca="1"/>
        <v>0</v>
      </c>
      <c r="M118" s="603">
        <f ca="1"/>
        <v>0</v>
      </c>
      <c r="N118" s="603">
        <f ca="1"/>
        <v>0</v>
      </c>
      <c r="O118" s="603">
        <f ca="1"/>
        <v>0</v>
      </c>
      <c r="P118" s="603">
        <f ca="1"/>
        <v>0</v>
      </c>
      <c r="Q118" s="603">
        <f ca="1"/>
        <v>0</v>
      </c>
      <c r="R118" s="603">
        <f ca="1"/>
        <v>0</v>
      </c>
      <c r="S118" s="1992">
        <f t="array" aca="1" ref="S118:S123" ca="1">'Distr CV 5'!G118:G123</f>
        <v>0</v>
      </c>
      <c r="T118" s="1992">
        <f ca="1"/>
        <v>0</v>
      </c>
      <c r="U118" s="1992">
        <f ca="1"/>
        <v>0</v>
      </c>
      <c r="V118" s="1992">
        <f ca="1"/>
        <v>0</v>
      </c>
      <c r="W118" s="1992">
        <f ca="1"/>
        <v>0</v>
      </c>
      <c r="X118" s="1992">
        <f ca="1"/>
        <v>0</v>
      </c>
      <c r="Y118" s="2010">
        <f ca="1"/>
        <v>0</v>
      </c>
    </row>
    <row r="119" spans="1:25">
      <c r="A119" s="1995" t="str">
        <f>A$80</f>
        <v>8 meses antes</v>
      </c>
      <c r="B119" s="1991"/>
      <c r="C119" s="1991"/>
      <c r="D119" s="1991"/>
      <c r="E119" s="1991"/>
      <c r="F119" s="603">
        <f t="array" aca="1" ref="F119:Q119" ca="1">B$20:M20*Produção!$F$8</f>
        <v>0</v>
      </c>
      <c r="G119" s="603">
        <f ca="1"/>
        <v>0</v>
      </c>
      <c r="H119" s="603">
        <f ca="1"/>
        <v>0</v>
      </c>
      <c r="I119" s="603">
        <f ca="1"/>
        <v>0</v>
      </c>
      <c r="J119" s="603">
        <f ca="1"/>
        <v>0</v>
      </c>
      <c r="K119" s="603">
        <f ca="1"/>
        <v>0</v>
      </c>
      <c r="L119" s="603">
        <f ca="1"/>
        <v>0</v>
      </c>
      <c r="M119" s="603">
        <f ca="1"/>
        <v>0</v>
      </c>
      <c r="N119" s="603">
        <f ca="1"/>
        <v>0</v>
      </c>
      <c r="O119" s="603">
        <f ca="1"/>
        <v>0</v>
      </c>
      <c r="P119" s="603">
        <f ca="1"/>
        <v>0</v>
      </c>
      <c r="Q119" s="603">
        <f ca="1"/>
        <v>0</v>
      </c>
      <c r="R119" s="1992">
        <f t="array" aca="1" ref="R119:R123" ca="1">'Distr CV 5'!F119:F123</f>
        <v>0</v>
      </c>
      <c r="S119" s="1992">
        <f ca="1"/>
        <v>0</v>
      </c>
      <c r="T119" s="1992">
        <f ca="1"/>
        <v>0</v>
      </c>
      <c r="U119" s="1992">
        <f ca="1"/>
        <v>0</v>
      </c>
      <c r="V119" s="1992">
        <f ca="1"/>
        <v>0</v>
      </c>
      <c r="W119" s="1992">
        <f ca="1"/>
        <v>0</v>
      </c>
      <c r="X119" s="1992">
        <f ca="1"/>
        <v>0</v>
      </c>
      <c r="Y119" s="2010">
        <f ca="1"/>
        <v>0</v>
      </c>
    </row>
    <row r="120" spans="1:25">
      <c r="A120" s="1995" t="str">
        <f>A$81</f>
        <v>9 meses antes</v>
      </c>
      <c r="B120" s="1991"/>
      <c r="C120" s="1991"/>
      <c r="D120" s="1991"/>
      <c r="E120" s="603">
        <f t="array" aca="1" ref="E120:P120" ca="1">B$20:M20*Produção!$E$8</f>
        <v>0</v>
      </c>
      <c r="F120" s="603">
        <f ca="1"/>
        <v>0</v>
      </c>
      <c r="G120" s="603">
        <f ca="1"/>
        <v>0</v>
      </c>
      <c r="H120" s="603">
        <f ca="1"/>
        <v>0</v>
      </c>
      <c r="I120" s="603">
        <f ca="1"/>
        <v>0</v>
      </c>
      <c r="J120" s="603">
        <f ca="1"/>
        <v>0</v>
      </c>
      <c r="K120" s="603">
        <f ca="1"/>
        <v>0</v>
      </c>
      <c r="L120" s="603">
        <f ca="1"/>
        <v>0</v>
      </c>
      <c r="M120" s="603">
        <f ca="1"/>
        <v>0</v>
      </c>
      <c r="N120" s="603">
        <f ca="1"/>
        <v>0</v>
      </c>
      <c r="O120" s="603">
        <f ca="1"/>
        <v>0</v>
      </c>
      <c r="P120" s="603">
        <f ca="1"/>
        <v>0</v>
      </c>
      <c r="Q120" s="1992">
        <f t="array" aca="1" ref="Q120:Q123" ca="1">'Distr CV 5'!E120:E123</f>
        <v>0</v>
      </c>
      <c r="R120" s="1992">
        <f ca="1"/>
        <v>0</v>
      </c>
      <c r="S120" s="1992">
        <f ca="1"/>
        <v>0</v>
      </c>
      <c r="T120" s="1992">
        <f ca="1"/>
        <v>0</v>
      </c>
      <c r="U120" s="1992">
        <f ca="1"/>
        <v>0</v>
      </c>
      <c r="V120" s="1992">
        <f ca="1"/>
        <v>0</v>
      </c>
      <c r="W120" s="1992">
        <f ca="1"/>
        <v>0</v>
      </c>
      <c r="X120" s="1992">
        <f ca="1"/>
        <v>0</v>
      </c>
      <c r="Y120" s="2010">
        <f ca="1"/>
        <v>0</v>
      </c>
    </row>
    <row r="121" spans="1:25">
      <c r="A121" s="1995" t="str">
        <f>A$82</f>
        <v>10 meses antes</v>
      </c>
      <c r="B121" s="1991"/>
      <c r="C121" s="1991"/>
      <c r="D121" s="603">
        <f t="array" aca="1" ref="D121:O121" ca="1">B$20:M20*Produção!$D$8</f>
        <v>0</v>
      </c>
      <c r="E121" s="603">
        <f ca="1"/>
        <v>0</v>
      </c>
      <c r="F121" s="603">
        <f ca="1"/>
        <v>0</v>
      </c>
      <c r="G121" s="603">
        <f ca="1"/>
        <v>0</v>
      </c>
      <c r="H121" s="603">
        <f ca="1"/>
        <v>0</v>
      </c>
      <c r="I121" s="603">
        <f ca="1"/>
        <v>0</v>
      </c>
      <c r="J121" s="603">
        <f ca="1"/>
        <v>0</v>
      </c>
      <c r="K121" s="603">
        <f ca="1"/>
        <v>0</v>
      </c>
      <c r="L121" s="603">
        <f ca="1"/>
        <v>0</v>
      </c>
      <c r="M121" s="603">
        <f ca="1"/>
        <v>0</v>
      </c>
      <c r="N121" s="603">
        <f ca="1"/>
        <v>0</v>
      </c>
      <c r="O121" s="603">
        <f ca="1"/>
        <v>0</v>
      </c>
      <c r="P121" s="1992">
        <f t="array" aca="1" ref="P121:P123" ca="1">'Distr CV 5'!D121:D123</f>
        <v>0</v>
      </c>
      <c r="Q121" s="1992">
        <f ca="1"/>
        <v>0</v>
      </c>
      <c r="R121" s="1992">
        <f ca="1"/>
        <v>0</v>
      </c>
      <c r="S121" s="1992">
        <f ca="1"/>
        <v>0</v>
      </c>
      <c r="T121" s="1992">
        <f ca="1"/>
        <v>0</v>
      </c>
      <c r="U121" s="1992">
        <f ca="1"/>
        <v>0</v>
      </c>
      <c r="V121" s="1992">
        <f ca="1"/>
        <v>0</v>
      </c>
      <c r="W121" s="1992">
        <f ca="1"/>
        <v>0</v>
      </c>
      <c r="X121" s="1992">
        <f ca="1"/>
        <v>0</v>
      </c>
      <c r="Y121" s="2010">
        <f ca="1"/>
        <v>0</v>
      </c>
    </row>
    <row r="122" spans="1:25">
      <c r="A122" s="1995" t="str">
        <f>A$83</f>
        <v>11 meses antes</v>
      </c>
      <c r="B122" s="1991"/>
      <c r="C122" s="603">
        <f t="array" aca="1" ref="C122:N122" ca="1">B$20:M20*Produção!$C$8</f>
        <v>0</v>
      </c>
      <c r="D122" s="603">
        <f ca="1"/>
        <v>0</v>
      </c>
      <c r="E122" s="603">
        <f ca="1"/>
        <v>0</v>
      </c>
      <c r="F122" s="603">
        <f ca="1"/>
        <v>0</v>
      </c>
      <c r="G122" s="603">
        <f ca="1"/>
        <v>0</v>
      </c>
      <c r="H122" s="603">
        <f ca="1"/>
        <v>0</v>
      </c>
      <c r="I122" s="603">
        <f ca="1"/>
        <v>0</v>
      </c>
      <c r="J122" s="603">
        <f ca="1"/>
        <v>0</v>
      </c>
      <c r="K122" s="603">
        <f ca="1"/>
        <v>0</v>
      </c>
      <c r="L122" s="603">
        <f ca="1"/>
        <v>0</v>
      </c>
      <c r="M122" s="603">
        <f ca="1"/>
        <v>0</v>
      </c>
      <c r="N122" s="603">
        <f ca="1"/>
        <v>0</v>
      </c>
      <c r="O122" s="1992">
        <f ca="1">'Distr CV 5'!C122</f>
        <v>0</v>
      </c>
      <c r="P122" s="1992">
        <f ca="1"/>
        <v>0</v>
      </c>
      <c r="Q122" s="1992">
        <f ca="1"/>
        <v>0</v>
      </c>
      <c r="R122" s="1992">
        <f ca="1"/>
        <v>0</v>
      </c>
      <c r="S122" s="1992">
        <f ca="1"/>
        <v>0</v>
      </c>
      <c r="T122" s="1992">
        <f ca="1"/>
        <v>0</v>
      </c>
      <c r="U122" s="1992">
        <f ca="1"/>
        <v>0</v>
      </c>
      <c r="V122" s="1992">
        <f ca="1"/>
        <v>0</v>
      </c>
      <c r="W122" s="1992">
        <f ca="1"/>
        <v>0</v>
      </c>
      <c r="X122" s="1992">
        <f ca="1"/>
        <v>0</v>
      </c>
      <c r="Y122" s="2010">
        <f ca="1"/>
        <v>0</v>
      </c>
    </row>
    <row r="123" spans="1:25" ht="13.5" thickBot="1">
      <c r="A123" s="1995" t="str">
        <f>A$84</f>
        <v>12 meses antes</v>
      </c>
      <c r="B123" s="603">
        <f t="array" aca="1" ref="B123:M123" ca="1">B$20:M20*Produção!$B$8</f>
        <v>0</v>
      </c>
      <c r="C123" s="603">
        <f ca="1"/>
        <v>0</v>
      </c>
      <c r="D123" s="603">
        <f ca="1"/>
        <v>0</v>
      </c>
      <c r="E123" s="603">
        <f ca="1"/>
        <v>0</v>
      </c>
      <c r="F123" s="603">
        <f ca="1"/>
        <v>0</v>
      </c>
      <c r="G123" s="603">
        <f ca="1"/>
        <v>0</v>
      </c>
      <c r="H123" s="603">
        <f ca="1"/>
        <v>0</v>
      </c>
      <c r="I123" s="603">
        <f ca="1"/>
        <v>0</v>
      </c>
      <c r="J123" s="603">
        <f ca="1"/>
        <v>0</v>
      </c>
      <c r="K123" s="603">
        <f ca="1"/>
        <v>0</v>
      </c>
      <c r="L123" s="603">
        <f ca="1"/>
        <v>0</v>
      </c>
      <c r="M123" s="603">
        <f ca="1"/>
        <v>0</v>
      </c>
      <c r="N123" s="1992">
        <f ca="1">'Distr CV 5'!B123</f>
        <v>0</v>
      </c>
      <c r="O123" s="1992">
        <f ca="1">'Distr CV 5'!C123</f>
        <v>0</v>
      </c>
      <c r="P123" s="1992">
        <f ca="1"/>
        <v>0</v>
      </c>
      <c r="Q123" s="1992">
        <f ca="1"/>
        <v>0</v>
      </c>
      <c r="R123" s="1992">
        <f ca="1"/>
        <v>0</v>
      </c>
      <c r="S123" s="1992">
        <f ca="1"/>
        <v>0</v>
      </c>
      <c r="T123" s="1992">
        <f ca="1"/>
        <v>0</v>
      </c>
      <c r="U123" s="1992">
        <f ca="1"/>
        <v>0</v>
      </c>
      <c r="V123" s="1992">
        <f ca="1"/>
        <v>0</v>
      </c>
      <c r="W123" s="1992">
        <f ca="1"/>
        <v>0</v>
      </c>
      <c r="X123" s="1992">
        <f ca="1"/>
        <v>0</v>
      </c>
      <c r="Y123" s="2010">
        <f ca="1"/>
        <v>0</v>
      </c>
    </row>
    <row r="124" spans="1:25" ht="15.75" customHeight="1" thickBot="1">
      <c r="A124" s="105" t="str">
        <f>"Totales CV "&amp;A$8</f>
        <v>Totales CV produto 1</v>
      </c>
      <c r="B124" s="607">
        <f t="shared" ref="B124:Y124" ca="1" si="11">SUM(B111:B123)</f>
        <v>0</v>
      </c>
      <c r="C124" s="607">
        <f t="shared" ca="1" si="11"/>
        <v>0</v>
      </c>
      <c r="D124" s="607">
        <f t="shared" ca="1" si="11"/>
        <v>0</v>
      </c>
      <c r="E124" s="607">
        <f t="shared" ca="1" si="11"/>
        <v>0</v>
      </c>
      <c r="F124" s="607">
        <f t="shared" ca="1" si="11"/>
        <v>0</v>
      </c>
      <c r="G124" s="607">
        <f t="shared" ca="1" si="11"/>
        <v>0</v>
      </c>
      <c r="H124" s="607">
        <f t="shared" ca="1" si="11"/>
        <v>0</v>
      </c>
      <c r="I124" s="607">
        <f t="shared" ca="1" si="11"/>
        <v>0</v>
      </c>
      <c r="J124" s="607">
        <f t="shared" ca="1" si="11"/>
        <v>0</v>
      </c>
      <c r="K124" s="607">
        <f t="shared" ca="1" si="11"/>
        <v>0</v>
      </c>
      <c r="L124" s="607">
        <f t="shared" ca="1" si="11"/>
        <v>0</v>
      </c>
      <c r="M124" s="607">
        <f t="shared" ca="1" si="11"/>
        <v>0</v>
      </c>
      <c r="N124" s="607">
        <f t="shared" ca="1" si="11"/>
        <v>182.4674882772</v>
      </c>
      <c r="O124" s="607">
        <f t="shared" ca="1" si="11"/>
        <v>182.4674882772</v>
      </c>
      <c r="P124" s="607">
        <f t="shared" ca="1" si="11"/>
        <v>182.4674882772</v>
      </c>
      <c r="Q124" s="607">
        <f t="shared" ca="1" si="11"/>
        <v>182.4674882772</v>
      </c>
      <c r="R124" s="607">
        <f t="shared" ca="1" si="11"/>
        <v>182.4674882772</v>
      </c>
      <c r="S124" s="607">
        <f t="shared" ca="1" si="11"/>
        <v>182.4674882772</v>
      </c>
      <c r="T124" s="607">
        <f t="shared" ca="1" si="11"/>
        <v>182.4674882772</v>
      </c>
      <c r="U124" s="607">
        <f t="shared" ca="1" si="11"/>
        <v>182.4674882772</v>
      </c>
      <c r="V124" s="607">
        <f t="shared" ca="1" si="11"/>
        <v>182.4674882772</v>
      </c>
      <c r="W124" s="607">
        <f t="shared" ca="1" si="11"/>
        <v>182.4674882772</v>
      </c>
      <c r="X124" s="607">
        <f t="shared" ca="1" si="11"/>
        <v>182.4674882772</v>
      </c>
      <c r="Y124" s="2008">
        <f t="shared" ca="1" si="11"/>
        <v>182.4674882772</v>
      </c>
    </row>
    <row r="125" spans="1:25" ht="15.75" customHeight="1" thickBot="1">
      <c r="A125" s="105" t="str">
        <f>'Dados Básicos'!A28&amp;" sop. CV "&amp;$A$8</f>
        <v>IVA sop. CV produto 1</v>
      </c>
      <c r="B125" s="607">
        <f t="array" aca="1" ref="B125:Y125" ca="1">$K$109*B124:Y124</f>
        <v>0</v>
      </c>
      <c r="C125" s="607">
        <f ca="1"/>
        <v>0</v>
      </c>
      <c r="D125" s="607">
        <f ca="1"/>
        <v>0</v>
      </c>
      <c r="E125" s="607">
        <f ca="1"/>
        <v>0</v>
      </c>
      <c r="F125" s="607">
        <f ca="1"/>
        <v>0</v>
      </c>
      <c r="G125" s="607">
        <f ca="1"/>
        <v>0</v>
      </c>
      <c r="H125" s="607">
        <f ca="1"/>
        <v>0</v>
      </c>
      <c r="I125" s="607">
        <f ca="1"/>
        <v>0</v>
      </c>
      <c r="J125" s="607">
        <f ca="1"/>
        <v>0</v>
      </c>
      <c r="K125" s="607">
        <f ca="1"/>
        <v>0</v>
      </c>
      <c r="L125" s="607">
        <f ca="1"/>
        <v>0</v>
      </c>
      <c r="M125" s="607">
        <f ca="1"/>
        <v>0</v>
      </c>
      <c r="N125" s="607">
        <f ca="1"/>
        <v>38.318172538211996</v>
      </c>
      <c r="O125" s="607">
        <f ca="1"/>
        <v>38.318172538211996</v>
      </c>
      <c r="P125" s="607">
        <f ca="1"/>
        <v>38.318172538211996</v>
      </c>
      <c r="Q125" s="607">
        <f ca="1"/>
        <v>38.318172538211996</v>
      </c>
      <c r="R125" s="607">
        <f ca="1"/>
        <v>38.318172538211996</v>
      </c>
      <c r="S125" s="607">
        <f ca="1"/>
        <v>38.318172538211996</v>
      </c>
      <c r="T125" s="607">
        <f ca="1"/>
        <v>38.318172538211996</v>
      </c>
      <c r="U125" s="607">
        <f ca="1"/>
        <v>38.318172538211996</v>
      </c>
      <c r="V125" s="607">
        <f ca="1"/>
        <v>38.318172538211996</v>
      </c>
      <c r="W125" s="607">
        <f ca="1"/>
        <v>38.318172538211996</v>
      </c>
      <c r="X125" s="607">
        <f ca="1"/>
        <v>38.318172538211996</v>
      </c>
      <c r="Y125" s="2008">
        <f ca="1"/>
        <v>38.318172538211996</v>
      </c>
    </row>
    <row r="127" spans="1:25" ht="18.75" thickBot="1">
      <c r="A127" s="1993" t="str">
        <f>'Distr CV 0'!A127</f>
        <v xml:space="preserve">Compras / custos de producción por meses de </v>
      </c>
      <c r="I127" s="1993" t="str">
        <f>$I$109</f>
        <v>IVA NÃO incluido</v>
      </c>
      <c r="K127" s="2005">
        <f>Parametros!$F$25</f>
        <v>0.21</v>
      </c>
    </row>
    <row r="128" spans="1:25" ht="30" customHeight="1" thickBot="1">
      <c r="A128" s="457" t="str">
        <f>'Distr CV 0'!A128</f>
        <v>mes de compra / custo</v>
      </c>
      <c r="B128" s="2011" t="str">
        <f t="array" ref="B128:Y128">B$71:Y$71</f>
        <v>janeiro 
2029</v>
      </c>
      <c r="C128" s="2011" t="str">
        <v>fevereiro 
2029</v>
      </c>
      <c r="D128" s="2011" t="str">
        <v>março 
2029</v>
      </c>
      <c r="E128" s="2011" t="str">
        <v>abril 
2029</v>
      </c>
      <c r="F128" s="2011" t="str">
        <v>maio 
2029</v>
      </c>
      <c r="G128" s="2011" t="str">
        <v>junho 
2029</v>
      </c>
      <c r="H128" s="2011" t="str">
        <v>julho 
2029</v>
      </c>
      <c r="I128" s="2011" t="str">
        <v>agosto 
2029</v>
      </c>
      <c r="J128" s="2011" t="str">
        <v>setembro 
2029</v>
      </c>
      <c r="K128" s="2011" t="str">
        <v>outubro 
2029</v>
      </c>
      <c r="L128" s="2011" t="str">
        <v>novembro 
2029</v>
      </c>
      <c r="M128" s="2011" t="str">
        <v>dezembro 
2029</v>
      </c>
      <c r="N128" s="2734" t="str">
        <v>janeiro 
2030</v>
      </c>
      <c r="O128" s="2735" t="str">
        <v>fevereiro 
2030</v>
      </c>
      <c r="P128" s="2735" t="str">
        <v>março 
2030</v>
      </c>
      <c r="Q128" s="2735" t="str">
        <v>abril 
2030</v>
      </c>
      <c r="R128" s="2735" t="str">
        <v>maio 
2030</v>
      </c>
      <c r="S128" s="2735" t="str">
        <v>junho 
2030</v>
      </c>
      <c r="T128" s="2735" t="str">
        <v>julho 
2030</v>
      </c>
      <c r="U128" s="2735" t="str">
        <v>agosto 
2030</v>
      </c>
      <c r="V128" s="2735" t="str">
        <v>setembro 
2030</v>
      </c>
      <c r="W128" s="2735" t="str">
        <v>outubro 
2030</v>
      </c>
      <c r="X128" s="2735" t="str">
        <v>novembro 
2030</v>
      </c>
      <c r="Y128" s="2736" t="str">
        <v>dezembro 
2030</v>
      </c>
    </row>
    <row r="129" spans="1:25">
      <c r="A129" s="1994" t="str">
        <f>A$72</f>
        <v>mismo mes</v>
      </c>
      <c r="B129" s="1991"/>
      <c r="C129" s="1991"/>
      <c r="D129" s="1991"/>
      <c r="E129" s="1991"/>
      <c r="F129" s="1991"/>
      <c r="G129" s="1991"/>
      <c r="H129" s="1991"/>
      <c r="I129" s="1991"/>
      <c r="J129" s="1991"/>
      <c r="K129" s="1991"/>
      <c r="L129" s="1991"/>
      <c r="M129" s="1991"/>
      <c r="N129" s="603">
        <f t="array" aca="1" ref="N129:Y129" ca="1">B21:M21*Produção!$N$9</f>
        <v>0</v>
      </c>
      <c r="O129" s="603">
        <f ca="1"/>
        <v>0</v>
      </c>
      <c r="P129" s="603">
        <f ca="1"/>
        <v>0</v>
      </c>
      <c r="Q129" s="603">
        <f ca="1"/>
        <v>0</v>
      </c>
      <c r="R129" s="603">
        <f ca="1"/>
        <v>0</v>
      </c>
      <c r="S129" s="603">
        <f ca="1"/>
        <v>0</v>
      </c>
      <c r="T129" s="603">
        <f ca="1"/>
        <v>0</v>
      </c>
      <c r="U129" s="603">
        <f ca="1"/>
        <v>0</v>
      </c>
      <c r="V129" s="603">
        <f ca="1"/>
        <v>0</v>
      </c>
      <c r="W129" s="603">
        <f ca="1"/>
        <v>0</v>
      </c>
      <c r="X129" s="603">
        <f ca="1"/>
        <v>0</v>
      </c>
      <c r="Y129" s="2006">
        <f ca="1"/>
        <v>0</v>
      </c>
    </row>
    <row r="130" spans="1:25">
      <c r="A130" s="1995" t="str">
        <f>A$73</f>
        <v>1 mes antes</v>
      </c>
      <c r="B130" s="1991"/>
      <c r="C130" s="1991"/>
      <c r="D130" s="1991"/>
      <c r="E130" s="1991"/>
      <c r="F130" s="1991"/>
      <c r="G130" s="1991"/>
      <c r="H130" s="1991"/>
      <c r="I130" s="1991"/>
      <c r="J130" s="1991"/>
      <c r="K130" s="1991"/>
      <c r="L130" s="1991"/>
      <c r="M130" s="603">
        <f t="array" aca="1" ref="M130:X130" ca="1">B21:M21*Produção!$M$9</f>
        <v>0</v>
      </c>
      <c r="N130" s="603">
        <f ca="1"/>
        <v>0</v>
      </c>
      <c r="O130" s="603">
        <f ca="1"/>
        <v>0</v>
      </c>
      <c r="P130" s="603">
        <f ca="1"/>
        <v>0</v>
      </c>
      <c r="Q130" s="603">
        <f ca="1"/>
        <v>0</v>
      </c>
      <c r="R130" s="603">
        <f ca="1"/>
        <v>0</v>
      </c>
      <c r="S130" s="603">
        <f ca="1"/>
        <v>0</v>
      </c>
      <c r="T130" s="603">
        <f ca="1"/>
        <v>0</v>
      </c>
      <c r="U130" s="603">
        <f ca="1"/>
        <v>0</v>
      </c>
      <c r="V130" s="603">
        <f ca="1"/>
        <v>0</v>
      </c>
      <c r="W130" s="603">
        <f ca="1"/>
        <v>0</v>
      </c>
      <c r="X130" s="603">
        <f ca="1"/>
        <v>0</v>
      </c>
      <c r="Y130" s="2007">
        <f t="array" aca="1" ref="Y130:Y141" ca="1">'Distr CV 5'!M130:M141</f>
        <v>0</v>
      </c>
    </row>
    <row r="131" spans="1:25">
      <c r="A131" s="1995" t="str">
        <f>A$74</f>
        <v>2 meses antes</v>
      </c>
      <c r="B131" s="1991"/>
      <c r="C131" s="1991"/>
      <c r="D131" s="1991"/>
      <c r="E131" s="1991"/>
      <c r="F131" s="1991"/>
      <c r="G131" s="1991"/>
      <c r="H131" s="1991"/>
      <c r="I131" s="1991"/>
      <c r="J131" s="1991"/>
      <c r="K131" s="1991"/>
      <c r="L131" s="603">
        <f t="array" aca="1" ref="L131:W131" ca="1">B21:M21*Produção!$L$9</f>
        <v>0</v>
      </c>
      <c r="M131" s="603">
        <f ca="1"/>
        <v>0</v>
      </c>
      <c r="N131" s="603">
        <f ca="1"/>
        <v>0</v>
      </c>
      <c r="O131" s="603">
        <f ca="1"/>
        <v>0</v>
      </c>
      <c r="P131" s="603">
        <f ca="1"/>
        <v>0</v>
      </c>
      <c r="Q131" s="603">
        <f ca="1"/>
        <v>0</v>
      </c>
      <c r="R131" s="603">
        <f ca="1"/>
        <v>0</v>
      </c>
      <c r="S131" s="603">
        <f ca="1"/>
        <v>0</v>
      </c>
      <c r="T131" s="603">
        <f ca="1"/>
        <v>0</v>
      </c>
      <c r="U131" s="603">
        <f ca="1"/>
        <v>0</v>
      </c>
      <c r="V131" s="603">
        <f ca="1"/>
        <v>0</v>
      </c>
      <c r="W131" s="603">
        <f ca="1"/>
        <v>0</v>
      </c>
      <c r="X131" s="1988">
        <f t="array" aca="1" ref="X131:X141" ca="1">'Distr CV 5'!L131:L141</f>
        <v>0</v>
      </c>
      <c r="Y131" s="2007">
        <f ca="1"/>
        <v>0</v>
      </c>
    </row>
    <row r="132" spans="1:25">
      <c r="A132" s="1995" t="str">
        <f>A$75</f>
        <v>3 meses antes</v>
      </c>
      <c r="B132" s="1991"/>
      <c r="C132" s="1991"/>
      <c r="D132" s="1991"/>
      <c r="E132" s="1991"/>
      <c r="F132" s="1991"/>
      <c r="G132" s="1991"/>
      <c r="H132" s="1991"/>
      <c r="I132" s="1991"/>
      <c r="J132" s="1991"/>
      <c r="K132" s="603">
        <f t="array" aca="1" ref="K132:V132" ca="1">B21:M21*Produção!$K$9</f>
        <v>0</v>
      </c>
      <c r="L132" s="603">
        <f ca="1"/>
        <v>0</v>
      </c>
      <c r="M132" s="603">
        <f ca="1"/>
        <v>0</v>
      </c>
      <c r="N132" s="603">
        <f ca="1"/>
        <v>0</v>
      </c>
      <c r="O132" s="603">
        <f ca="1"/>
        <v>0</v>
      </c>
      <c r="P132" s="603">
        <f ca="1"/>
        <v>0</v>
      </c>
      <c r="Q132" s="603">
        <f ca="1"/>
        <v>0</v>
      </c>
      <c r="R132" s="603">
        <f ca="1"/>
        <v>0</v>
      </c>
      <c r="S132" s="603">
        <f ca="1"/>
        <v>0</v>
      </c>
      <c r="T132" s="603">
        <f ca="1"/>
        <v>0</v>
      </c>
      <c r="U132" s="603">
        <f ca="1"/>
        <v>0</v>
      </c>
      <c r="V132" s="603">
        <f ca="1"/>
        <v>0</v>
      </c>
      <c r="W132" s="1988">
        <f t="array" aca="1" ref="W132:W141" ca="1">'Distr CV 5'!K132:K141</f>
        <v>0</v>
      </c>
      <c r="X132" s="1988">
        <f ca="1"/>
        <v>0</v>
      </c>
      <c r="Y132" s="2007">
        <f ca="1"/>
        <v>0</v>
      </c>
    </row>
    <row r="133" spans="1:25">
      <c r="A133" s="1995" t="str">
        <f>A$76</f>
        <v>4 meses antes</v>
      </c>
      <c r="B133" s="1991"/>
      <c r="C133" s="1991"/>
      <c r="D133" s="1991"/>
      <c r="E133" s="1991"/>
      <c r="F133" s="1991"/>
      <c r="G133" s="1991"/>
      <c r="H133" s="1991"/>
      <c r="I133" s="1991"/>
      <c r="J133" s="603">
        <f t="array" aca="1" ref="J133:U133" ca="1">B21:M21*Produção!$J$9</f>
        <v>0</v>
      </c>
      <c r="K133" s="603">
        <f ca="1"/>
        <v>0</v>
      </c>
      <c r="L133" s="603">
        <f ca="1"/>
        <v>0</v>
      </c>
      <c r="M133" s="603">
        <f ca="1"/>
        <v>0</v>
      </c>
      <c r="N133" s="603">
        <f ca="1"/>
        <v>0</v>
      </c>
      <c r="O133" s="603">
        <f ca="1"/>
        <v>0</v>
      </c>
      <c r="P133" s="603">
        <f ca="1"/>
        <v>0</v>
      </c>
      <c r="Q133" s="603">
        <f ca="1"/>
        <v>0</v>
      </c>
      <c r="R133" s="603">
        <f ca="1"/>
        <v>0</v>
      </c>
      <c r="S133" s="603">
        <f ca="1"/>
        <v>0</v>
      </c>
      <c r="T133" s="603">
        <f ca="1"/>
        <v>0</v>
      </c>
      <c r="U133" s="603">
        <f ca="1"/>
        <v>0</v>
      </c>
      <c r="V133" s="1988">
        <f t="array" aca="1" ref="V133:V141" ca="1">'Distr CV 5'!J133:J141</f>
        <v>0</v>
      </c>
      <c r="W133" s="1988">
        <f ca="1"/>
        <v>0</v>
      </c>
      <c r="X133" s="1988">
        <f ca="1"/>
        <v>0</v>
      </c>
      <c r="Y133" s="2007">
        <f ca="1"/>
        <v>0</v>
      </c>
    </row>
    <row r="134" spans="1:25">
      <c r="A134" s="1995" t="str">
        <f>A$77</f>
        <v>5 meses antes</v>
      </c>
      <c r="B134" s="1991"/>
      <c r="C134" s="1991"/>
      <c r="D134" s="1991"/>
      <c r="E134" s="1991"/>
      <c r="F134" s="1991"/>
      <c r="G134" s="1991"/>
      <c r="H134" s="1991"/>
      <c r="I134" s="603">
        <f t="array" aca="1" ref="I134:T134" ca="1">B21:M21*Produção!$I$9</f>
        <v>0</v>
      </c>
      <c r="J134" s="603">
        <f ca="1"/>
        <v>0</v>
      </c>
      <c r="K134" s="603">
        <f ca="1"/>
        <v>0</v>
      </c>
      <c r="L134" s="603">
        <f ca="1"/>
        <v>0</v>
      </c>
      <c r="M134" s="603">
        <f ca="1"/>
        <v>0</v>
      </c>
      <c r="N134" s="603">
        <f ca="1"/>
        <v>0</v>
      </c>
      <c r="O134" s="603">
        <f ca="1"/>
        <v>0</v>
      </c>
      <c r="P134" s="603">
        <f ca="1"/>
        <v>0</v>
      </c>
      <c r="Q134" s="603">
        <f ca="1"/>
        <v>0</v>
      </c>
      <c r="R134" s="603">
        <f ca="1"/>
        <v>0</v>
      </c>
      <c r="S134" s="603">
        <f ca="1"/>
        <v>0</v>
      </c>
      <c r="T134" s="603">
        <f ca="1"/>
        <v>0</v>
      </c>
      <c r="U134" s="1988">
        <f t="array" aca="1" ref="U134:U141" ca="1">'Distr CV 5'!I134:I141</f>
        <v>0</v>
      </c>
      <c r="V134" s="1988">
        <f ca="1"/>
        <v>0</v>
      </c>
      <c r="W134" s="1988">
        <f ca="1"/>
        <v>0</v>
      </c>
      <c r="X134" s="1988">
        <f ca="1"/>
        <v>0</v>
      </c>
      <c r="Y134" s="2007">
        <f ca="1"/>
        <v>0</v>
      </c>
    </row>
    <row r="135" spans="1:25">
      <c r="A135" s="1995" t="str">
        <f>A$78</f>
        <v>6 meses antes</v>
      </c>
      <c r="B135" s="1991"/>
      <c r="C135" s="1991"/>
      <c r="D135" s="1991"/>
      <c r="E135" s="1991"/>
      <c r="F135" s="1991"/>
      <c r="G135" s="1991"/>
      <c r="H135" s="603">
        <f t="array" aca="1" ref="H135:S135" ca="1">B21:M21*Produção!$H$9</f>
        <v>0</v>
      </c>
      <c r="I135" s="603">
        <f ca="1"/>
        <v>0</v>
      </c>
      <c r="J135" s="603">
        <f ca="1"/>
        <v>0</v>
      </c>
      <c r="K135" s="603">
        <f ca="1"/>
        <v>0</v>
      </c>
      <c r="L135" s="603">
        <f ca="1"/>
        <v>0</v>
      </c>
      <c r="M135" s="603">
        <f ca="1"/>
        <v>0</v>
      </c>
      <c r="N135" s="603">
        <f ca="1"/>
        <v>0</v>
      </c>
      <c r="O135" s="603">
        <f ca="1"/>
        <v>0</v>
      </c>
      <c r="P135" s="603">
        <f ca="1"/>
        <v>0</v>
      </c>
      <c r="Q135" s="603">
        <f ca="1"/>
        <v>0</v>
      </c>
      <c r="R135" s="603">
        <f ca="1"/>
        <v>0</v>
      </c>
      <c r="S135" s="603">
        <f ca="1"/>
        <v>0</v>
      </c>
      <c r="T135" s="1988">
        <f t="array" aca="1" ref="T135:T141" ca="1">'Distr CV 5'!H135:H141</f>
        <v>0</v>
      </c>
      <c r="U135" s="1988">
        <f ca="1"/>
        <v>0</v>
      </c>
      <c r="V135" s="1988">
        <f ca="1"/>
        <v>0</v>
      </c>
      <c r="W135" s="1988">
        <f ca="1"/>
        <v>0</v>
      </c>
      <c r="X135" s="1988">
        <f ca="1"/>
        <v>0</v>
      </c>
      <c r="Y135" s="2007">
        <f ca="1"/>
        <v>0</v>
      </c>
    </row>
    <row r="136" spans="1:25">
      <c r="A136" s="1995" t="str">
        <f>A$79</f>
        <v>7 meses antes</v>
      </c>
      <c r="B136" s="1991"/>
      <c r="C136" s="1991"/>
      <c r="D136" s="1991"/>
      <c r="E136" s="1991"/>
      <c r="F136" s="1991"/>
      <c r="G136" s="603">
        <f t="array" aca="1" ref="G136:R136" ca="1">B21:M21*Produção!$G$9</f>
        <v>0</v>
      </c>
      <c r="H136" s="603">
        <f ca="1"/>
        <v>0</v>
      </c>
      <c r="I136" s="603">
        <f ca="1"/>
        <v>0</v>
      </c>
      <c r="J136" s="603">
        <f ca="1"/>
        <v>0</v>
      </c>
      <c r="K136" s="603">
        <f ca="1"/>
        <v>0</v>
      </c>
      <c r="L136" s="603">
        <f ca="1"/>
        <v>0</v>
      </c>
      <c r="M136" s="603">
        <f ca="1"/>
        <v>0</v>
      </c>
      <c r="N136" s="603">
        <f ca="1"/>
        <v>0</v>
      </c>
      <c r="O136" s="603">
        <f ca="1"/>
        <v>0</v>
      </c>
      <c r="P136" s="603">
        <f ca="1"/>
        <v>0</v>
      </c>
      <c r="Q136" s="603">
        <f ca="1"/>
        <v>0</v>
      </c>
      <c r="R136" s="603">
        <f ca="1"/>
        <v>0</v>
      </c>
      <c r="S136" s="1992">
        <f t="array" aca="1" ref="S136:S141" ca="1">'Distr CV 5'!G136:G141</f>
        <v>0</v>
      </c>
      <c r="T136" s="1992">
        <f ca="1"/>
        <v>0</v>
      </c>
      <c r="U136" s="1992">
        <f ca="1"/>
        <v>0</v>
      </c>
      <c r="V136" s="1992">
        <f ca="1"/>
        <v>0</v>
      </c>
      <c r="W136" s="1992">
        <f ca="1"/>
        <v>0</v>
      </c>
      <c r="X136" s="1992">
        <f ca="1"/>
        <v>0</v>
      </c>
      <c r="Y136" s="2010">
        <f ca="1"/>
        <v>0</v>
      </c>
    </row>
    <row r="137" spans="1:25">
      <c r="A137" s="1995" t="str">
        <f>A$80</f>
        <v>8 meses antes</v>
      </c>
      <c r="B137" s="1991"/>
      <c r="C137" s="1991"/>
      <c r="D137" s="1991"/>
      <c r="E137" s="1991"/>
      <c r="F137" s="603">
        <f t="array" aca="1" ref="F137:Q137" ca="1">B21:M21*Produção!$F$9</f>
        <v>0</v>
      </c>
      <c r="G137" s="603">
        <f ca="1"/>
        <v>0</v>
      </c>
      <c r="H137" s="603">
        <f ca="1"/>
        <v>0</v>
      </c>
      <c r="I137" s="603">
        <f ca="1"/>
        <v>0</v>
      </c>
      <c r="J137" s="603">
        <f ca="1"/>
        <v>0</v>
      </c>
      <c r="K137" s="603">
        <f ca="1"/>
        <v>0</v>
      </c>
      <c r="L137" s="603">
        <f ca="1"/>
        <v>0</v>
      </c>
      <c r="M137" s="603">
        <f ca="1"/>
        <v>0</v>
      </c>
      <c r="N137" s="603">
        <f ca="1"/>
        <v>0</v>
      </c>
      <c r="O137" s="603">
        <f ca="1"/>
        <v>0</v>
      </c>
      <c r="P137" s="603">
        <f ca="1"/>
        <v>0</v>
      </c>
      <c r="Q137" s="603">
        <f ca="1"/>
        <v>0</v>
      </c>
      <c r="R137" s="1992">
        <f t="array" aca="1" ref="R137:R141" ca="1">'Distr CV 5'!F137:F141</f>
        <v>0</v>
      </c>
      <c r="S137" s="1992">
        <f ca="1"/>
        <v>0</v>
      </c>
      <c r="T137" s="1992">
        <f ca="1"/>
        <v>0</v>
      </c>
      <c r="U137" s="1992">
        <f ca="1"/>
        <v>0</v>
      </c>
      <c r="V137" s="1992">
        <f ca="1"/>
        <v>0</v>
      </c>
      <c r="W137" s="1992">
        <f ca="1"/>
        <v>0</v>
      </c>
      <c r="X137" s="1992">
        <f ca="1"/>
        <v>0</v>
      </c>
      <c r="Y137" s="2010">
        <f ca="1"/>
        <v>0</v>
      </c>
    </row>
    <row r="138" spans="1:25">
      <c r="A138" s="1995" t="str">
        <f>A$81</f>
        <v>9 meses antes</v>
      </c>
      <c r="B138" s="1991"/>
      <c r="C138" s="1991"/>
      <c r="D138" s="1991"/>
      <c r="E138" s="603">
        <f t="array" aca="1" ref="E138:P138" ca="1">B21:M21*Produção!$E$9</f>
        <v>0</v>
      </c>
      <c r="F138" s="603">
        <f ca="1"/>
        <v>0</v>
      </c>
      <c r="G138" s="603">
        <f ca="1"/>
        <v>0</v>
      </c>
      <c r="H138" s="603">
        <f ca="1"/>
        <v>0</v>
      </c>
      <c r="I138" s="603">
        <f ca="1"/>
        <v>0</v>
      </c>
      <c r="J138" s="603">
        <f ca="1"/>
        <v>0</v>
      </c>
      <c r="K138" s="603">
        <f ca="1"/>
        <v>0</v>
      </c>
      <c r="L138" s="603">
        <f ca="1"/>
        <v>0</v>
      </c>
      <c r="M138" s="603">
        <f ca="1"/>
        <v>0</v>
      </c>
      <c r="N138" s="603">
        <f ca="1"/>
        <v>0</v>
      </c>
      <c r="O138" s="603">
        <f ca="1"/>
        <v>0</v>
      </c>
      <c r="P138" s="603">
        <f ca="1"/>
        <v>0</v>
      </c>
      <c r="Q138" s="1992">
        <f t="array" aca="1" ref="Q138:Q141" ca="1">'Distr CV 5'!E138:E141</f>
        <v>0</v>
      </c>
      <c r="R138" s="1992">
        <f ca="1"/>
        <v>0</v>
      </c>
      <c r="S138" s="1992">
        <f ca="1"/>
        <v>0</v>
      </c>
      <c r="T138" s="1992">
        <f ca="1"/>
        <v>0</v>
      </c>
      <c r="U138" s="1992">
        <f ca="1"/>
        <v>0</v>
      </c>
      <c r="V138" s="1992">
        <f ca="1"/>
        <v>0</v>
      </c>
      <c r="W138" s="1992">
        <f ca="1"/>
        <v>0</v>
      </c>
      <c r="X138" s="1992">
        <f ca="1"/>
        <v>0</v>
      </c>
      <c r="Y138" s="2010">
        <f ca="1"/>
        <v>0</v>
      </c>
    </row>
    <row r="139" spans="1:25">
      <c r="A139" s="1995" t="str">
        <f>A$82</f>
        <v>10 meses antes</v>
      </c>
      <c r="B139" s="1991"/>
      <c r="C139" s="1991"/>
      <c r="D139" s="603">
        <f t="array" aca="1" ref="D139:O139" ca="1">B21:M21*Produção!$D$9</f>
        <v>0</v>
      </c>
      <c r="E139" s="603">
        <f ca="1"/>
        <v>0</v>
      </c>
      <c r="F139" s="603">
        <f ca="1"/>
        <v>0</v>
      </c>
      <c r="G139" s="603">
        <f ca="1"/>
        <v>0</v>
      </c>
      <c r="H139" s="603">
        <f ca="1"/>
        <v>0</v>
      </c>
      <c r="I139" s="603">
        <f ca="1"/>
        <v>0</v>
      </c>
      <c r="J139" s="603">
        <f ca="1"/>
        <v>0</v>
      </c>
      <c r="K139" s="603">
        <f ca="1"/>
        <v>0</v>
      </c>
      <c r="L139" s="603">
        <f ca="1"/>
        <v>0</v>
      </c>
      <c r="M139" s="603">
        <f ca="1"/>
        <v>0</v>
      </c>
      <c r="N139" s="603">
        <f ca="1"/>
        <v>0</v>
      </c>
      <c r="O139" s="603">
        <f ca="1"/>
        <v>0</v>
      </c>
      <c r="P139" s="1992">
        <f t="array" aca="1" ref="P139:P141" ca="1">'Distr CV 5'!D139:D141</f>
        <v>0</v>
      </c>
      <c r="Q139" s="1992">
        <f ca="1"/>
        <v>0</v>
      </c>
      <c r="R139" s="1992">
        <f ca="1"/>
        <v>0</v>
      </c>
      <c r="S139" s="1992">
        <f ca="1"/>
        <v>0</v>
      </c>
      <c r="T139" s="1992">
        <f ca="1"/>
        <v>0</v>
      </c>
      <c r="U139" s="1992">
        <f ca="1"/>
        <v>0</v>
      </c>
      <c r="V139" s="1992">
        <f ca="1"/>
        <v>0</v>
      </c>
      <c r="W139" s="1992">
        <f ca="1"/>
        <v>0</v>
      </c>
      <c r="X139" s="1992">
        <f ca="1"/>
        <v>0</v>
      </c>
      <c r="Y139" s="2010">
        <f ca="1"/>
        <v>0</v>
      </c>
    </row>
    <row r="140" spans="1:25">
      <c r="A140" s="1995" t="str">
        <f>A$83</f>
        <v>11 meses antes</v>
      </c>
      <c r="B140" s="1991"/>
      <c r="C140" s="603">
        <f t="array" aca="1" ref="C140:N140" ca="1">B21:M21*Produção!$C$9</f>
        <v>0</v>
      </c>
      <c r="D140" s="603">
        <f ca="1"/>
        <v>0</v>
      </c>
      <c r="E140" s="603">
        <f ca="1"/>
        <v>0</v>
      </c>
      <c r="F140" s="603">
        <f ca="1"/>
        <v>0</v>
      </c>
      <c r="G140" s="603">
        <f ca="1"/>
        <v>0</v>
      </c>
      <c r="H140" s="603">
        <f ca="1"/>
        <v>0</v>
      </c>
      <c r="I140" s="603">
        <f ca="1"/>
        <v>0</v>
      </c>
      <c r="J140" s="603">
        <f ca="1"/>
        <v>0</v>
      </c>
      <c r="K140" s="603">
        <f ca="1"/>
        <v>0</v>
      </c>
      <c r="L140" s="603">
        <f ca="1"/>
        <v>0</v>
      </c>
      <c r="M140" s="603">
        <f ca="1"/>
        <v>0</v>
      </c>
      <c r="N140" s="603">
        <f ca="1"/>
        <v>0</v>
      </c>
      <c r="O140" s="1992">
        <f ca="1">'Distr CV 5'!C140</f>
        <v>0</v>
      </c>
      <c r="P140" s="1992">
        <f ca="1"/>
        <v>0</v>
      </c>
      <c r="Q140" s="1992">
        <f ca="1"/>
        <v>0</v>
      </c>
      <c r="R140" s="1992">
        <f ca="1"/>
        <v>0</v>
      </c>
      <c r="S140" s="1992">
        <f ca="1"/>
        <v>0</v>
      </c>
      <c r="T140" s="1992">
        <f ca="1"/>
        <v>0</v>
      </c>
      <c r="U140" s="1992">
        <f ca="1"/>
        <v>0</v>
      </c>
      <c r="V140" s="1992">
        <f ca="1"/>
        <v>0</v>
      </c>
      <c r="W140" s="1992">
        <f ca="1"/>
        <v>0</v>
      </c>
      <c r="X140" s="1992">
        <f ca="1"/>
        <v>0</v>
      </c>
      <c r="Y140" s="2010">
        <f ca="1"/>
        <v>0</v>
      </c>
    </row>
    <row r="141" spans="1:25" ht="13.5" thickBot="1">
      <c r="A141" s="1995" t="str">
        <f>A$84</f>
        <v>12 meses antes</v>
      </c>
      <c r="B141" s="603">
        <f t="array" aca="1" ref="B141:M141" ca="1">B21:M21*Produção!$B$9</f>
        <v>0</v>
      </c>
      <c r="C141" s="603">
        <f ca="1"/>
        <v>0</v>
      </c>
      <c r="D141" s="603">
        <f ca="1"/>
        <v>0</v>
      </c>
      <c r="E141" s="603">
        <f ca="1"/>
        <v>0</v>
      </c>
      <c r="F141" s="603">
        <f ca="1"/>
        <v>0</v>
      </c>
      <c r="G141" s="603">
        <f ca="1"/>
        <v>0</v>
      </c>
      <c r="H141" s="603">
        <f ca="1"/>
        <v>0</v>
      </c>
      <c r="I141" s="603">
        <f ca="1"/>
        <v>0</v>
      </c>
      <c r="J141" s="603">
        <f ca="1"/>
        <v>0</v>
      </c>
      <c r="K141" s="603">
        <f ca="1"/>
        <v>0</v>
      </c>
      <c r="L141" s="603">
        <f ca="1"/>
        <v>0</v>
      </c>
      <c r="M141" s="603">
        <f ca="1"/>
        <v>0</v>
      </c>
      <c r="N141" s="1991">
        <f ca="1">'Distr CV 5'!B141</f>
        <v>0</v>
      </c>
      <c r="O141" s="1992">
        <f ca="1">'Distr CV 5'!C141</f>
        <v>0</v>
      </c>
      <c r="P141" s="1992">
        <f ca="1"/>
        <v>0</v>
      </c>
      <c r="Q141" s="1992">
        <f ca="1"/>
        <v>0</v>
      </c>
      <c r="R141" s="1992">
        <f ca="1"/>
        <v>0</v>
      </c>
      <c r="S141" s="1992">
        <f ca="1"/>
        <v>0</v>
      </c>
      <c r="T141" s="1992">
        <f ca="1"/>
        <v>0</v>
      </c>
      <c r="U141" s="1992">
        <f ca="1"/>
        <v>0</v>
      </c>
      <c r="V141" s="1992">
        <f ca="1"/>
        <v>0</v>
      </c>
      <c r="W141" s="1992">
        <f ca="1"/>
        <v>0</v>
      </c>
      <c r="X141" s="1992">
        <f ca="1"/>
        <v>0</v>
      </c>
      <c r="Y141" s="2010">
        <f ca="1"/>
        <v>0</v>
      </c>
    </row>
    <row r="142" spans="1:25" ht="13.5" thickBot="1">
      <c r="A142" s="105" t="str">
        <f>"Totales CV "&amp;A$9</f>
        <v xml:space="preserve">Totales CV </v>
      </c>
      <c r="B142" s="607">
        <f t="shared" ref="B142:Y142" ca="1" si="12">SUM(B129:B141)</f>
        <v>0</v>
      </c>
      <c r="C142" s="607">
        <f t="shared" ca="1" si="12"/>
        <v>0</v>
      </c>
      <c r="D142" s="607">
        <f t="shared" ca="1" si="12"/>
        <v>0</v>
      </c>
      <c r="E142" s="607">
        <f t="shared" ca="1" si="12"/>
        <v>0</v>
      </c>
      <c r="F142" s="607">
        <f t="shared" ca="1" si="12"/>
        <v>0</v>
      </c>
      <c r="G142" s="607">
        <f t="shared" ca="1" si="12"/>
        <v>0</v>
      </c>
      <c r="H142" s="607">
        <f t="shared" ca="1" si="12"/>
        <v>0</v>
      </c>
      <c r="I142" s="607">
        <f t="shared" ca="1" si="12"/>
        <v>0</v>
      </c>
      <c r="J142" s="607">
        <f t="shared" ca="1" si="12"/>
        <v>0</v>
      </c>
      <c r="K142" s="607">
        <f t="shared" ca="1" si="12"/>
        <v>0</v>
      </c>
      <c r="L142" s="607">
        <f t="shared" ca="1" si="12"/>
        <v>0</v>
      </c>
      <c r="M142" s="607">
        <f t="shared" ca="1" si="12"/>
        <v>0</v>
      </c>
      <c r="N142" s="607">
        <f t="shared" ca="1" si="12"/>
        <v>0</v>
      </c>
      <c r="O142" s="607">
        <f t="shared" ca="1" si="12"/>
        <v>0</v>
      </c>
      <c r="P142" s="607">
        <f t="shared" ca="1" si="12"/>
        <v>0</v>
      </c>
      <c r="Q142" s="607">
        <f t="shared" ca="1" si="12"/>
        <v>0</v>
      </c>
      <c r="R142" s="607">
        <f t="shared" ca="1" si="12"/>
        <v>0</v>
      </c>
      <c r="S142" s="607">
        <f t="shared" ca="1" si="12"/>
        <v>0</v>
      </c>
      <c r="T142" s="607">
        <f t="shared" ca="1" si="12"/>
        <v>0</v>
      </c>
      <c r="U142" s="607">
        <f t="shared" ca="1" si="12"/>
        <v>0</v>
      </c>
      <c r="V142" s="607">
        <f t="shared" ca="1" si="12"/>
        <v>0</v>
      </c>
      <c r="W142" s="607">
        <f t="shared" ca="1" si="12"/>
        <v>0</v>
      </c>
      <c r="X142" s="607">
        <f t="shared" ca="1" si="12"/>
        <v>0</v>
      </c>
      <c r="Y142" s="2008">
        <f t="shared" ca="1" si="12"/>
        <v>0</v>
      </c>
    </row>
    <row r="143" spans="1:25" ht="13.5" thickBot="1">
      <c r="A143" s="105" t="str">
        <f>'Dados Básicos'!A28&amp;" sop. CV "&amp;$A$9</f>
        <v xml:space="preserve">IVA sop. CV </v>
      </c>
      <c r="B143" s="607">
        <f t="array" aca="1" ref="B143:Y143" ca="1">$K$127*B142:Y142</f>
        <v>0</v>
      </c>
      <c r="C143" s="607">
        <f ca="1"/>
        <v>0</v>
      </c>
      <c r="D143" s="607">
        <f ca="1"/>
        <v>0</v>
      </c>
      <c r="E143" s="607">
        <f ca="1"/>
        <v>0</v>
      </c>
      <c r="F143" s="607">
        <f ca="1"/>
        <v>0</v>
      </c>
      <c r="G143" s="607">
        <f ca="1"/>
        <v>0</v>
      </c>
      <c r="H143" s="607">
        <f ca="1"/>
        <v>0</v>
      </c>
      <c r="I143" s="607">
        <f ca="1"/>
        <v>0</v>
      </c>
      <c r="J143" s="607">
        <f ca="1"/>
        <v>0</v>
      </c>
      <c r="K143" s="607">
        <f ca="1"/>
        <v>0</v>
      </c>
      <c r="L143" s="607">
        <f ca="1"/>
        <v>0</v>
      </c>
      <c r="M143" s="607">
        <f ca="1"/>
        <v>0</v>
      </c>
      <c r="N143" s="607">
        <f ca="1"/>
        <v>0</v>
      </c>
      <c r="O143" s="607">
        <f ca="1"/>
        <v>0</v>
      </c>
      <c r="P143" s="607">
        <f ca="1"/>
        <v>0</v>
      </c>
      <c r="Q143" s="607">
        <f ca="1"/>
        <v>0</v>
      </c>
      <c r="R143" s="607">
        <f ca="1"/>
        <v>0</v>
      </c>
      <c r="S143" s="607">
        <f ca="1"/>
        <v>0</v>
      </c>
      <c r="T143" s="607">
        <f ca="1"/>
        <v>0</v>
      </c>
      <c r="U143" s="607">
        <f ca="1"/>
        <v>0</v>
      </c>
      <c r="V143" s="607">
        <f ca="1"/>
        <v>0</v>
      </c>
      <c r="W143" s="607">
        <f ca="1"/>
        <v>0</v>
      </c>
      <c r="X143" s="607">
        <f ca="1"/>
        <v>0</v>
      </c>
      <c r="Y143" s="2008">
        <f ca="1"/>
        <v>0</v>
      </c>
    </row>
    <row r="145" spans="1:25" ht="18.75" thickBot="1">
      <c r="A145" s="1993" t="str">
        <f>'Distr CV 0'!A145</f>
        <v xml:space="preserve">Compras / custos de producción por meses de </v>
      </c>
      <c r="I145" s="1993" t="str">
        <f>$I$109</f>
        <v>IVA NÃO incluido</v>
      </c>
      <c r="K145" s="2005">
        <f>Parametros!$F$26</f>
        <v>0.21</v>
      </c>
    </row>
    <row r="146" spans="1:25" ht="30" customHeight="1" thickBot="1">
      <c r="A146" s="457" t="str">
        <f>'Distr CV 0'!A146</f>
        <v>mes de compra / custo</v>
      </c>
      <c r="B146" s="2011" t="str">
        <f t="array" ref="B146:Y146">B$71:Y$71</f>
        <v>janeiro 
2029</v>
      </c>
      <c r="C146" s="2011" t="str">
        <v>fevereiro 
2029</v>
      </c>
      <c r="D146" s="2011" t="str">
        <v>março 
2029</v>
      </c>
      <c r="E146" s="2011" t="str">
        <v>abril 
2029</v>
      </c>
      <c r="F146" s="2011" t="str">
        <v>maio 
2029</v>
      </c>
      <c r="G146" s="2011" t="str">
        <v>junho 
2029</v>
      </c>
      <c r="H146" s="2011" t="str">
        <v>julho 
2029</v>
      </c>
      <c r="I146" s="2011" t="str">
        <v>agosto 
2029</v>
      </c>
      <c r="J146" s="2011" t="str">
        <v>setembro 
2029</v>
      </c>
      <c r="K146" s="2011" t="str">
        <v>outubro 
2029</v>
      </c>
      <c r="L146" s="2011" t="str">
        <v>novembro 
2029</v>
      </c>
      <c r="M146" s="2011" t="str">
        <v>dezembro 
2029</v>
      </c>
      <c r="N146" s="2734" t="str">
        <v>janeiro 
2030</v>
      </c>
      <c r="O146" s="2735" t="str">
        <v>fevereiro 
2030</v>
      </c>
      <c r="P146" s="2735" t="str">
        <v>março 
2030</v>
      </c>
      <c r="Q146" s="2735" t="str">
        <v>abril 
2030</v>
      </c>
      <c r="R146" s="2735" t="str">
        <v>maio 
2030</v>
      </c>
      <c r="S146" s="2735" t="str">
        <v>junho 
2030</v>
      </c>
      <c r="T146" s="2735" t="str">
        <v>julho 
2030</v>
      </c>
      <c r="U146" s="2735" t="str">
        <v>agosto 
2030</v>
      </c>
      <c r="V146" s="2735" t="str">
        <v>setembro 
2030</v>
      </c>
      <c r="W146" s="2735" t="str">
        <v>outubro 
2030</v>
      </c>
      <c r="X146" s="2735" t="str">
        <v>novembro 
2030</v>
      </c>
      <c r="Y146" s="2736" t="str">
        <v>dezembro 
2030</v>
      </c>
    </row>
    <row r="147" spans="1:25">
      <c r="A147" s="1994" t="str">
        <f>A$72</f>
        <v>mismo mes</v>
      </c>
      <c r="B147" s="1991"/>
      <c r="C147" s="1991"/>
      <c r="D147" s="1991"/>
      <c r="E147" s="1991"/>
      <c r="F147" s="1991"/>
      <c r="G147" s="1991"/>
      <c r="H147" s="1991"/>
      <c r="I147" s="1991"/>
      <c r="J147" s="1991"/>
      <c r="K147" s="1991"/>
      <c r="L147" s="1991"/>
      <c r="M147" s="1991"/>
      <c r="N147" s="603">
        <f t="array" aca="1" ref="N147:Y147" ca="1">B22:M22*Produção!$N$10</f>
        <v>0</v>
      </c>
      <c r="O147" s="603">
        <f ca="1"/>
        <v>0</v>
      </c>
      <c r="P147" s="603">
        <f ca="1"/>
        <v>0</v>
      </c>
      <c r="Q147" s="603">
        <f ca="1"/>
        <v>0</v>
      </c>
      <c r="R147" s="603">
        <f ca="1"/>
        <v>0</v>
      </c>
      <c r="S147" s="603">
        <f ca="1"/>
        <v>0</v>
      </c>
      <c r="T147" s="603">
        <f ca="1"/>
        <v>0</v>
      </c>
      <c r="U147" s="603">
        <f ca="1"/>
        <v>0</v>
      </c>
      <c r="V147" s="603">
        <f ca="1"/>
        <v>0</v>
      </c>
      <c r="W147" s="603">
        <f ca="1"/>
        <v>0</v>
      </c>
      <c r="X147" s="603">
        <f ca="1"/>
        <v>0</v>
      </c>
      <c r="Y147" s="2006">
        <f ca="1"/>
        <v>0</v>
      </c>
    </row>
    <row r="148" spans="1:25">
      <c r="A148" s="1995" t="str">
        <f>A$73</f>
        <v>1 mes antes</v>
      </c>
      <c r="B148" s="1991"/>
      <c r="C148" s="1991"/>
      <c r="D148" s="1991"/>
      <c r="E148" s="1991"/>
      <c r="F148" s="1991"/>
      <c r="G148" s="1991"/>
      <c r="H148" s="1991"/>
      <c r="I148" s="1991"/>
      <c r="J148" s="1991"/>
      <c r="K148" s="1991"/>
      <c r="L148" s="1991"/>
      <c r="M148" s="603">
        <f t="array" aca="1" ref="M148:X148" ca="1">B22:M22*Produção!$M$10</f>
        <v>0</v>
      </c>
      <c r="N148" s="603">
        <f ca="1"/>
        <v>0</v>
      </c>
      <c r="O148" s="603">
        <f ca="1"/>
        <v>0</v>
      </c>
      <c r="P148" s="603">
        <f ca="1"/>
        <v>0</v>
      </c>
      <c r="Q148" s="603">
        <f ca="1"/>
        <v>0</v>
      </c>
      <c r="R148" s="603">
        <f ca="1"/>
        <v>0</v>
      </c>
      <c r="S148" s="603">
        <f ca="1"/>
        <v>0</v>
      </c>
      <c r="T148" s="603">
        <f ca="1"/>
        <v>0</v>
      </c>
      <c r="U148" s="603">
        <f ca="1"/>
        <v>0</v>
      </c>
      <c r="V148" s="603">
        <f ca="1"/>
        <v>0</v>
      </c>
      <c r="W148" s="603">
        <f ca="1"/>
        <v>0</v>
      </c>
      <c r="X148" s="603">
        <f ca="1"/>
        <v>0</v>
      </c>
      <c r="Y148" s="2007">
        <f t="array" aca="1" ref="Y148:Y159" ca="1">'Distr CV 5'!M148:M159</f>
        <v>0</v>
      </c>
    </row>
    <row r="149" spans="1:25">
      <c r="A149" s="1995" t="str">
        <f>A$74</f>
        <v>2 meses antes</v>
      </c>
      <c r="B149" s="1991"/>
      <c r="C149" s="1991"/>
      <c r="D149" s="1991"/>
      <c r="E149" s="1991"/>
      <c r="F149" s="1991"/>
      <c r="G149" s="1991"/>
      <c r="H149" s="1991"/>
      <c r="I149" s="1991"/>
      <c r="J149" s="1991"/>
      <c r="K149" s="1991"/>
      <c r="L149" s="603">
        <f t="array" aca="1" ref="L149:W149" ca="1">B22:M22*Produção!$L$10</f>
        <v>0</v>
      </c>
      <c r="M149" s="603">
        <f ca="1"/>
        <v>0</v>
      </c>
      <c r="N149" s="603">
        <f ca="1"/>
        <v>0</v>
      </c>
      <c r="O149" s="603">
        <f ca="1"/>
        <v>0</v>
      </c>
      <c r="P149" s="603">
        <f ca="1"/>
        <v>0</v>
      </c>
      <c r="Q149" s="603">
        <f ca="1"/>
        <v>0</v>
      </c>
      <c r="R149" s="603">
        <f ca="1"/>
        <v>0</v>
      </c>
      <c r="S149" s="603">
        <f ca="1"/>
        <v>0</v>
      </c>
      <c r="T149" s="603">
        <f ca="1"/>
        <v>0</v>
      </c>
      <c r="U149" s="603">
        <f ca="1"/>
        <v>0</v>
      </c>
      <c r="V149" s="603">
        <f ca="1"/>
        <v>0</v>
      </c>
      <c r="W149" s="603">
        <f ca="1"/>
        <v>0</v>
      </c>
      <c r="X149" s="1988">
        <f t="array" aca="1" ref="X149:X159" ca="1">'Distr CV 5'!L149:L159</f>
        <v>0</v>
      </c>
      <c r="Y149" s="2007">
        <f ca="1"/>
        <v>0</v>
      </c>
    </row>
    <row r="150" spans="1:25">
      <c r="A150" s="1995" t="str">
        <f>A$75</f>
        <v>3 meses antes</v>
      </c>
      <c r="B150" s="1991"/>
      <c r="C150" s="1991"/>
      <c r="D150" s="1991"/>
      <c r="E150" s="1991"/>
      <c r="F150" s="1991"/>
      <c r="G150" s="1991"/>
      <c r="H150" s="1991"/>
      <c r="I150" s="1991"/>
      <c r="J150" s="1991"/>
      <c r="K150" s="603">
        <f t="array" aca="1" ref="K150:V150" ca="1">B22:M22*Produção!$K$10</f>
        <v>0</v>
      </c>
      <c r="L150" s="603">
        <f ca="1"/>
        <v>0</v>
      </c>
      <c r="M150" s="603">
        <f ca="1"/>
        <v>0</v>
      </c>
      <c r="N150" s="603">
        <f ca="1"/>
        <v>0</v>
      </c>
      <c r="O150" s="603">
        <f ca="1"/>
        <v>0</v>
      </c>
      <c r="P150" s="603">
        <f ca="1"/>
        <v>0</v>
      </c>
      <c r="Q150" s="603">
        <f ca="1"/>
        <v>0</v>
      </c>
      <c r="R150" s="603">
        <f ca="1"/>
        <v>0</v>
      </c>
      <c r="S150" s="603">
        <f ca="1"/>
        <v>0</v>
      </c>
      <c r="T150" s="603">
        <f ca="1"/>
        <v>0</v>
      </c>
      <c r="U150" s="603">
        <f ca="1"/>
        <v>0</v>
      </c>
      <c r="V150" s="603">
        <f ca="1"/>
        <v>0</v>
      </c>
      <c r="W150" s="1988">
        <f t="array" aca="1" ref="W150:W159" ca="1">'Distr CV 5'!K150:K159</f>
        <v>0</v>
      </c>
      <c r="X150" s="1988">
        <f ca="1"/>
        <v>0</v>
      </c>
      <c r="Y150" s="2007">
        <f ca="1"/>
        <v>0</v>
      </c>
    </row>
    <row r="151" spans="1:25">
      <c r="A151" s="1995" t="str">
        <f>A$76</f>
        <v>4 meses antes</v>
      </c>
      <c r="B151" s="1991"/>
      <c r="C151" s="1991"/>
      <c r="D151" s="1991"/>
      <c r="E151" s="1991"/>
      <c r="F151" s="1991"/>
      <c r="G151" s="1991"/>
      <c r="H151" s="1991"/>
      <c r="I151" s="1991"/>
      <c r="J151" s="603">
        <f t="array" aca="1" ref="J151:U151" ca="1">B22:M22*Produção!$J$10</f>
        <v>0</v>
      </c>
      <c r="K151" s="603">
        <f ca="1"/>
        <v>0</v>
      </c>
      <c r="L151" s="603">
        <f ca="1"/>
        <v>0</v>
      </c>
      <c r="M151" s="603">
        <f ca="1"/>
        <v>0</v>
      </c>
      <c r="N151" s="603">
        <f ca="1"/>
        <v>0</v>
      </c>
      <c r="O151" s="603">
        <f ca="1"/>
        <v>0</v>
      </c>
      <c r="P151" s="603">
        <f ca="1"/>
        <v>0</v>
      </c>
      <c r="Q151" s="603">
        <f ca="1"/>
        <v>0</v>
      </c>
      <c r="R151" s="603">
        <f ca="1"/>
        <v>0</v>
      </c>
      <c r="S151" s="603">
        <f ca="1"/>
        <v>0</v>
      </c>
      <c r="T151" s="603">
        <f ca="1"/>
        <v>0</v>
      </c>
      <c r="U151" s="603">
        <f ca="1"/>
        <v>0</v>
      </c>
      <c r="V151" s="1988">
        <f t="array" aca="1" ref="V151:V159" ca="1">'Distr CV 5'!J151:J159</f>
        <v>0</v>
      </c>
      <c r="W151" s="1988">
        <f ca="1"/>
        <v>0</v>
      </c>
      <c r="X151" s="1988">
        <f ca="1"/>
        <v>0</v>
      </c>
      <c r="Y151" s="2007">
        <f ca="1"/>
        <v>0</v>
      </c>
    </row>
    <row r="152" spans="1:25">
      <c r="A152" s="1995" t="str">
        <f>A$77</f>
        <v>5 meses antes</v>
      </c>
      <c r="B152" s="1991"/>
      <c r="C152" s="1991"/>
      <c r="D152" s="1991"/>
      <c r="E152" s="1991"/>
      <c r="F152" s="1991"/>
      <c r="G152" s="1991"/>
      <c r="H152" s="1991"/>
      <c r="I152" s="603">
        <f t="array" aca="1" ref="I152:T152" ca="1">B22:M22*Produção!$I$10</f>
        <v>0</v>
      </c>
      <c r="J152" s="603">
        <f ca="1"/>
        <v>0</v>
      </c>
      <c r="K152" s="603">
        <f ca="1"/>
        <v>0</v>
      </c>
      <c r="L152" s="603">
        <f ca="1"/>
        <v>0</v>
      </c>
      <c r="M152" s="603">
        <f ca="1"/>
        <v>0</v>
      </c>
      <c r="N152" s="603">
        <f ca="1"/>
        <v>0</v>
      </c>
      <c r="O152" s="603">
        <f ca="1"/>
        <v>0</v>
      </c>
      <c r="P152" s="603">
        <f ca="1"/>
        <v>0</v>
      </c>
      <c r="Q152" s="603">
        <f ca="1"/>
        <v>0</v>
      </c>
      <c r="R152" s="603">
        <f ca="1"/>
        <v>0</v>
      </c>
      <c r="S152" s="603">
        <f ca="1"/>
        <v>0</v>
      </c>
      <c r="T152" s="603">
        <f ca="1"/>
        <v>0</v>
      </c>
      <c r="U152" s="1988">
        <f t="array" aca="1" ref="U152:U159" ca="1">'Distr CV 5'!I152:I159</f>
        <v>0</v>
      </c>
      <c r="V152" s="1988">
        <f ca="1"/>
        <v>0</v>
      </c>
      <c r="W152" s="1988">
        <f ca="1"/>
        <v>0</v>
      </c>
      <c r="X152" s="1988">
        <f ca="1"/>
        <v>0</v>
      </c>
      <c r="Y152" s="2007">
        <f ca="1"/>
        <v>0</v>
      </c>
    </row>
    <row r="153" spans="1:25">
      <c r="A153" s="1995" t="str">
        <f>A$78</f>
        <v>6 meses antes</v>
      </c>
      <c r="B153" s="1991"/>
      <c r="C153" s="1991"/>
      <c r="D153" s="1991"/>
      <c r="E153" s="1991"/>
      <c r="F153" s="1991"/>
      <c r="G153" s="1991"/>
      <c r="H153" s="603">
        <f t="array" aca="1" ref="H153:S153" ca="1">B22:M22*Produção!$H$10</f>
        <v>0</v>
      </c>
      <c r="I153" s="603">
        <f ca="1"/>
        <v>0</v>
      </c>
      <c r="J153" s="603">
        <f ca="1"/>
        <v>0</v>
      </c>
      <c r="K153" s="603">
        <f ca="1"/>
        <v>0</v>
      </c>
      <c r="L153" s="603">
        <f ca="1"/>
        <v>0</v>
      </c>
      <c r="M153" s="603">
        <f ca="1"/>
        <v>0</v>
      </c>
      <c r="N153" s="603">
        <f ca="1"/>
        <v>0</v>
      </c>
      <c r="O153" s="603">
        <f ca="1"/>
        <v>0</v>
      </c>
      <c r="P153" s="603">
        <f ca="1"/>
        <v>0</v>
      </c>
      <c r="Q153" s="603">
        <f ca="1"/>
        <v>0</v>
      </c>
      <c r="R153" s="603">
        <f ca="1"/>
        <v>0</v>
      </c>
      <c r="S153" s="603">
        <f ca="1"/>
        <v>0</v>
      </c>
      <c r="T153" s="1988">
        <f t="array" aca="1" ref="T153:T159" ca="1">'Distr CV 5'!H153:H159</f>
        <v>0</v>
      </c>
      <c r="U153" s="1988">
        <f ca="1"/>
        <v>0</v>
      </c>
      <c r="V153" s="1988">
        <f ca="1"/>
        <v>0</v>
      </c>
      <c r="W153" s="1988">
        <f ca="1"/>
        <v>0</v>
      </c>
      <c r="X153" s="1988">
        <f ca="1"/>
        <v>0</v>
      </c>
      <c r="Y153" s="2007">
        <f ca="1"/>
        <v>0</v>
      </c>
    </row>
    <row r="154" spans="1:25">
      <c r="A154" s="1995" t="str">
        <f>A$79</f>
        <v>7 meses antes</v>
      </c>
      <c r="B154" s="1991"/>
      <c r="C154" s="1991"/>
      <c r="D154" s="1991"/>
      <c r="E154" s="1991"/>
      <c r="F154" s="1991"/>
      <c r="G154" s="603">
        <f t="array" aca="1" ref="G154:R154" ca="1">B22:M22*Produção!$G$10</f>
        <v>0</v>
      </c>
      <c r="H154" s="603">
        <f ca="1"/>
        <v>0</v>
      </c>
      <c r="I154" s="603">
        <f ca="1"/>
        <v>0</v>
      </c>
      <c r="J154" s="603">
        <f ca="1"/>
        <v>0</v>
      </c>
      <c r="K154" s="603">
        <f ca="1"/>
        <v>0</v>
      </c>
      <c r="L154" s="603">
        <f ca="1"/>
        <v>0</v>
      </c>
      <c r="M154" s="603">
        <f ca="1"/>
        <v>0</v>
      </c>
      <c r="N154" s="603">
        <f ca="1"/>
        <v>0</v>
      </c>
      <c r="O154" s="603">
        <f ca="1"/>
        <v>0</v>
      </c>
      <c r="P154" s="603">
        <f ca="1"/>
        <v>0</v>
      </c>
      <c r="Q154" s="603">
        <f ca="1"/>
        <v>0</v>
      </c>
      <c r="R154" s="603">
        <f ca="1"/>
        <v>0</v>
      </c>
      <c r="S154" s="1992">
        <f t="array" aca="1" ref="S154:S159" ca="1">'Distr CV 5'!G154:G159</f>
        <v>0</v>
      </c>
      <c r="T154" s="1992">
        <f ca="1"/>
        <v>0</v>
      </c>
      <c r="U154" s="1992">
        <f ca="1"/>
        <v>0</v>
      </c>
      <c r="V154" s="1992">
        <f ca="1"/>
        <v>0</v>
      </c>
      <c r="W154" s="1992">
        <f ca="1"/>
        <v>0</v>
      </c>
      <c r="X154" s="1992">
        <f ca="1"/>
        <v>0</v>
      </c>
      <c r="Y154" s="2010">
        <f ca="1"/>
        <v>0</v>
      </c>
    </row>
    <row r="155" spans="1:25">
      <c r="A155" s="1995" t="str">
        <f>A$80</f>
        <v>8 meses antes</v>
      </c>
      <c r="B155" s="1991"/>
      <c r="C155" s="1991"/>
      <c r="D155" s="1991"/>
      <c r="E155" s="1991"/>
      <c r="F155" s="603">
        <f t="array" aca="1" ref="F155:Q155" ca="1">B22:M22*Produção!$F$10</f>
        <v>0</v>
      </c>
      <c r="G155" s="603">
        <f ca="1"/>
        <v>0</v>
      </c>
      <c r="H155" s="603">
        <f ca="1"/>
        <v>0</v>
      </c>
      <c r="I155" s="603">
        <f ca="1"/>
        <v>0</v>
      </c>
      <c r="J155" s="603">
        <f ca="1"/>
        <v>0</v>
      </c>
      <c r="K155" s="603">
        <f ca="1"/>
        <v>0</v>
      </c>
      <c r="L155" s="603">
        <f ca="1"/>
        <v>0</v>
      </c>
      <c r="M155" s="603">
        <f ca="1"/>
        <v>0</v>
      </c>
      <c r="N155" s="603">
        <f ca="1"/>
        <v>0</v>
      </c>
      <c r="O155" s="603">
        <f ca="1"/>
        <v>0</v>
      </c>
      <c r="P155" s="603">
        <f ca="1"/>
        <v>0</v>
      </c>
      <c r="Q155" s="603">
        <f ca="1"/>
        <v>0</v>
      </c>
      <c r="R155" s="1992">
        <f t="array" aca="1" ref="R155:R159" ca="1">'Distr CV 5'!F155:F159</f>
        <v>0</v>
      </c>
      <c r="S155" s="1992">
        <f ca="1"/>
        <v>0</v>
      </c>
      <c r="T155" s="1992">
        <f ca="1"/>
        <v>0</v>
      </c>
      <c r="U155" s="1992">
        <f ca="1"/>
        <v>0</v>
      </c>
      <c r="V155" s="1992">
        <f ca="1"/>
        <v>0</v>
      </c>
      <c r="W155" s="1992">
        <f ca="1"/>
        <v>0</v>
      </c>
      <c r="X155" s="1992">
        <f ca="1"/>
        <v>0</v>
      </c>
      <c r="Y155" s="2010">
        <f ca="1"/>
        <v>0</v>
      </c>
    </row>
    <row r="156" spans="1:25">
      <c r="A156" s="1995" t="str">
        <f>A$81</f>
        <v>9 meses antes</v>
      </c>
      <c r="B156" s="1991"/>
      <c r="C156" s="1991"/>
      <c r="D156" s="1991"/>
      <c r="E156" s="603">
        <f t="array" aca="1" ref="E156:P156" ca="1">B22:M22*Produção!$E$10</f>
        <v>0</v>
      </c>
      <c r="F156" s="603">
        <f ca="1"/>
        <v>0</v>
      </c>
      <c r="G156" s="603">
        <f ca="1"/>
        <v>0</v>
      </c>
      <c r="H156" s="603">
        <f ca="1"/>
        <v>0</v>
      </c>
      <c r="I156" s="603">
        <f ca="1"/>
        <v>0</v>
      </c>
      <c r="J156" s="603">
        <f ca="1"/>
        <v>0</v>
      </c>
      <c r="K156" s="603">
        <f ca="1"/>
        <v>0</v>
      </c>
      <c r="L156" s="603">
        <f ca="1"/>
        <v>0</v>
      </c>
      <c r="M156" s="603">
        <f ca="1"/>
        <v>0</v>
      </c>
      <c r="N156" s="603">
        <f ca="1"/>
        <v>0</v>
      </c>
      <c r="O156" s="603">
        <f ca="1"/>
        <v>0</v>
      </c>
      <c r="P156" s="603">
        <f ca="1"/>
        <v>0</v>
      </c>
      <c r="Q156" s="1992">
        <f t="array" aca="1" ref="Q156:Q159" ca="1">'Distr CV 5'!E156:E159</f>
        <v>0</v>
      </c>
      <c r="R156" s="1992">
        <f ca="1"/>
        <v>0</v>
      </c>
      <c r="S156" s="1992">
        <f ca="1"/>
        <v>0</v>
      </c>
      <c r="T156" s="1992">
        <f ca="1"/>
        <v>0</v>
      </c>
      <c r="U156" s="1992">
        <f ca="1"/>
        <v>0</v>
      </c>
      <c r="V156" s="1992">
        <f ca="1"/>
        <v>0</v>
      </c>
      <c r="W156" s="1992">
        <f ca="1"/>
        <v>0</v>
      </c>
      <c r="X156" s="1992">
        <f ca="1"/>
        <v>0</v>
      </c>
      <c r="Y156" s="2010">
        <f ca="1"/>
        <v>0</v>
      </c>
    </row>
    <row r="157" spans="1:25">
      <c r="A157" s="1995" t="str">
        <f>A$82</f>
        <v>10 meses antes</v>
      </c>
      <c r="B157" s="1991"/>
      <c r="C157" s="1991"/>
      <c r="D157" s="603">
        <f t="array" aca="1" ref="D157:O157" ca="1">B22:M22*Produção!$D$10</f>
        <v>0</v>
      </c>
      <c r="E157" s="603">
        <f ca="1"/>
        <v>0</v>
      </c>
      <c r="F157" s="603">
        <f ca="1"/>
        <v>0</v>
      </c>
      <c r="G157" s="603">
        <f ca="1"/>
        <v>0</v>
      </c>
      <c r="H157" s="603">
        <f ca="1"/>
        <v>0</v>
      </c>
      <c r="I157" s="603">
        <f ca="1"/>
        <v>0</v>
      </c>
      <c r="J157" s="603">
        <f ca="1"/>
        <v>0</v>
      </c>
      <c r="K157" s="603">
        <f ca="1"/>
        <v>0</v>
      </c>
      <c r="L157" s="603">
        <f ca="1"/>
        <v>0</v>
      </c>
      <c r="M157" s="603">
        <f ca="1"/>
        <v>0</v>
      </c>
      <c r="N157" s="603">
        <f ca="1"/>
        <v>0</v>
      </c>
      <c r="O157" s="603">
        <f ca="1"/>
        <v>0</v>
      </c>
      <c r="P157" s="1992">
        <f t="array" aca="1" ref="P157:P159" ca="1">'Distr CV 5'!D157:D159</f>
        <v>0</v>
      </c>
      <c r="Q157" s="1992">
        <f ca="1"/>
        <v>0</v>
      </c>
      <c r="R157" s="1992">
        <f ca="1"/>
        <v>0</v>
      </c>
      <c r="S157" s="1992">
        <f ca="1"/>
        <v>0</v>
      </c>
      <c r="T157" s="1992">
        <f ca="1"/>
        <v>0</v>
      </c>
      <c r="U157" s="1992">
        <f ca="1"/>
        <v>0</v>
      </c>
      <c r="V157" s="1992">
        <f ca="1"/>
        <v>0</v>
      </c>
      <c r="W157" s="1992">
        <f ca="1"/>
        <v>0</v>
      </c>
      <c r="X157" s="1992">
        <f ca="1"/>
        <v>0</v>
      </c>
      <c r="Y157" s="2010">
        <f ca="1"/>
        <v>0</v>
      </c>
    </row>
    <row r="158" spans="1:25">
      <c r="A158" s="1995" t="str">
        <f>A$83</f>
        <v>11 meses antes</v>
      </c>
      <c r="B158" s="1991"/>
      <c r="C158" s="603">
        <f t="array" aca="1" ref="C158:N158" ca="1">B22:M22*Produção!$C$10</f>
        <v>0</v>
      </c>
      <c r="D158" s="603">
        <f ca="1"/>
        <v>0</v>
      </c>
      <c r="E158" s="603">
        <f ca="1"/>
        <v>0</v>
      </c>
      <c r="F158" s="603">
        <f ca="1"/>
        <v>0</v>
      </c>
      <c r="G158" s="603">
        <f ca="1"/>
        <v>0</v>
      </c>
      <c r="H158" s="603">
        <f ca="1"/>
        <v>0</v>
      </c>
      <c r="I158" s="603">
        <f ca="1"/>
        <v>0</v>
      </c>
      <c r="J158" s="603">
        <f ca="1"/>
        <v>0</v>
      </c>
      <c r="K158" s="603">
        <f ca="1"/>
        <v>0</v>
      </c>
      <c r="L158" s="603">
        <f ca="1"/>
        <v>0</v>
      </c>
      <c r="M158" s="603">
        <f ca="1"/>
        <v>0</v>
      </c>
      <c r="N158" s="603">
        <f ca="1"/>
        <v>0</v>
      </c>
      <c r="O158" s="1992">
        <f ca="1">'Distr CV 5'!C158</f>
        <v>0</v>
      </c>
      <c r="P158" s="1992">
        <f ca="1"/>
        <v>0</v>
      </c>
      <c r="Q158" s="1992">
        <f ca="1"/>
        <v>0</v>
      </c>
      <c r="R158" s="1992">
        <f ca="1"/>
        <v>0</v>
      </c>
      <c r="S158" s="1992">
        <f ca="1"/>
        <v>0</v>
      </c>
      <c r="T158" s="1992">
        <f ca="1"/>
        <v>0</v>
      </c>
      <c r="U158" s="1992">
        <f ca="1"/>
        <v>0</v>
      </c>
      <c r="V158" s="1992">
        <f ca="1"/>
        <v>0</v>
      </c>
      <c r="W158" s="1992">
        <f ca="1"/>
        <v>0</v>
      </c>
      <c r="X158" s="1992">
        <f ca="1"/>
        <v>0</v>
      </c>
      <c r="Y158" s="2010">
        <f ca="1"/>
        <v>0</v>
      </c>
    </row>
    <row r="159" spans="1:25" ht="13.5" thickBot="1">
      <c r="A159" s="1995" t="str">
        <f>A$84</f>
        <v>12 meses antes</v>
      </c>
      <c r="B159" s="603">
        <f t="array" aca="1" ref="B159:M159" ca="1">B22:M22*Produção!$B$10</f>
        <v>0</v>
      </c>
      <c r="C159" s="603">
        <f ca="1"/>
        <v>0</v>
      </c>
      <c r="D159" s="603">
        <f ca="1"/>
        <v>0</v>
      </c>
      <c r="E159" s="603">
        <f ca="1"/>
        <v>0</v>
      </c>
      <c r="F159" s="603">
        <f ca="1"/>
        <v>0</v>
      </c>
      <c r="G159" s="603">
        <f ca="1"/>
        <v>0</v>
      </c>
      <c r="H159" s="603">
        <f ca="1"/>
        <v>0</v>
      </c>
      <c r="I159" s="603">
        <f ca="1"/>
        <v>0</v>
      </c>
      <c r="J159" s="603">
        <f ca="1"/>
        <v>0</v>
      </c>
      <c r="K159" s="603">
        <f ca="1"/>
        <v>0</v>
      </c>
      <c r="L159" s="603">
        <f ca="1"/>
        <v>0</v>
      </c>
      <c r="M159" s="603">
        <f ca="1"/>
        <v>0</v>
      </c>
      <c r="N159" s="1991">
        <f ca="1">'Distr CV 5'!B159</f>
        <v>0</v>
      </c>
      <c r="O159" s="1992">
        <f ca="1">'Distr CV 5'!C159</f>
        <v>0</v>
      </c>
      <c r="P159" s="1992">
        <f ca="1"/>
        <v>0</v>
      </c>
      <c r="Q159" s="1992">
        <f ca="1"/>
        <v>0</v>
      </c>
      <c r="R159" s="1992">
        <f ca="1"/>
        <v>0</v>
      </c>
      <c r="S159" s="1992">
        <f ca="1"/>
        <v>0</v>
      </c>
      <c r="T159" s="1992">
        <f ca="1"/>
        <v>0</v>
      </c>
      <c r="U159" s="1992">
        <f ca="1"/>
        <v>0</v>
      </c>
      <c r="V159" s="1992">
        <f ca="1"/>
        <v>0</v>
      </c>
      <c r="W159" s="1992">
        <f ca="1"/>
        <v>0</v>
      </c>
      <c r="X159" s="1992">
        <f ca="1"/>
        <v>0</v>
      </c>
      <c r="Y159" s="2010">
        <f ca="1"/>
        <v>0</v>
      </c>
    </row>
    <row r="160" spans="1:25" ht="13.5" thickBot="1">
      <c r="A160" s="105" t="str">
        <f>"Totales CV "&amp;A$10</f>
        <v xml:space="preserve">Totales CV </v>
      </c>
      <c r="B160" s="607">
        <f t="shared" ref="B160:Y160" ca="1" si="13">SUM(B147:B159)</f>
        <v>0</v>
      </c>
      <c r="C160" s="607">
        <f t="shared" ca="1" si="13"/>
        <v>0</v>
      </c>
      <c r="D160" s="607">
        <f t="shared" ca="1" si="13"/>
        <v>0</v>
      </c>
      <c r="E160" s="607">
        <f t="shared" ca="1" si="13"/>
        <v>0</v>
      </c>
      <c r="F160" s="607">
        <f t="shared" ca="1" si="13"/>
        <v>0</v>
      </c>
      <c r="G160" s="607">
        <f t="shared" ca="1" si="13"/>
        <v>0</v>
      </c>
      <c r="H160" s="607">
        <f t="shared" ca="1" si="13"/>
        <v>0</v>
      </c>
      <c r="I160" s="607">
        <f t="shared" ca="1" si="13"/>
        <v>0</v>
      </c>
      <c r="J160" s="607">
        <f t="shared" ca="1" si="13"/>
        <v>0</v>
      </c>
      <c r="K160" s="607">
        <f t="shared" ca="1" si="13"/>
        <v>0</v>
      </c>
      <c r="L160" s="607">
        <f t="shared" ca="1" si="13"/>
        <v>0</v>
      </c>
      <c r="M160" s="607">
        <f t="shared" ca="1" si="13"/>
        <v>0</v>
      </c>
      <c r="N160" s="607">
        <f t="shared" ca="1" si="13"/>
        <v>0</v>
      </c>
      <c r="O160" s="607">
        <f t="shared" ca="1" si="13"/>
        <v>0</v>
      </c>
      <c r="P160" s="607">
        <f t="shared" ca="1" si="13"/>
        <v>0</v>
      </c>
      <c r="Q160" s="607">
        <f t="shared" ca="1" si="13"/>
        <v>0</v>
      </c>
      <c r="R160" s="607">
        <f t="shared" ca="1" si="13"/>
        <v>0</v>
      </c>
      <c r="S160" s="607">
        <f t="shared" ca="1" si="13"/>
        <v>0</v>
      </c>
      <c r="T160" s="607">
        <f t="shared" ca="1" si="13"/>
        <v>0</v>
      </c>
      <c r="U160" s="607">
        <f t="shared" ca="1" si="13"/>
        <v>0</v>
      </c>
      <c r="V160" s="607">
        <f t="shared" ca="1" si="13"/>
        <v>0</v>
      </c>
      <c r="W160" s="607">
        <f t="shared" ca="1" si="13"/>
        <v>0</v>
      </c>
      <c r="X160" s="607">
        <f t="shared" ca="1" si="13"/>
        <v>0</v>
      </c>
      <c r="Y160" s="2008">
        <f t="shared" ca="1" si="13"/>
        <v>0</v>
      </c>
    </row>
    <row r="161" spans="1:25" ht="13.5" thickBot="1">
      <c r="A161" s="105" t="str">
        <f>'Dados Básicos'!A28&amp;" sop. CV "&amp;$A$10</f>
        <v xml:space="preserve">IVA sop. CV </v>
      </c>
      <c r="B161" s="607">
        <f t="array" aca="1" ref="B161:Y161" ca="1">$K$145*B160:Y160</f>
        <v>0</v>
      </c>
      <c r="C161" s="607">
        <f ca="1"/>
        <v>0</v>
      </c>
      <c r="D161" s="607">
        <f ca="1"/>
        <v>0</v>
      </c>
      <c r="E161" s="607">
        <f ca="1"/>
        <v>0</v>
      </c>
      <c r="F161" s="607">
        <f ca="1"/>
        <v>0</v>
      </c>
      <c r="G161" s="607">
        <f ca="1"/>
        <v>0</v>
      </c>
      <c r="H161" s="607">
        <f ca="1"/>
        <v>0</v>
      </c>
      <c r="I161" s="607">
        <f ca="1"/>
        <v>0</v>
      </c>
      <c r="J161" s="607">
        <f ca="1"/>
        <v>0</v>
      </c>
      <c r="K161" s="607">
        <f ca="1"/>
        <v>0</v>
      </c>
      <c r="L161" s="607">
        <f ca="1"/>
        <v>0</v>
      </c>
      <c r="M161" s="607">
        <f ca="1"/>
        <v>0</v>
      </c>
      <c r="N161" s="607">
        <f ca="1"/>
        <v>0</v>
      </c>
      <c r="O161" s="607">
        <f ca="1"/>
        <v>0</v>
      </c>
      <c r="P161" s="607">
        <f ca="1"/>
        <v>0</v>
      </c>
      <c r="Q161" s="607">
        <f ca="1"/>
        <v>0</v>
      </c>
      <c r="R161" s="607">
        <f ca="1"/>
        <v>0</v>
      </c>
      <c r="S161" s="607">
        <f ca="1"/>
        <v>0</v>
      </c>
      <c r="T161" s="607">
        <f ca="1"/>
        <v>0</v>
      </c>
      <c r="U161" s="607">
        <f ca="1"/>
        <v>0</v>
      </c>
      <c r="V161" s="607">
        <f ca="1"/>
        <v>0</v>
      </c>
      <c r="W161" s="607">
        <f ca="1"/>
        <v>0</v>
      </c>
      <c r="X161" s="607">
        <f ca="1"/>
        <v>0</v>
      </c>
      <c r="Y161" s="2008">
        <f ca="1"/>
        <v>0</v>
      </c>
    </row>
    <row r="163" spans="1:25" ht="18.75" thickBot="1">
      <c r="A163" s="1993" t="str">
        <f>'Distr CV 0'!A163</f>
        <v xml:space="preserve">Compras / custos de producción por meses de </v>
      </c>
      <c r="I163" s="1993" t="str">
        <f>$I$109</f>
        <v>IVA NÃO incluido</v>
      </c>
      <c r="K163" s="2005">
        <f>Parametros!$F$27</f>
        <v>0.21</v>
      </c>
    </row>
    <row r="164" spans="1:25" ht="30" customHeight="1" thickBot="1">
      <c r="A164" s="457" t="str">
        <f>'Distr CV 0'!A164</f>
        <v>mes de compra / custo</v>
      </c>
      <c r="B164" s="2011" t="str">
        <f t="array" ref="B164:Y164">B$71:Y$71</f>
        <v>janeiro 
2029</v>
      </c>
      <c r="C164" s="2011" t="str">
        <v>fevereiro 
2029</v>
      </c>
      <c r="D164" s="2011" t="str">
        <v>março 
2029</v>
      </c>
      <c r="E164" s="2011" t="str">
        <v>abril 
2029</v>
      </c>
      <c r="F164" s="2011" t="str">
        <v>maio 
2029</v>
      </c>
      <c r="G164" s="2011" t="str">
        <v>junho 
2029</v>
      </c>
      <c r="H164" s="2011" t="str">
        <v>julho 
2029</v>
      </c>
      <c r="I164" s="2011" t="str">
        <v>agosto 
2029</v>
      </c>
      <c r="J164" s="2011" t="str">
        <v>setembro 
2029</v>
      </c>
      <c r="K164" s="2011" t="str">
        <v>outubro 
2029</v>
      </c>
      <c r="L164" s="2011" t="str">
        <v>novembro 
2029</v>
      </c>
      <c r="M164" s="2011" t="str">
        <v>dezembro 
2029</v>
      </c>
      <c r="N164" s="2734" t="str">
        <v>janeiro 
2030</v>
      </c>
      <c r="O164" s="2735" t="str">
        <v>fevereiro 
2030</v>
      </c>
      <c r="P164" s="2735" t="str">
        <v>março 
2030</v>
      </c>
      <c r="Q164" s="2735" t="str">
        <v>abril 
2030</v>
      </c>
      <c r="R164" s="2735" t="str">
        <v>maio 
2030</v>
      </c>
      <c r="S164" s="2735" t="str">
        <v>junho 
2030</v>
      </c>
      <c r="T164" s="2735" t="str">
        <v>julho 
2030</v>
      </c>
      <c r="U164" s="2735" t="str">
        <v>agosto 
2030</v>
      </c>
      <c r="V164" s="2735" t="str">
        <v>setembro 
2030</v>
      </c>
      <c r="W164" s="2735" t="str">
        <v>outubro 
2030</v>
      </c>
      <c r="X164" s="2735" t="str">
        <v>novembro 
2030</v>
      </c>
      <c r="Y164" s="2736" t="str">
        <v>dezembro 
2030</v>
      </c>
    </row>
    <row r="165" spans="1:25">
      <c r="A165" s="1994" t="str">
        <f>A$72</f>
        <v>mismo mes</v>
      </c>
      <c r="B165" s="1991"/>
      <c r="C165" s="1991"/>
      <c r="D165" s="1991"/>
      <c r="E165" s="1991"/>
      <c r="F165" s="1991"/>
      <c r="G165" s="1991"/>
      <c r="H165" s="1991"/>
      <c r="I165" s="1991"/>
      <c r="J165" s="1991"/>
      <c r="K165" s="1991"/>
      <c r="L165" s="1991"/>
      <c r="M165" s="1991"/>
      <c r="N165" s="603">
        <f t="array" aca="1" ref="N165:Y165" ca="1">B23:M23*Produção!$N$11</f>
        <v>0</v>
      </c>
      <c r="O165" s="603">
        <f ca="1"/>
        <v>0</v>
      </c>
      <c r="P165" s="603">
        <f ca="1"/>
        <v>0</v>
      </c>
      <c r="Q165" s="603">
        <f ca="1"/>
        <v>0</v>
      </c>
      <c r="R165" s="603">
        <f ca="1"/>
        <v>0</v>
      </c>
      <c r="S165" s="603">
        <f ca="1"/>
        <v>0</v>
      </c>
      <c r="T165" s="603">
        <f ca="1"/>
        <v>0</v>
      </c>
      <c r="U165" s="603">
        <f ca="1"/>
        <v>0</v>
      </c>
      <c r="V165" s="603">
        <f ca="1"/>
        <v>0</v>
      </c>
      <c r="W165" s="603">
        <f ca="1"/>
        <v>0</v>
      </c>
      <c r="X165" s="603">
        <f ca="1"/>
        <v>0</v>
      </c>
      <c r="Y165" s="2006">
        <f ca="1"/>
        <v>0</v>
      </c>
    </row>
    <row r="166" spans="1:25">
      <c r="A166" s="1995" t="str">
        <f>A$73</f>
        <v>1 mes antes</v>
      </c>
      <c r="B166" s="1991"/>
      <c r="C166" s="1991"/>
      <c r="D166" s="1991"/>
      <c r="E166" s="1991"/>
      <c r="F166" s="1991"/>
      <c r="G166" s="1991"/>
      <c r="H166" s="1991"/>
      <c r="I166" s="1991"/>
      <c r="J166" s="1991"/>
      <c r="K166" s="1991"/>
      <c r="L166" s="1991"/>
      <c r="M166" s="603">
        <f t="array" aca="1" ref="M166:X166" ca="1">B23:M23*Produção!$M$11</f>
        <v>0</v>
      </c>
      <c r="N166" s="603">
        <f ca="1"/>
        <v>0</v>
      </c>
      <c r="O166" s="603">
        <f ca="1"/>
        <v>0</v>
      </c>
      <c r="P166" s="603">
        <f ca="1"/>
        <v>0</v>
      </c>
      <c r="Q166" s="603">
        <f ca="1"/>
        <v>0</v>
      </c>
      <c r="R166" s="603">
        <f ca="1"/>
        <v>0</v>
      </c>
      <c r="S166" s="603">
        <f ca="1"/>
        <v>0</v>
      </c>
      <c r="T166" s="603">
        <f ca="1"/>
        <v>0</v>
      </c>
      <c r="U166" s="603">
        <f ca="1"/>
        <v>0</v>
      </c>
      <c r="V166" s="603">
        <f ca="1"/>
        <v>0</v>
      </c>
      <c r="W166" s="603">
        <f ca="1"/>
        <v>0</v>
      </c>
      <c r="X166" s="603">
        <f ca="1"/>
        <v>0</v>
      </c>
      <c r="Y166" s="2007">
        <f t="array" aca="1" ref="Y166:Y177" ca="1">'Distr CV 5'!M166:M177</f>
        <v>0</v>
      </c>
    </row>
    <row r="167" spans="1:25">
      <c r="A167" s="1995" t="str">
        <f>A$74</f>
        <v>2 meses antes</v>
      </c>
      <c r="B167" s="1991"/>
      <c r="C167" s="1991"/>
      <c r="D167" s="1991"/>
      <c r="E167" s="1991"/>
      <c r="F167" s="1991"/>
      <c r="G167" s="1991"/>
      <c r="H167" s="1991"/>
      <c r="I167" s="1991"/>
      <c r="J167" s="1991"/>
      <c r="K167" s="1991"/>
      <c r="L167" s="603">
        <f t="array" aca="1" ref="L167:W167" ca="1">B23:M23*Produção!$L$11</f>
        <v>0</v>
      </c>
      <c r="M167" s="603">
        <f ca="1"/>
        <v>0</v>
      </c>
      <c r="N167" s="603">
        <f ca="1"/>
        <v>0</v>
      </c>
      <c r="O167" s="603">
        <f ca="1"/>
        <v>0</v>
      </c>
      <c r="P167" s="603">
        <f ca="1"/>
        <v>0</v>
      </c>
      <c r="Q167" s="603">
        <f ca="1"/>
        <v>0</v>
      </c>
      <c r="R167" s="603">
        <f ca="1"/>
        <v>0</v>
      </c>
      <c r="S167" s="603">
        <f ca="1"/>
        <v>0</v>
      </c>
      <c r="T167" s="603">
        <f ca="1"/>
        <v>0</v>
      </c>
      <c r="U167" s="603">
        <f ca="1"/>
        <v>0</v>
      </c>
      <c r="V167" s="603">
        <f ca="1"/>
        <v>0</v>
      </c>
      <c r="W167" s="603">
        <f ca="1"/>
        <v>0</v>
      </c>
      <c r="X167" s="1988">
        <f t="array" aca="1" ref="X167:X177" ca="1">'Distr CV 5'!L167:L177</f>
        <v>0</v>
      </c>
      <c r="Y167" s="2007">
        <f ca="1"/>
        <v>0</v>
      </c>
    </row>
    <row r="168" spans="1:25">
      <c r="A168" s="1995" t="str">
        <f>A$75</f>
        <v>3 meses antes</v>
      </c>
      <c r="B168" s="1991"/>
      <c r="C168" s="1991"/>
      <c r="D168" s="1991"/>
      <c r="E168" s="1991"/>
      <c r="F168" s="1991"/>
      <c r="G168" s="1991"/>
      <c r="H168" s="1991"/>
      <c r="I168" s="1991"/>
      <c r="J168" s="1991"/>
      <c r="K168" s="603">
        <f t="array" aca="1" ref="K168:V168" ca="1">B23:M23*Produção!$K$11</f>
        <v>0</v>
      </c>
      <c r="L168" s="603">
        <f ca="1"/>
        <v>0</v>
      </c>
      <c r="M168" s="603">
        <f ca="1"/>
        <v>0</v>
      </c>
      <c r="N168" s="603">
        <f ca="1"/>
        <v>0</v>
      </c>
      <c r="O168" s="603">
        <f ca="1"/>
        <v>0</v>
      </c>
      <c r="P168" s="603">
        <f ca="1"/>
        <v>0</v>
      </c>
      <c r="Q168" s="603">
        <f ca="1"/>
        <v>0</v>
      </c>
      <c r="R168" s="603">
        <f ca="1"/>
        <v>0</v>
      </c>
      <c r="S168" s="603">
        <f ca="1"/>
        <v>0</v>
      </c>
      <c r="T168" s="603">
        <f ca="1"/>
        <v>0</v>
      </c>
      <c r="U168" s="603">
        <f ca="1"/>
        <v>0</v>
      </c>
      <c r="V168" s="603">
        <f ca="1"/>
        <v>0</v>
      </c>
      <c r="W168" s="1988">
        <f t="array" aca="1" ref="W168:W177" ca="1">'Distr CV 5'!K168:K177</f>
        <v>0</v>
      </c>
      <c r="X168" s="1988">
        <f ca="1"/>
        <v>0</v>
      </c>
      <c r="Y168" s="2007">
        <f ca="1"/>
        <v>0</v>
      </c>
    </row>
    <row r="169" spans="1:25">
      <c r="A169" s="1995" t="str">
        <f>A$76</f>
        <v>4 meses antes</v>
      </c>
      <c r="B169" s="1991"/>
      <c r="C169" s="1991"/>
      <c r="D169" s="1991"/>
      <c r="E169" s="1991"/>
      <c r="F169" s="1991"/>
      <c r="G169" s="1991"/>
      <c r="H169" s="1991"/>
      <c r="I169" s="1991"/>
      <c r="J169" s="603">
        <f t="array" aca="1" ref="J169:U169" ca="1">B23:M23*Produção!$J$11</f>
        <v>0</v>
      </c>
      <c r="K169" s="603">
        <f ca="1"/>
        <v>0</v>
      </c>
      <c r="L169" s="603">
        <f ca="1"/>
        <v>0</v>
      </c>
      <c r="M169" s="603">
        <f ca="1"/>
        <v>0</v>
      </c>
      <c r="N169" s="603">
        <f ca="1"/>
        <v>0</v>
      </c>
      <c r="O169" s="603">
        <f ca="1"/>
        <v>0</v>
      </c>
      <c r="P169" s="603">
        <f ca="1"/>
        <v>0</v>
      </c>
      <c r="Q169" s="603">
        <f ca="1"/>
        <v>0</v>
      </c>
      <c r="R169" s="603">
        <f ca="1"/>
        <v>0</v>
      </c>
      <c r="S169" s="603">
        <f ca="1"/>
        <v>0</v>
      </c>
      <c r="T169" s="603">
        <f ca="1"/>
        <v>0</v>
      </c>
      <c r="U169" s="603">
        <f ca="1"/>
        <v>0</v>
      </c>
      <c r="V169" s="1988">
        <f t="array" aca="1" ref="V169:V177" ca="1">'Distr CV 5'!J169:J177</f>
        <v>0</v>
      </c>
      <c r="W169" s="1988">
        <f ca="1"/>
        <v>0</v>
      </c>
      <c r="X169" s="1988">
        <f ca="1"/>
        <v>0</v>
      </c>
      <c r="Y169" s="2007">
        <f ca="1"/>
        <v>0</v>
      </c>
    </row>
    <row r="170" spans="1:25">
      <c r="A170" s="1995" t="str">
        <f>A$77</f>
        <v>5 meses antes</v>
      </c>
      <c r="B170" s="1991"/>
      <c r="C170" s="1991"/>
      <c r="D170" s="1991"/>
      <c r="E170" s="1991"/>
      <c r="F170" s="1991"/>
      <c r="G170" s="1991"/>
      <c r="H170" s="1991"/>
      <c r="I170" s="603">
        <f t="array" aca="1" ref="I170:T170" ca="1">B23:M23*Produção!$I$11</f>
        <v>0</v>
      </c>
      <c r="J170" s="603">
        <f ca="1"/>
        <v>0</v>
      </c>
      <c r="K170" s="603">
        <f ca="1"/>
        <v>0</v>
      </c>
      <c r="L170" s="603">
        <f ca="1"/>
        <v>0</v>
      </c>
      <c r="M170" s="603">
        <f ca="1"/>
        <v>0</v>
      </c>
      <c r="N170" s="603">
        <f ca="1"/>
        <v>0</v>
      </c>
      <c r="O170" s="603">
        <f ca="1"/>
        <v>0</v>
      </c>
      <c r="P170" s="603">
        <f ca="1"/>
        <v>0</v>
      </c>
      <c r="Q170" s="603">
        <f ca="1"/>
        <v>0</v>
      </c>
      <c r="R170" s="603">
        <f ca="1"/>
        <v>0</v>
      </c>
      <c r="S170" s="603">
        <f ca="1"/>
        <v>0</v>
      </c>
      <c r="T170" s="603">
        <f ca="1"/>
        <v>0</v>
      </c>
      <c r="U170" s="1988">
        <f t="array" aca="1" ref="U170:U177" ca="1">'Distr CV 5'!I170:I177</f>
        <v>0</v>
      </c>
      <c r="V170" s="1988">
        <f ca="1"/>
        <v>0</v>
      </c>
      <c r="W170" s="1988">
        <f ca="1"/>
        <v>0</v>
      </c>
      <c r="X170" s="1988">
        <f ca="1"/>
        <v>0</v>
      </c>
      <c r="Y170" s="2007">
        <f ca="1"/>
        <v>0</v>
      </c>
    </row>
    <row r="171" spans="1:25">
      <c r="A171" s="1995" t="str">
        <f>A$78</f>
        <v>6 meses antes</v>
      </c>
      <c r="B171" s="1991"/>
      <c r="C171" s="1991"/>
      <c r="D171" s="1991"/>
      <c r="E171" s="1991"/>
      <c r="F171" s="1991"/>
      <c r="G171" s="1991"/>
      <c r="H171" s="603">
        <f t="array" aca="1" ref="H171:S171" ca="1">B23:M23*Produção!$H$11</f>
        <v>0</v>
      </c>
      <c r="I171" s="603">
        <f ca="1"/>
        <v>0</v>
      </c>
      <c r="J171" s="603">
        <f ca="1"/>
        <v>0</v>
      </c>
      <c r="K171" s="603">
        <f ca="1"/>
        <v>0</v>
      </c>
      <c r="L171" s="603">
        <f ca="1"/>
        <v>0</v>
      </c>
      <c r="M171" s="603">
        <f ca="1"/>
        <v>0</v>
      </c>
      <c r="N171" s="603">
        <f ca="1"/>
        <v>0</v>
      </c>
      <c r="O171" s="603">
        <f ca="1"/>
        <v>0</v>
      </c>
      <c r="P171" s="603">
        <f ca="1"/>
        <v>0</v>
      </c>
      <c r="Q171" s="603">
        <f ca="1"/>
        <v>0</v>
      </c>
      <c r="R171" s="603">
        <f ca="1"/>
        <v>0</v>
      </c>
      <c r="S171" s="603">
        <f ca="1"/>
        <v>0</v>
      </c>
      <c r="T171" s="1988">
        <f t="array" aca="1" ref="T171:T177" ca="1">'Distr CV 5'!H171:H177</f>
        <v>0</v>
      </c>
      <c r="U171" s="1988">
        <f ca="1"/>
        <v>0</v>
      </c>
      <c r="V171" s="1988">
        <f ca="1"/>
        <v>0</v>
      </c>
      <c r="W171" s="1988">
        <f ca="1"/>
        <v>0</v>
      </c>
      <c r="X171" s="1988">
        <f ca="1"/>
        <v>0</v>
      </c>
      <c r="Y171" s="2007">
        <f ca="1"/>
        <v>0</v>
      </c>
    </row>
    <row r="172" spans="1:25">
      <c r="A172" s="1995" t="str">
        <f>A$79</f>
        <v>7 meses antes</v>
      </c>
      <c r="B172" s="1991"/>
      <c r="C172" s="1991"/>
      <c r="D172" s="1991"/>
      <c r="E172" s="1991"/>
      <c r="F172" s="1991"/>
      <c r="G172" s="603">
        <f t="array" aca="1" ref="G172:R172" ca="1">B23:M23*Produção!$G$11</f>
        <v>0</v>
      </c>
      <c r="H172" s="603">
        <f ca="1"/>
        <v>0</v>
      </c>
      <c r="I172" s="603">
        <f ca="1"/>
        <v>0</v>
      </c>
      <c r="J172" s="603">
        <f ca="1"/>
        <v>0</v>
      </c>
      <c r="K172" s="603">
        <f ca="1"/>
        <v>0</v>
      </c>
      <c r="L172" s="603">
        <f ca="1"/>
        <v>0</v>
      </c>
      <c r="M172" s="603">
        <f ca="1"/>
        <v>0</v>
      </c>
      <c r="N172" s="603">
        <f ca="1"/>
        <v>0</v>
      </c>
      <c r="O172" s="603">
        <f ca="1"/>
        <v>0</v>
      </c>
      <c r="P172" s="603">
        <f ca="1"/>
        <v>0</v>
      </c>
      <c r="Q172" s="603">
        <f ca="1"/>
        <v>0</v>
      </c>
      <c r="R172" s="603">
        <f ca="1"/>
        <v>0</v>
      </c>
      <c r="S172" s="1992">
        <f t="array" aca="1" ref="S172:S177" ca="1">'Distr CV 5'!G172:G177</f>
        <v>0</v>
      </c>
      <c r="T172" s="1992">
        <f ca="1"/>
        <v>0</v>
      </c>
      <c r="U172" s="1992">
        <f ca="1"/>
        <v>0</v>
      </c>
      <c r="V172" s="1992">
        <f ca="1"/>
        <v>0</v>
      </c>
      <c r="W172" s="1992">
        <f ca="1"/>
        <v>0</v>
      </c>
      <c r="X172" s="1992">
        <f ca="1"/>
        <v>0</v>
      </c>
      <c r="Y172" s="2010">
        <f ca="1"/>
        <v>0</v>
      </c>
    </row>
    <row r="173" spans="1:25">
      <c r="A173" s="1995" t="str">
        <f>A$80</f>
        <v>8 meses antes</v>
      </c>
      <c r="B173" s="1991"/>
      <c r="C173" s="1991"/>
      <c r="D173" s="1991"/>
      <c r="E173" s="1991"/>
      <c r="F173" s="603">
        <f t="array" aca="1" ref="F173:Q173" ca="1">B23:M23*Produção!$F$11</f>
        <v>0</v>
      </c>
      <c r="G173" s="603">
        <f ca="1"/>
        <v>0</v>
      </c>
      <c r="H173" s="603">
        <f ca="1"/>
        <v>0</v>
      </c>
      <c r="I173" s="603">
        <f ca="1"/>
        <v>0</v>
      </c>
      <c r="J173" s="603">
        <f ca="1"/>
        <v>0</v>
      </c>
      <c r="K173" s="603">
        <f ca="1"/>
        <v>0</v>
      </c>
      <c r="L173" s="603">
        <f ca="1"/>
        <v>0</v>
      </c>
      <c r="M173" s="603">
        <f ca="1"/>
        <v>0</v>
      </c>
      <c r="N173" s="603">
        <f ca="1"/>
        <v>0</v>
      </c>
      <c r="O173" s="603">
        <f ca="1"/>
        <v>0</v>
      </c>
      <c r="P173" s="603">
        <f ca="1"/>
        <v>0</v>
      </c>
      <c r="Q173" s="603">
        <f ca="1"/>
        <v>0</v>
      </c>
      <c r="R173" s="1992">
        <f t="array" aca="1" ref="R173:R177" ca="1">'Distr CV 5'!F173:F177</f>
        <v>0</v>
      </c>
      <c r="S173" s="1992">
        <f ca="1"/>
        <v>0</v>
      </c>
      <c r="T173" s="1992">
        <f ca="1"/>
        <v>0</v>
      </c>
      <c r="U173" s="1992">
        <f ca="1"/>
        <v>0</v>
      </c>
      <c r="V173" s="1992">
        <f ca="1"/>
        <v>0</v>
      </c>
      <c r="W173" s="1992">
        <f ca="1"/>
        <v>0</v>
      </c>
      <c r="X173" s="1992">
        <f ca="1"/>
        <v>0</v>
      </c>
      <c r="Y173" s="2010">
        <f ca="1"/>
        <v>0</v>
      </c>
    </row>
    <row r="174" spans="1:25">
      <c r="A174" s="1995" t="str">
        <f>A$81</f>
        <v>9 meses antes</v>
      </c>
      <c r="B174" s="1991"/>
      <c r="C174" s="1991"/>
      <c r="D174" s="1991"/>
      <c r="E174" s="603">
        <f t="array" aca="1" ref="E174:P174" ca="1">B23:M23*Produção!$E$11</f>
        <v>0</v>
      </c>
      <c r="F174" s="603">
        <f ca="1"/>
        <v>0</v>
      </c>
      <c r="G174" s="603">
        <f ca="1"/>
        <v>0</v>
      </c>
      <c r="H174" s="603">
        <f ca="1"/>
        <v>0</v>
      </c>
      <c r="I174" s="603">
        <f ca="1"/>
        <v>0</v>
      </c>
      <c r="J174" s="603">
        <f ca="1"/>
        <v>0</v>
      </c>
      <c r="K174" s="603">
        <f ca="1"/>
        <v>0</v>
      </c>
      <c r="L174" s="603">
        <f ca="1"/>
        <v>0</v>
      </c>
      <c r="M174" s="603">
        <f ca="1"/>
        <v>0</v>
      </c>
      <c r="N174" s="603">
        <f ca="1"/>
        <v>0</v>
      </c>
      <c r="O174" s="603">
        <f ca="1"/>
        <v>0</v>
      </c>
      <c r="P174" s="603">
        <f ca="1"/>
        <v>0</v>
      </c>
      <c r="Q174" s="1992">
        <f t="array" aca="1" ref="Q174:Q177" ca="1">'Distr CV 5'!E174:E177</f>
        <v>0</v>
      </c>
      <c r="R174" s="1992">
        <f ca="1"/>
        <v>0</v>
      </c>
      <c r="S174" s="1992">
        <f ca="1"/>
        <v>0</v>
      </c>
      <c r="T174" s="1992">
        <f ca="1"/>
        <v>0</v>
      </c>
      <c r="U174" s="1992">
        <f ca="1"/>
        <v>0</v>
      </c>
      <c r="V174" s="1992">
        <f ca="1"/>
        <v>0</v>
      </c>
      <c r="W174" s="1992">
        <f ca="1"/>
        <v>0</v>
      </c>
      <c r="X174" s="1992">
        <f ca="1"/>
        <v>0</v>
      </c>
      <c r="Y174" s="2010">
        <f ca="1"/>
        <v>0</v>
      </c>
    </row>
    <row r="175" spans="1:25">
      <c r="A175" s="1995" t="str">
        <f>A$82</f>
        <v>10 meses antes</v>
      </c>
      <c r="B175" s="1991"/>
      <c r="C175" s="1991"/>
      <c r="D175" s="603">
        <f t="array" aca="1" ref="D175:O175" ca="1">B23:M23*Produção!$D$11</f>
        <v>0</v>
      </c>
      <c r="E175" s="603">
        <f ca="1"/>
        <v>0</v>
      </c>
      <c r="F175" s="603">
        <f ca="1"/>
        <v>0</v>
      </c>
      <c r="G175" s="603">
        <f ca="1"/>
        <v>0</v>
      </c>
      <c r="H175" s="603">
        <f ca="1"/>
        <v>0</v>
      </c>
      <c r="I175" s="603">
        <f ca="1"/>
        <v>0</v>
      </c>
      <c r="J175" s="603">
        <f ca="1"/>
        <v>0</v>
      </c>
      <c r="K175" s="603">
        <f ca="1"/>
        <v>0</v>
      </c>
      <c r="L175" s="603">
        <f ca="1"/>
        <v>0</v>
      </c>
      <c r="M175" s="603">
        <f ca="1"/>
        <v>0</v>
      </c>
      <c r="N175" s="603">
        <f ca="1"/>
        <v>0</v>
      </c>
      <c r="O175" s="603">
        <f ca="1"/>
        <v>0</v>
      </c>
      <c r="P175" s="1992">
        <f t="array" aca="1" ref="P175:P177" ca="1">'Distr CV 5'!D175:D177</f>
        <v>0</v>
      </c>
      <c r="Q175" s="1992">
        <f ca="1"/>
        <v>0</v>
      </c>
      <c r="R175" s="1992">
        <f ca="1"/>
        <v>0</v>
      </c>
      <c r="S175" s="1992">
        <f ca="1"/>
        <v>0</v>
      </c>
      <c r="T175" s="1992">
        <f ca="1"/>
        <v>0</v>
      </c>
      <c r="U175" s="1992">
        <f ca="1"/>
        <v>0</v>
      </c>
      <c r="V175" s="1992">
        <f ca="1"/>
        <v>0</v>
      </c>
      <c r="W175" s="1992">
        <f ca="1"/>
        <v>0</v>
      </c>
      <c r="X175" s="1992">
        <f ca="1"/>
        <v>0</v>
      </c>
      <c r="Y175" s="2010">
        <f ca="1"/>
        <v>0</v>
      </c>
    </row>
    <row r="176" spans="1:25">
      <c r="A176" s="1995" t="str">
        <f>A$83</f>
        <v>11 meses antes</v>
      </c>
      <c r="B176" s="1991"/>
      <c r="C176" s="603">
        <f t="array" aca="1" ref="C176:N176" ca="1">B23:M23*Produção!$C$11</f>
        <v>0</v>
      </c>
      <c r="D176" s="603">
        <f ca="1"/>
        <v>0</v>
      </c>
      <c r="E176" s="603">
        <f ca="1"/>
        <v>0</v>
      </c>
      <c r="F176" s="603">
        <f ca="1"/>
        <v>0</v>
      </c>
      <c r="G176" s="603">
        <f ca="1"/>
        <v>0</v>
      </c>
      <c r="H176" s="603">
        <f ca="1"/>
        <v>0</v>
      </c>
      <c r="I176" s="603">
        <f ca="1"/>
        <v>0</v>
      </c>
      <c r="J176" s="603">
        <f ca="1"/>
        <v>0</v>
      </c>
      <c r="K176" s="603">
        <f ca="1"/>
        <v>0</v>
      </c>
      <c r="L176" s="603">
        <f ca="1"/>
        <v>0</v>
      </c>
      <c r="M176" s="603">
        <f ca="1"/>
        <v>0</v>
      </c>
      <c r="N176" s="603">
        <f ca="1"/>
        <v>0</v>
      </c>
      <c r="O176" s="1992">
        <f ca="1">'Distr CV 5'!C176</f>
        <v>0</v>
      </c>
      <c r="P176" s="1992">
        <f ca="1"/>
        <v>0</v>
      </c>
      <c r="Q176" s="1992">
        <f ca="1"/>
        <v>0</v>
      </c>
      <c r="R176" s="1992">
        <f ca="1"/>
        <v>0</v>
      </c>
      <c r="S176" s="1992">
        <f ca="1"/>
        <v>0</v>
      </c>
      <c r="T176" s="1992">
        <f ca="1"/>
        <v>0</v>
      </c>
      <c r="U176" s="1992">
        <f ca="1"/>
        <v>0</v>
      </c>
      <c r="V176" s="1992">
        <f ca="1"/>
        <v>0</v>
      </c>
      <c r="W176" s="1992">
        <f ca="1"/>
        <v>0</v>
      </c>
      <c r="X176" s="1992">
        <f ca="1"/>
        <v>0</v>
      </c>
      <c r="Y176" s="2010">
        <f ca="1"/>
        <v>0</v>
      </c>
    </row>
    <row r="177" spans="1:25" ht="13.5" thickBot="1">
      <c r="A177" s="1995" t="str">
        <f>A$84</f>
        <v>12 meses antes</v>
      </c>
      <c r="B177" s="603">
        <f t="array" aca="1" ref="B177:M177" ca="1">B23:M23*Produção!$B$11</f>
        <v>0</v>
      </c>
      <c r="C177" s="603">
        <f ca="1"/>
        <v>0</v>
      </c>
      <c r="D177" s="603">
        <f ca="1"/>
        <v>0</v>
      </c>
      <c r="E177" s="603">
        <f ca="1"/>
        <v>0</v>
      </c>
      <c r="F177" s="603">
        <f ca="1"/>
        <v>0</v>
      </c>
      <c r="G177" s="603">
        <f ca="1"/>
        <v>0</v>
      </c>
      <c r="H177" s="603">
        <f ca="1"/>
        <v>0</v>
      </c>
      <c r="I177" s="603">
        <f ca="1"/>
        <v>0</v>
      </c>
      <c r="J177" s="603">
        <f ca="1"/>
        <v>0</v>
      </c>
      <c r="K177" s="603">
        <f ca="1"/>
        <v>0</v>
      </c>
      <c r="L177" s="603">
        <f ca="1"/>
        <v>0</v>
      </c>
      <c r="M177" s="603">
        <f ca="1"/>
        <v>0</v>
      </c>
      <c r="N177" s="1991">
        <f ca="1">'Distr CV 5'!B177</f>
        <v>0</v>
      </c>
      <c r="O177" s="1992">
        <f ca="1">'Distr CV 5'!C177</f>
        <v>0</v>
      </c>
      <c r="P177" s="1992">
        <f ca="1"/>
        <v>0</v>
      </c>
      <c r="Q177" s="1992">
        <f ca="1"/>
        <v>0</v>
      </c>
      <c r="R177" s="1992">
        <f ca="1"/>
        <v>0</v>
      </c>
      <c r="S177" s="1992">
        <f ca="1"/>
        <v>0</v>
      </c>
      <c r="T177" s="1992">
        <f ca="1"/>
        <v>0</v>
      </c>
      <c r="U177" s="1992">
        <f ca="1"/>
        <v>0</v>
      </c>
      <c r="V177" s="1992">
        <f ca="1"/>
        <v>0</v>
      </c>
      <c r="W177" s="1992">
        <f ca="1"/>
        <v>0</v>
      </c>
      <c r="X177" s="1992">
        <f ca="1"/>
        <v>0</v>
      </c>
      <c r="Y177" s="2010">
        <f ca="1"/>
        <v>0</v>
      </c>
    </row>
    <row r="178" spans="1:25" ht="13.5" thickBot="1">
      <c r="A178" s="105" t="str">
        <f>"Totales CV "&amp;A$11</f>
        <v xml:space="preserve">Totales CV </v>
      </c>
      <c r="B178" s="607">
        <f t="shared" ref="B178:Y178" ca="1" si="14">SUM(B165:B177)</f>
        <v>0</v>
      </c>
      <c r="C178" s="607">
        <f t="shared" ca="1" si="14"/>
        <v>0</v>
      </c>
      <c r="D178" s="607">
        <f t="shared" ca="1" si="14"/>
        <v>0</v>
      </c>
      <c r="E178" s="607">
        <f t="shared" ca="1" si="14"/>
        <v>0</v>
      </c>
      <c r="F178" s="607">
        <f t="shared" ca="1" si="14"/>
        <v>0</v>
      </c>
      <c r="G178" s="607">
        <f t="shared" ca="1" si="14"/>
        <v>0</v>
      </c>
      <c r="H178" s="607">
        <f t="shared" ca="1" si="14"/>
        <v>0</v>
      </c>
      <c r="I178" s="607">
        <f t="shared" ca="1" si="14"/>
        <v>0</v>
      </c>
      <c r="J178" s="607">
        <f t="shared" ca="1" si="14"/>
        <v>0</v>
      </c>
      <c r="K178" s="607">
        <f t="shared" ca="1" si="14"/>
        <v>0</v>
      </c>
      <c r="L178" s="607">
        <f t="shared" ca="1" si="14"/>
        <v>0</v>
      </c>
      <c r="M178" s="607">
        <f t="shared" ca="1" si="14"/>
        <v>0</v>
      </c>
      <c r="N178" s="607">
        <f t="shared" ca="1" si="14"/>
        <v>0</v>
      </c>
      <c r="O178" s="607">
        <f t="shared" ca="1" si="14"/>
        <v>0</v>
      </c>
      <c r="P178" s="607">
        <f t="shared" ca="1" si="14"/>
        <v>0</v>
      </c>
      <c r="Q178" s="607">
        <f t="shared" ca="1" si="14"/>
        <v>0</v>
      </c>
      <c r="R178" s="607">
        <f t="shared" ca="1" si="14"/>
        <v>0</v>
      </c>
      <c r="S178" s="607">
        <f t="shared" ca="1" si="14"/>
        <v>0</v>
      </c>
      <c r="T178" s="607">
        <f t="shared" ca="1" si="14"/>
        <v>0</v>
      </c>
      <c r="U178" s="607">
        <f t="shared" ca="1" si="14"/>
        <v>0</v>
      </c>
      <c r="V178" s="607">
        <f t="shared" ca="1" si="14"/>
        <v>0</v>
      </c>
      <c r="W178" s="607">
        <f t="shared" ca="1" si="14"/>
        <v>0</v>
      </c>
      <c r="X178" s="607">
        <f t="shared" ca="1" si="14"/>
        <v>0</v>
      </c>
      <c r="Y178" s="2008">
        <f t="shared" ca="1" si="14"/>
        <v>0</v>
      </c>
    </row>
    <row r="179" spans="1:25" ht="13.5" thickBot="1">
      <c r="A179" s="105" t="str">
        <f>'Dados Básicos'!A28&amp;" sop. CV "&amp;$A$11</f>
        <v xml:space="preserve">IVA sop. CV </v>
      </c>
      <c r="B179" s="607">
        <f t="array" aca="1" ref="B179:Y179" ca="1">$K$163*B178:Y178</f>
        <v>0</v>
      </c>
      <c r="C179" s="607">
        <f ca="1"/>
        <v>0</v>
      </c>
      <c r="D179" s="607">
        <f ca="1"/>
        <v>0</v>
      </c>
      <c r="E179" s="607">
        <f ca="1"/>
        <v>0</v>
      </c>
      <c r="F179" s="607">
        <f ca="1"/>
        <v>0</v>
      </c>
      <c r="G179" s="607">
        <f ca="1"/>
        <v>0</v>
      </c>
      <c r="H179" s="607">
        <f ca="1"/>
        <v>0</v>
      </c>
      <c r="I179" s="607">
        <f ca="1"/>
        <v>0</v>
      </c>
      <c r="J179" s="607">
        <f ca="1"/>
        <v>0</v>
      </c>
      <c r="K179" s="607">
        <f ca="1"/>
        <v>0</v>
      </c>
      <c r="L179" s="607">
        <f ca="1"/>
        <v>0</v>
      </c>
      <c r="M179" s="607">
        <f ca="1"/>
        <v>0</v>
      </c>
      <c r="N179" s="607">
        <f ca="1"/>
        <v>0</v>
      </c>
      <c r="O179" s="607">
        <f ca="1"/>
        <v>0</v>
      </c>
      <c r="P179" s="607">
        <f ca="1"/>
        <v>0</v>
      </c>
      <c r="Q179" s="607">
        <f ca="1"/>
        <v>0</v>
      </c>
      <c r="R179" s="607">
        <f ca="1"/>
        <v>0</v>
      </c>
      <c r="S179" s="607">
        <f ca="1"/>
        <v>0</v>
      </c>
      <c r="T179" s="607">
        <f ca="1"/>
        <v>0</v>
      </c>
      <c r="U179" s="607">
        <f ca="1"/>
        <v>0</v>
      </c>
      <c r="V179" s="607">
        <f ca="1"/>
        <v>0</v>
      </c>
      <c r="W179" s="607">
        <f ca="1"/>
        <v>0</v>
      </c>
      <c r="X179" s="607">
        <f ca="1"/>
        <v>0</v>
      </c>
      <c r="Y179" s="2008">
        <f ca="1"/>
        <v>0</v>
      </c>
    </row>
    <row r="181" spans="1:25" ht="18.75" thickBot="1">
      <c r="A181" s="1993" t="str">
        <f>'Distr CV 0'!A181</f>
        <v xml:space="preserve">Compras / custos de producción por meses de </v>
      </c>
      <c r="I181" s="1993" t="str">
        <f>$I$109</f>
        <v>IVA NÃO incluido</v>
      </c>
      <c r="K181" s="2005">
        <f>Parametros!$F$28</f>
        <v>0.21</v>
      </c>
    </row>
    <row r="182" spans="1:25" ht="31.5" customHeight="1" thickBot="1">
      <c r="A182" s="457" t="str">
        <f>'Distr CV 0'!A182</f>
        <v>mes de compra / custo</v>
      </c>
      <c r="B182" s="2011" t="str">
        <f t="array" ref="B182:Y182">B$71:Y$71</f>
        <v>janeiro 
2029</v>
      </c>
      <c r="C182" s="2011" t="str">
        <v>fevereiro 
2029</v>
      </c>
      <c r="D182" s="2011" t="str">
        <v>março 
2029</v>
      </c>
      <c r="E182" s="2011" t="str">
        <v>abril 
2029</v>
      </c>
      <c r="F182" s="2011" t="str">
        <v>maio 
2029</v>
      </c>
      <c r="G182" s="2011" t="str">
        <v>junho 
2029</v>
      </c>
      <c r="H182" s="2011" t="str">
        <v>julho 
2029</v>
      </c>
      <c r="I182" s="2011" t="str">
        <v>agosto 
2029</v>
      </c>
      <c r="J182" s="2011" t="str">
        <v>setembro 
2029</v>
      </c>
      <c r="K182" s="2011" t="str">
        <v>outubro 
2029</v>
      </c>
      <c r="L182" s="2011" t="str">
        <v>novembro 
2029</v>
      </c>
      <c r="M182" s="2011" t="str">
        <v>dezembro 
2029</v>
      </c>
      <c r="N182" s="2734" t="str">
        <v>janeiro 
2030</v>
      </c>
      <c r="O182" s="2735" t="str">
        <v>fevereiro 
2030</v>
      </c>
      <c r="P182" s="2735" t="str">
        <v>março 
2030</v>
      </c>
      <c r="Q182" s="2735" t="str">
        <v>abril 
2030</v>
      </c>
      <c r="R182" s="2735" t="str">
        <v>maio 
2030</v>
      </c>
      <c r="S182" s="2735" t="str">
        <v>junho 
2030</v>
      </c>
      <c r="T182" s="2735" t="str">
        <v>julho 
2030</v>
      </c>
      <c r="U182" s="2735" t="str">
        <v>agosto 
2030</v>
      </c>
      <c r="V182" s="2735" t="str">
        <v>setembro 
2030</v>
      </c>
      <c r="W182" s="2735" t="str">
        <v>outubro 
2030</v>
      </c>
      <c r="X182" s="2735" t="str">
        <v>novembro 
2030</v>
      </c>
      <c r="Y182" s="2736" t="str">
        <v>dezembro 
2030</v>
      </c>
    </row>
    <row r="183" spans="1:25">
      <c r="A183" s="1994" t="str">
        <f>A$72</f>
        <v>mismo mes</v>
      </c>
      <c r="B183" s="1991"/>
      <c r="C183" s="1991"/>
      <c r="D183" s="1991"/>
      <c r="E183" s="1991"/>
      <c r="F183" s="1991"/>
      <c r="G183" s="1991"/>
      <c r="H183" s="1991"/>
      <c r="I183" s="1991"/>
      <c r="J183" s="1991"/>
      <c r="K183" s="1991"/>
      <c r="L183" s="1991"/>
      <c r="M183" s="1991"/>
      <c r="N183" s="603">
        <f t="array" aca="1" ref="N183:Y183" ca="1">B24:M24*Produção!$N$12</f>
        <v>0</v>
      </c>
      <c r="O183" s="603">
        <f ca="1"/>
        <v>0</v>
      </c>
      <c r="P183" s="603">
        <f ca="1"/>
        <v>0</v>
      </c>
      <c r="Q183" s="603">
        <f ca="1"/>
        <v>0</v>
      </c>
      <c r="R183" s="603">
        <f ca="1"/>
        <v>0</v>
      </c>
      <c r="S183" s="603">
        <f ca="1"/>
        <v>0</v>
      </c>
      <c r="T183" s="603">
        <f ca="1"/>
        <v>0</v>
      </c>
      <c r="U183" s="603">
        <f ca="1"/>
        <v>0</v>
      </c>
      <c r="V183" s="603">
        <f ca="1"/>
        <v>0</v>
      </c>
      <c r="W183" s="603">
        <f ca="1"/>
        <v>0</v>
      </c>
      <c r="X183" s="603">
        <f ca="1"/>
        <v>0</v>
      </c>
      <c r="Y183" s="2006">
        <f ca="1"/>
        <v>0</v>
      </c>
    </row>
    <row r="184" spans="1:25">
      <c r="A184" s="1995" t="str">
        <f>A$73</f>
        <v>1 mes antes</v>
      </c>
      <c r="B184" s="1991"/>
      <c r="C184" s="1991"/>
      <c r="D184" s="1991"/>
      <c r="E184" s="1991"/>
      <c r="F184" s="1991"/>
      <c r="G184" s="1991"/>
      <c r="H184" s="1991"/>
      <c r="I184" s="1991"/>
      <c r="J184" s="1991"/>
      <c r="K184" s="1991"/>
      <c r="L184" s="1991"/>
      <c r="M184" s="603">
        <f t="array" aca="1" ref="M184:X184" ca="1">B24:M24*Produção!$M$12</f>
        <v>0</v>
      </c>
      <c r="N184" s="603">
        <f ca="1"/>
        <v>0</v>
      </c>
      <c r="O184" s="603">
        <f ca="1"/>
        <v>0</v>
      </c>
      <c r="P184" s="603">
        <f ca="1"/>
        <v>0</v>
      </c>
      <c r="Q184" s="603">
        <f ca="1"/>
        <v>0</v>
      </c>
      <c r="R184" s="603">
        <f ca="1"/>
        <v>0</v>
      </c>
      <c r="S184" s="603">
        <f ca="1"/>
        <v>0</v>
      </c>
      <c r="T184" s="603">
        <f ca="1"/>
        <v>0</v>
      </c>
      <c r="U184" s="603">
        <f ca="1"/>
        <v>0</v>
      </c>
      <c r="V184" s="603">
        <f ca="1"/>
        <v>0</v>
      </c>
      <c r="W184" s="603">
        <f ca="1"/>
        <v>0</v>
      </c>
      <c r="X184" s="603">
        <f ca="1"/>
        <v>0</v>
      </c>
      <c r="Y184" s="2007">
        <f t="array" aca="1" ref="Y184:Y195" ca="1">'Distr CV 5'!M184:M195</f>
        <v>0</v>
      </c>
    </row>
    <row r="185" spans="1:25">
      <c r="A185" s="1995" t="str">
        <f>A$74</f>
        <v>2 meses antes</v>
      </c>
      <c r="B185" s="1991"/>
      <c r="C185" s="1991"/>
      <c r="D185" s="1991"/>
      <c r="E185" s="1991"/>
      <c r="F185" s="1991"/>
      <c r="G185" s="1991"/>
      <c r="H185" s="1991"/>
      <c r="I185" s="1991"/>
      <c r="J185" s="1991"/>
      <c r="K185" s="1991"/>
      <c r="L185" s="603">
        <f t="array" aca="1" ref="L185:W185" ca="1">B24:M24*Produção!$L$12</f>
        <v>0</v>
      </c>
      <c r="M185" s="603">
        <f ca="1"/>
        <v>0</v>
      </c>
      <c r="N185" s="603">
        <f ca="1"/>
        <v>0</v>
      </c>
      <c r="O185" s="603">
        <f ca="1"/>
        <v>0</v>
      </c>
      <c r="P185" s="603">
        <f ca="1"/>
        <v>0</v>
      </c>
      <c r="Q185" s="603">
        <f ca="1"/>
        <v>0</v>
      </c>
      <c r="R185" s="603">
        <f ca="1"/>
        <v>0</v>
      </c>
      <c r="S185" s="603">
        <f ca="1"/>
        <v>0</v>
      </c>
      <c r="T185" s="603">
        <f ca="1"/>
        <v>0</v>
      </c>
      <c r="U185" s="603">
        <f ca="1"/>
        <v>0</v>
      </c>
      <c r="V185" s="603">
        <f ca="1"/>
        <v>0</v>
      </c>
      <c r="W185" s="603">
        <f ca="1"/>
        <v>0</v>
      </c>
      <c r="X185" s="1988">
        <f t="array" aca="1" ref="X185:X195" ca="1">'Distr CV 5'!L185:L195</f>
        <v>0</v>
      </c>
      <c r="Y185" s="2007">
        <f ca="1"/>
        <v>0</v>
      </c>
    </row>
    <row r="186" spans="1:25">
      <c r="A186" s="1995" t="str">
        <f>A$75</f>
        <v>3 meses antes</v>
      </c>
      <c r="B186" s="1991"/>
      <c r="C186" s="1991"/>
      <c r="D186" s="1991"/>
      <c r="E186" s="1991"/>
      <c r="F186" s="1991"/>
      <c r="G186" s="1991"/>
      <c r="H186" s="1991"/>
      <c r="I186" s="1991"/>
      <c r="J186" s="1991"/>
      <c r="K186" s="603">
        <f t="array" aca="1" ref="K186:V186" ca="1">B24:M24*Produção!$K$12</f>
        <v>0</v>
      </c>
      <c r="L186" s="603">
        <f ca="1"/>
        <v>0</v>
      </c>
      <c r="M186" s="603">
        <f ca="1"/>
        <v>0</v>
      </c>
      <c r="N186" s="603">
        <f ca="1"/>
        <v>0</v>
      </c>
      <c r="O186" s="603">
        <f ca="1"/>
        <v>0</v>
      </c>
      <c r="P186" s="603">
        <f ca="1"/>
        <v>0</v>
      </c>
      <c r="Q186" s="603">
        <f ca="1"/>
        <v>0</v>
      </c>
      <c r="R186" s="603">
        <f ca="1"/>
        <v>0</v>
      </c>
      <c r="S186" s="603">
        <f ca="1"/>
        <v>0</v>
      </c>
      <c r="T186" s="603">
        <f ca="1"/>
        <v>0</v>
      </c>
      <c r="U186" s="603">
        <f ca="1"/>
        <v>0</v>
      </c>
      <c r="V186" s="603">
        <f ca="1"/>
        <v>0</v>
      </c>
      <c r="W186" s="1988">
        <f t="array" aca="1" ref="W186:W195" ca="1">'Distr CV 5'!K186:K195</f>
        <v>0</v>
      </c>
      <c r="X186" s="1988">
        <f ca="1"/>
        <v>0</v>
      </c>
      <c r="Y186" s="2007">
        <f ca="1"/>
        <v>0</v>
      </c>
    </row>
    <row r="187" spans="1:25">
      <c r="A187" s="1995" t="str">
        <f>A$76</f>
        <v>4 meses antes</v>
      </c>
      <c r="B187" s="1991"/>
      <c r="C187" s="1991"/>
      <c r="D187" s="1991"/>
      <c r="E187" s="1991"/>
      <c r="F187" s="1991"/>
      <c r="G187" s="1991"/>
      <c r="H187" s="1991"/>
      <c r="I187" s="1991"/>
      <c r="J187" s="603">
        <f t="array" aca="1" ref="J187:U187" ca="1">B24:M24*Produção!$J$12</f>
        <v>0</v>
      </c>
      <c r="K187" s="603">
        <f ca="1"/>
        <v>0</v>
      </c>
      <c r="L187" s="603">
        <f ca="1"/>
        <v>0</v>
      </c>
      <c r="M187" s="603">
        <f ca="1"/>
        <v>0</v>
      </c>
      <c r="N187" s="603">
        <f ca="1"/>
        <v>0</v>
      </c>
      <c r="O187" s="603">
        <f ca="1"/>
        <v>0</v>
      </c>
      <c r="P187" s="603">
        <f ca="1"/>
        <v>0</v>
      </c>
      <c r="Q187" s="603">
        <f ca="1"/>
        <v>0</v>
      </c>
      <c r="R187" s="603">
        <f ca="1"/>
        <v>0</v>
      </c>
      <c r="S187" s="603">
        <f ca="1"/>
        <v>0</v>
      </c>
      <c r="T187" s="603">
        <f ca="1"/>
        <v>0</v>
      </c>
      <c r="U187" s="603">
        <f ca="1"/>
        <v>0</v>
      </c>
      <c r="V187" s="1988">
        <f t="array" aca="1" ref="V187:V195" ca="1">'Distr CV 5'!J187:J195</f>
        <v>0</v>
      </c>
      <c r="W187" s="1988">
        <f ca="1"/>
        <v>0</v>
      </c>
      <c r="X187" s="1988">
        <f ca="1"/>
        <v>0</v>
      </c>
      <c r="Y187" s="2007">
        <f ca="1"/>
        <v>0</v>
      </c>
    </row>
    <row r="188" spans="1:25">
      <c r="A188" s="1995" t="str">
        <f>A$77</f>
        <v>5 meses antes</v>
      </c>
      <c r="B188" s="1991"/>
      <c r="C188" s="1991"/>
      <c r="D188" s="1991"/>
      <c r="E188" s="1991"/>
      <c r="F188" s="1991"/>
      <c r="G188" s="1991"/>
      <c r="H188" s="1991"/>
      <c r="I188" s="603">
        <f t="array" aca="1" ref="I188:T188" ca="1">B24:M24*Produção!$I$12</f>
        <v>0</v>
      </c>
      <c r="J188" s="603">
        <f ca="1"/>
        <v>0</v>
      </c>
      <c r="K188" s="603">
        <f ca="1"/>
        <v>0</v>
      </c>
      <c r="L188" s="603">
        <f ca="1"/>
        <v>0</v>
      </c>
      <c r="M188" s="603">
        <f ca="1"/>
        <v>0</v>
      </c>
      <c r="N188" s="603">
        <f ca="1"/>
        <v>0</v>
      </c>
      <c r="O188" s="603">
        <f ca="1"/>
        <v>0</v>
      </c>
      <c r="P188" s="603">
        <f ca="1"/>
        <v>0</v>
      </c>
      <c r="Q188" s="603">
        <f ca="1"/>
        <v>0</v>
      </c>
      <c r="R188" s="603">
        <f ca="1"/>
        <v>0</v>
      </c>
      <c r="S188" s="603">
        <f ca="1"/>
        <v>0</v>
      </c>
      <c r="T188" s="603">
        <f ca="1"/>
        <v>0</v>
      </c>
      <c r="U188" s="1988">
        <f t="array" aca="1" ref="U188:U195" ca="1">'Distr CV 5'!I188:I195</f>
        <v>0</v>
      </c>
      <c r="V188" s="1988">
        <f ca="1"/>
        <v>0</v>
      </c>
      <c r="W188" s="1988">
        <f ca="1"/>
        <v>0</v>
      </c>
      <c r="X188" s="1988">
        <f ca="1"/>
        <v>0</v>
      </c>
      <c r="Y188" s="2007">
        <f ca="1"/>
        <v>0</v>
      </c>
    </row>
    <row r="189" spans="1:25">
      <c r="A189" s="1995" t="str">
        <f>A$78</f>
        <v>6 meses antes</v>
      </c>
      <c r="B189" s="1991"/>
      <c r="C189" s="1991"/>
      <c r="D189" s="1991"/>
      <c r="E189" s="1991"/>
      <c r="F189" s="1991"/>
      <c r="G189" s="1991"/>
      <c r="H189" s="603">
        <f t="array" aca="1" ref="H189:S189" ca="1">B24:M24*Produção!$H$12</f>
        <v>0</v>
      </c>
      <c r="I189" s="603">
        <f ca="1"/>
        <v>0</v>
      </c>
      <c r="J189" s="603">
        <f ca="1"/>
        <v>0</v>
      </c>
      <c r="K189" s="603">
        <f ca="1"/>
        <v>0</v>
      </c>
      <c r="L189" s="603">
        <f ca="1"/>
        <v>0</v>
      </c>
      <c r="M189" s="603">
        <f ca="1"/>
        <v>0</v>
      </c>
      <c r="N189" s="603">
        <f ca="1"/>
        <v>0</v>
      </c>
      <c r="O189" s="603">
        <f ca="1"/>
        <v>0</v>
      </c>
      <c r="P189" s="603">
        <f ca="1"/>
        <v>0</v>
      </c>
      <c r="Q189" s="603">
        <f ca="1"/>
        <v>0</v>
      </c>
      <c r="R189" s="603">
        <f ca="1"/>
        <v>0</v>
      </c>
      <c r="S189" s="603">
        <f ca="1"/>
        <v>0</v>
      </c>
      <c r="T189" s="1988">
        <f t="array" aca="1" ref="T189:T195" ca="1">'Distr CV 5'!H189:H195</f>
        <v>0</v>
      </c>
      <c r="U189" s="1988">
        <f ca="1"/>
        <v>0</v>
      </c>
      <c r="V189" s="1988">
        <f ca="1"/>
        <v>0</v>
      </c>
      <c r="W189" s="1988">
        <f ca="1"/>
        <v>0</v>
      </c>
      <c r="X189" s="1988">
        <f ca="1"/>
        <v>0</v>
      </c>
      <c r="Y189" s="2007">
        <f ca="1"/>
        <v>0</v>
      </c>
    </row>
    <row r="190" spans="1:25">
      <c r="A190" s="1995" t="str">
        <f>A$79</f>
        <v>7 meses antes</v>
      </c>
      <c r="B190" s="1991"/>
      <c r="C190" s="1991"/>
      <c r="D190" s="1991"/>
      <c r="E190" s="1991"/>
      <c r="F190" s="1991"/>
      <c r="G190" s="603">
        <f t="array" aca="1" ref="G190:R190" ca="1">B24:M24*Produção!$G$12</f>
        <v>0</v>
      </c>
      <c r="H190" s="603">
        <f ca="1"/>
        <v>0</v>
      </c>
      <c r="I190" s="603">
        <f ca="1"/>
        <v>0</v>
      </c>
      <c r="J190" s="603">
        <f ca="1"/>
        <v>0</v>
      </c>
      <c r="K190" s="603">
        <f ca="1"/>
        <v>0</v>
      </c>
      <c r="L190" s="603">
        <f ca="1"/>
        <v>0</v>
      </c>
      <c r="M190" s="603">
        <f ca="1"/>
        <v>0</v>
      </c>
      <c r="N190" s="603">
        <f ca="1"/>
        <v>0</v>
      </c>
      <c r="O190" s="603">
        <f ca="1"/>
        <v>0</v>
      </c>
      <c r="P190" s="603">
        <f ca="1"/>
        <v>0</v>
      </c>
      <c r="Q190" s="603">
        <f ca="1"/>
        <v>0</v>
      </c>
      <c r="R190" s="603">
        <f ca="1"/>
        <v>0</v>
      </c>
      <c r="S190" s="1992">
        <f t="array" aca="1" ref="S190:S195" ca="1">'Distr CV 5'!G190:G195</f>
        <v>0</v>
      </c>
      <c r="T190" s="1992">
        <f ca="1"/>
        <v>0</v>
      </c>
      <c r="U190" s="1992">
        <f ca="1"/>
        <v>0</v>
      </c>
      <c r="V190" s="1992">
        <f ca="1"/>
        <v>0</v>
      </c>
      <c r="W190" s="1992">
        <f ca="1"/>
        <v>0</v>
      </c>
      <c r="X190" s="1992">
        <f ca="1"/>
        <v>0</v>
      </c>
      <c r="Y190" s="2010">
        <f ca="1"/>
        <v>0</v>
      </c>
    </row>
    <row r="191" spans="1:25">
      <c r="A191" s="1995" t="str">
        <f>A$80</f>
        <v>8 meses antes</v>
      </c>
      <c r="B191" s="1991"/>
      <c r="C191" s="1991"/>
      <c r="D191" s="1991"/>
      <c r="E191" s="1991"/>
      <c r="F191" s="603">
        <f t="array" aca="1" ref="F191:Q191" ca="1">B24:M24*Produção!$F$12</f>
        <v>0</v>
      </c>
      <c r="G191" s="603">
        <f ca="1"/>
        <v>0</v>
      </c>
      <c r="H191" s="603">
        <f ca="1"/>
        <v>0</v>
      </c>
      <c r="I191" s="603">
        <f ca="1"/>
        <v>0</v>
      </c>
      <c r="J191" s="603">
        <f ca="1"/>
        <v>0</v>
      </c>
      <c r="K191" s="603">
        <f ca="1"/>
        <v>0</v>
      </c>
      <c r="L191" s="603">
        <f ca="1"/>
        <v>0</v>
      </c>
      <c r="M191" s="603">
        <f ca="1"/>
        <v>0</v>
      </c>
      <c r="N191" s="603">
        <f ca="1"/>
        <v>0</v>
      </c>
      <c r="O191" s="603">
        <f ca="1"/>
        <v>0</v>
      </c>
      <c r="P191" s="603">
        <f ca="1"/>
        <v>0</v>
      </c>
      <c r="Q191" s="603">
        <f ca="1"/>
        <v>0</v>
      </c>
      <c r="R191" s="1992">
        <f t="array" aca="1" ref="R191:R195" ca="1">'Distr CV 5'!F191:F195</f>
        <v>0</v>
      </c>
      <c r="S191" s="1992">
        <f ca="1"/>
        <v>0</v>
      </c>
      <c r="T191" s="1992">
        <f ca="1"/>
        <v>0</v>
      </c>
      <c r="U191" s="1992">
        <f ca="1"/>
        <v>0</v>
      </c>
      <c r="V191" s="1992">
        <f ca="1"/>
        <v>0</v>
      </c>
      <c r="W191" s="1992">
        <f ca="1"/>
        <v>0</v>
      </c>
      <c r="X191" s="1992">
        <f ca="1"/>
        <v>0</v>
      </c>
      <c r="Y191" s="2010">
        <f ca="1"/>
        <v>0</v>
      </c>
    </row>
    <row r="192" spans="1:25">
      <c r="A192" s="1995" t="str">
        <f>A$81</f>
        <v>9 meses antes</v>
      </c>
      <c r="B192" s="1991"/>
      <c r="C192" s="1991"/>
      <c r="D192" s="1991"/>
      <c r="E192" s="603">
        <f t="array" aca="1" ref="E192:P192" ca="1">B24:M24*Produção!$E$12</f>
        <v>0</v>
      </c>
      <c r="F192" s="603">
        <f ca="1"/>
        <v>0</v>
      </c>
      <c r="G192" s="603">
        <f ca="1"/>
        <v>0</v>
      </c>
      <c r="H192" s="603">
        <f ca="1"/>
        <v>0</v>
      </c>
      <c r="I192" s="603">
        <f ca="1"/>
        <v>0</v>
      </c>
      <c r="J192" s="603">
        <f ca="1"/>
        <v>0</v>
      </c>
      <c r="K192" s="603">
        <f ca="1"/>
        <v>0</v>
      </c>
      <c r="L192" s="603">
        <f ca="1"/>
        <v>0</v>
      </c>
      <c r="M192" s="603">
        <f ca="1"/>
        <v>0</v>
      </c>
      <c r="N192" s="603">
        <f ca="1"/>
        <v>0</v>
      </c>
      <c r="O192" s="603">
        <f ca="1"/>
        <v>0</v>
      </c>
      <c r="P192" s="603">
        <f ca="1"/>
        <v>0</v>
      </c>
      <c r="Q192" s="1992">
        <f t="array" aca="1" ref="Q192:Q195" ca="1">'Distr CV 5'!E192:E195</f>
        <v>0</v>
      </c>
      <c r="R192" s="1992">
        <f ca="1"/>
        <v>0</v>
      </c>
      <c r="S192" s="1992">
        <f ca="1"/>
        <v>0</v>
      </c>
      <c r="T192" s="1992">
        <f ca="1"/>
        <v>0</v>
      </c>
      <c r="U192" s="1992">
        <f ca="1"/>
        <v>0</v>
      </c>
      <c r="V192" s="1992">
        <f ca="1"/>
        <v>0</v>
      </c>
      <c r="W192" s="1992">
        <f ca="1"/>
        <v>0</v>
      </c>
      <c r="X192" s="1992">
        <f ca="1"/>
        <v>0</v>
      </c>
      <c r="Y192" s="2010">
        <f ca="1"/>
        <v>0</v>
      </c>
    </row>
    <row r="193" spans="1:25">
      <c r="A193" s="1995" t="str">
        <f>A$82</f>
        <v>10 meses antes</v>
      </c>
      <c r="B193" s="1991"/>
      <c r="C193" s="1991"/>
      <c r="D193" s="603">
        <f t="array" aca="1" ref="D193:O193" ca="1">B24:M24*Produção!$D$12</f>
        <v>0</v>
      </c>
      <c r="E193" s="603">
        <f ca="1"/>
        <v>0</v>
      </c>
      <c r="F193" s="603">
        <f ca="1"/>
        <v>0</v>
      </c>
      <c r="G193" s="603">
        <f ca="1"/>
        <v>0</v>
      </c>
      <c r="H193" s="603">
        <f ca="1"/>
        <v>0</v>
      </c>
      <c r="I193" s="603">
        <f ca="1"/>
        <v>0</v>
      </c>
      <c r="J193" s="603">
        <f ca="1"/>
        <v>0</v>
      </c>
      <c r="K193" s="603">
        <f ca="1"/>
        <v>0</v>
      </c>
      <c r="L193" s="603">
        <f ca="1"/>
        <v>0</v>
      </c>
      <c r="M193" s="603">
        <f ca="1"/>
        <v>0</v>
      </c>
      <c r="N193" s="603">
        <f ca="1"/>
        <v>0</v>
      </c>
      <c r="O193" s="603">
        <f ca="1"/>
        <v>0</v>
      </c>
      <c r="P193" s="1992">
        <f t="array" aca="1" ref="P193:P195" ca="1">'Distr CV 5'!D193:D195</f>
        <v>0</v>
      </c>
      <c r="Q193" s="1992">
        <f ca="1"/>
        <v>0</v>
      </c>
      <c r="R193" s="1992">
        <f ca="1"/>
        <v>0</v>
      </c>
      <c r="S193" s="1992">
        <f ca="1"/>
        <v>0</v>
      </c>
      <c r="T193" s="1992">
        <f ca="1"/>
        <v>0</v>
      </c>
      <c r="U193" s="1992">
        <f ca="1"/>
        <v>0</v>
      </c>
      <c r="V193" s="1992">
        <f ca="1"/>
        <v>0</v>
      </c>
      <c r="W193" s="1992">
        <f ca="1"/>
        <v>0</v>
      </c>
      <c r="X193" s="1992">
        <f ca="1"/>
        <v>0</v>
      </c>
      <c r="Y193" s="2010">
        <f ca="1"/>
        <v>0</v>
      </c>
    </row>
    <row r="194" spans="1:25">
      <c r="A194" s="1995" t="str">
        <f>A$83</f>
        <v>11 meses antes</v>
      </c>
      <c r="B194" s="1991"/>
      <c r="C194" s="603">
        <f t="array" aca="1" ref="C194:N194" ca="1">B24:M24*Produção!$C$12</f>
        <v>0</v>
      </c>
      <c r="D194" s="603">
        <f ca="1"/>
        <v>0</v>
      </c>
      <c r="E194" s="603">
        <f ca="1"/>
        <v>0</v>
      </c>
      <c r="F194" s="603">
        <f ca="1"/>
        <v>0</v>
      </c>
      <c r="G194" s="603">
        <f ca="1"/>
        <v>0</v>
      </c>
      <c r="H194" s="603">
        <f ca="1"/>
        <v>0</v>
      </c>
      <c r="I194" s="603">
        <f ca="1"/>
        <v>0</v>
      </c>
      <c r="J194" s="603">
        <f ca="1"/>
        <v>0</v>
      </c>
      <c r="K194" s="603">
        <f ca="1"/>
        <v>0</v>
      </c>
      <c r="L194" s="603">
        <f ca="1"/>
        <v>0</v>
      </c>
      <c r="M194" s="603">
        <f ca="1"/>
        <v>0</v>
      </c>
      <c r="N194" s="603">
        <f ca="1"/>
        <v>0</v>
      </c>
      <c r="O194" s="1992">
        <f ca="1">'Distr CV 5'!C194</f>
        <v>0</v>
      </c>
      <c r="P194" s="1992">
        <f ca="1"/>
        <v>0</v>
      </c>
      <c r="Q194" s="1992">
        <f ca="1"/>
        <v>0</v>
      </c>
      <c r="R194" s="1992">
        <f ca="1"/>
        <v>0</v>
      </c>
      <c r="S194" s="1992">
        <f ca="1"/>
        <v>0</v>
      </c>
      <c r="T194" s="1992">
        <f ca="1"/>
        <v>0</v>
      </c>
      <c r="U194" s="1992">
        <f ca="1"/>
        <v>0</v>
      </c>
      <c r="V194" s="1992">
        <f ca="1"/>
        <v>0</v>
      </c>
      <c r="W194" s="1992">
        <f ca="1"/>
        <v>0</v>
      </c>
      <c r="X194" s="1992">
        <f ca="1"/>
        <v>0</v>
      </c>
      <c r="Y194" s="2010">
        <f ca="1"/>
        <v>0</v>
      </c>
    </row>
    <row r="195" spans="1:25" ht="13.5" thickBot="1">
      <c r="A195" s="1995" t="str">
        <f>A$84</f>
        <v>12 meses antes</v>
      </c>
      <c r="B195" s="603">
        <f t="array" aca="1" ref="B195:M195" ca="1">B24:M24*Produção!$B$12</f>
        <v>0</v>
      </c>
      <c r="C195" s="603">
        <f ca="1"/>
        <v>0</v>
      </c>
      <c r="D195" s="603">
        <f ca="1"/>
        <v>0</v>
      </c>
      <c r="E195" s="603">
        <f ca="1"/>
        <v>0</v>
      </c>
      <c r="F195" s="603">
        <f ca="1"/>
        <v>0</v>
      </c>
      <c r="G195" s="603">
        <f ca="1"/>
        <v>0</v>
      </c>
      <c r="H195" s="603">
        <f ca="1"/>
        <v>0</v>
      </c>
      <c r="I195" s="603">
        <f ca="1"/>
        <v>0</v>
      </c>
      <c r="J195" s="603">
        <f ca="1"/>
        <v>0</v>
      </c>
      <c r="K195" s="603">
        <f ca="1"/>
        <v>0</v>
      </c>
      <c r="L195" s="603">
        <f ca="1"/>
        <v>0</v>
      </c>
      <c r="M195" s="603">
        <f ca="1"/>
        <v>0</v>
      </c>
      <c r="N195" s="1991">
        <f ca="1">'Distr CV 5'!B195</f>
        <v>0</v>
      </c>
      <c r="O195" s="1992">
        <f ca="1">'Distr CV 5'!C195</f>
        <v>0</v>
      </c>
      <c r="P195" s="1992">
        <f ca="1"/>
        <v>0</v>
      </c>
      <c r="Q195" s="1992">
        <f ca="1"/>
        <v>0</v>
      </c>
      <c r="R195" s="1992">
        <f ca="1"/>
        <v>0</v>
      </c>
      <c r="S195" s="1992">
        <f ca="1"/>
        <v>0</v>
      </c>
      <c r="T195" s="1992">
        <f ca="1"/>
        <v>0</v>
      </c>
      <c r="U195" s="1992">
        <f ca="1"/>
        <v>0</v>
      </c>
      <c r="V195" s="1992">
        <f ca="1"/>
        <v>0</v>
      </c>
      <c r="W195" s="1992">
        <f ca="1"/>
        <v>0</v>
      </c>
      <c r="X195" s="1992">
        <f ca="1"/>
        <v>0</v>
      </c>
      <c r="Y195" s="2010">
        <f ca="1"/>
        <v>0</v>
      </c>
    </row>
    <row r="196" spans="1:25" ht="13.5" thickBot="1">
      <c r="A196" s="105" t="str">
        <f>"Totales CV "&amp;A$12</f>
        <v xml:space="preserve">Totales CV </v>
      </c>
      <c r="B196" s="607">
        <f t="shared" ref="B196:Y196" ca="1" si="15">SUM(B183:B195)</f>
        <v>0</v>
      </c>
      <c r="C196" s="607">
        <f t="shared" ca="1" si="15"/>
        <v>0</v>
      </c>
      <c r="D196" s="607">
        <f t="shared" ca="1" si="15"/>
        <v>0</v>
      </c>
      <c r="E196" s="607">
        <f t="shared" ca="1" si="15"/>
        <v>0</v>
      </c>
      <c r="F196" s="607">
        <f t="shared" ca="1" si="15"/>
        <v>0</v>
      </c>
      <c r="G196" s="607">
        <f t="shared" ca="1" si="15"/>
        <v>0</v>
      </c>
      <c r="H196" s="607">
        <f t="shared" ca="1" si="15"/>
        <v>0</v>
      </c>
      <c r="I196" s="607">
        <f t="shared" ca="1" si="15"/>
        <v>0</v>
      </c>
      <c r="J196" s="607">
        <f t="shared" ca="1" si="15"/>
        <v>0</v>
      </c>
      <c r="K196" s="607">
        <f t="shared" ca="1" si="15"/>
        <v>0</v>
      </c>
      <c r="L196" s="607">
        <f t="shared" ca="1" si="15"/>
        <v>0</v>
      </c>
      <c r="M196" s="607">
        <f t="shared" ca="1" si="15"/>
        <v>0</v>
      </c>
      <c r="N196" s="607">
        <f t="shared" ca="1" si="15"/>
        <v>0</v>
      </c>
      <c r="O196" s="607">
        <f t="shared" ca="1" si="15"/>
        <v>0</v>
      </c>
      <c r="P196" s="607">
        <f t="shared" ca="1" si="15"/>
        <v>0</v>
      </c>
      <c r="Q196" s="607">
        <f t="shared" ca="1" si="15"/>
        <v>0</v>
      </c>
      <c r="R196" s="607">
        <f t="shared" ca="1" si="15"/>
        <v>0</v>
      </c>
      <c r="S196" s="607">
        <f t="shared" ca="1" si="15"/>
        <v>0</v>
      </c>
      <c r="T196" s="607">
        <f t="shared" ca="1" si="15"/>
        <v>0</v>
      </c>
      <c r="U196" s="607">
        <f t="shared" ca="1" si="15"/>
        <v>0</v>
      </c>
      <c r="V196" s="607">
        <f t="shared" ca="1" si="15"/>
        <v>0</v>
      </c>
      <c r="W196" s="607">
        <f t="shared" ca="1" si="15"/>
        <v>0</v>
      </c>
      <c r="X196" s="607">
        <f t="shared" ca="1" si="15"/>
        <v>0</v>
      </c>
      <c r="Y196" s="2008">
        <f t="shared" ca="1" si="15"/>
        <v>0</v>
      </c>
    </row>
    <row r="197" spans="1:25" ht="13.5" thickBot="1">
      <c r="A197" s="105" t="str">
        <f>'Dados Básicos'!A28&amp;" sop. CV "&amp;$A$12</f>
        <v xml:space="preserve">IVA sop. CV </v>
      </c>
      <c r="B197" s="607">
        <f t="array" aca="1" ref="B197:Y197" ca="1">$K$181*B196:Y196</f>
        <v>0</v>
      </c>
      <c r="C197" s="607">
        <f ca="1"/>
        <v>0</v>
      </c>
      <c r="D197" s="607">
        <f ca="1"/>
        <v>0</v>
      </c>
      <c r="E197" s="607">
        <f ca="1"/>
        <v>0</v>
      </c>
      <c r="F197" s="607">
        <f ca="1"/>
        <v>0</v>
      </c>
      <c r="G197" s="607">
        <f ca="1"/>
        <v>0</v>
      </c>
      <c r="H197" s="607">
        <f ca="1"/>
        <v>0</v>
      </c>
      <c r="I197" s="607">
        <f ca="1"/>
        <v>0</v>
      </c>
      <c r="J197" s="607">
        <f ca="1"/>
        <v>0</v>
      </c>
      <c r="K197" s="607">
        <f ca="1"/>
        <v>0</v>
      </c>
      <c r="L197" s="607">
        <f ca="1"/>
        <v>0</v>
      </c>
      <c r="M197" s="607">
        <f ca="1"/>
        <v>0</v>
      </c>
      <c r="N197" s="607">
        <f ca="1"/>
        <v>0</v>
      </c>
      <c r="O197" s="607">
        <f ca="1"/>
        <v>0</v>
      </c>
      <c r="P197" s="607">
        <f ca="1"/>
        <v>0</v>
      </c>
      <c r="Q197" s="607">
        <f ca="1"/>
        <v>0</v>
      </c>
      <c r="R197" s="607">
        <f ca="1"/>
        <v>0</v>
      </c>
      <c r="S197" s="607">
        <f ca="1"/>
        <v>0</v>
      </c>
      <c r="T197" s="607">
        <f ca="1"/>
        <v>0</v>
      </c>
      <c r="U197" s="607">
        <f ca="1"/>
        <v>0</v>
      </c>
      <c r="V197" s="607">
        <f ca="1"/>
        <v>0</v>
      </c>
      <c r="W197" s="607">
        <f ca="1"/>
        <v>0</v>
      </c>
      <c r="X197" s="607">
        <f ca="1"/>
        <v>0</v>
      </c>
      <c r="Y197" s="2008">
        <f ca="1"/>
        <v>0</v>
      </c>
    </row>
    <row r="199" spans="1:25" ht="18.75" thickBot="1">
      <c r="A199" s="1993" t="str">
        <f>'Distr CV 0'!A199</f>
        <v xml:space="preserve">Compras / custos de producción por meses de </v>
      </c>
      <c r="I199" s="1993" t="str">
        <f>$I$109</f>
        <v>IVA NÃO incluido</v>
      </c>
      <c r="K199" s="2005">
        <f>Parametros!$F$29</f>
        <v>0.21</v>
      </c>
    </row>
    <row r="200" spans="1:25" ht="33" customHeight="1" thickBot="1">
      <c r="A200" s="457" t="str">
        <f>'Distr CV 0'!A200</f>
        <v>mes de compra / custo</v>
      </c>
      <c r="B200" s="2011" t="str">
        <f t="array" ref="B200:Y200">B$71:Y$71</f>
        <v>janeiro 
2029</v>
      </c>
      <c r="C200" s="2011" t="str">
        <v>fevereiro 
2029</v>
      </c>
      <c r="D200" s="2011" t="str">
        <v>março 
2029</v>
      </c>
      <c r="E200" s="2011" t="str">
        <v>abril 
2029</v>
      </c>
      <c r="F200" s="2011" t="str">
        <v>maio 
2029</v>
      </c>
      <c r="G200" s="2011" t="str">
        <v>junho 
2029</v>
      </c>
      <c r="H200" s="2011" t="str">
        <v>julho 
2029</v>
      </c>
      <c r="I200" s="2011" t="str">
        <v>agosto 
2029</v>
      </c>
      <c r="J200" s="2011" t="str">
        <v>setembro 
2029</v>
      </c>
      <c r="K200" s="2011" t="str">
        <v>outubro 
2029</v>
      </c>
      <c r="L200" s="2011" t="str">
        <v>novembro 
2029</v>
      </c>
      <c r="M200" s="2011" t="str">
        <v>dezembro 
2029</v>
      </c>
      <c r="N200" s="2734" t="str">
        <v>janeiro 
2030</v>
      </c>
      <c r="O200" s="2735" t="str">
        <v>fevereiro 
2030</v>
      </c>
      <c r="P200" s="2735" t="str">
        <v>março 
2030</v>
      </c>
      <c r="Q200" s="2735" t="str">
        <v>abril 
2030</v>
      </c>
      <c r="R200" s="2735" t="str">
        <v>maio 
2030</v>
      </c>
      <c r="S200" s="2735" t="str">
        <v>junho 
2030</v>
      </c>
      <c r="T200" s="2735" t="str">
        <v>julho 
2030</v>
      </c>
      <c r="U200" s="2735" t="str">
        <v>agosto 
2030</v>
      </c>
      <c r="V200" s="2735" t="str">
        <v>setembro 
2030</v>
      </c>
      <c r="W200" s="2735" t="str">
        <v>outubro 
2030</v>
      </c>
      <c r="X200" s="2735" t="str">
        <v>novembro 
2030</v>
      </c>
      <c r="Y200" s="2736" t="str">
        <v>dezembro 
2030</v>
      </c>
    </row>
    <row r="201" spans="1:25">
      <c r="A201" s="1994" t="str">
        <f>A$72</f>
        <v>mismo mes</v>
      </c>
      <c r="B201" s="1991"/>
      <c r="C201" s="1991"/>
      <c r="D201" s="1991"/>
      <c r="E201" s="1991"/>
      <c r="F201" s="1991"/>
      <c r="G201" s="1991"/>
      <c r="H201" s="1991"/>
      <c r="I201" s="1991"/>
      <c r="J201" s="1991"/>
      <c r="K201" s="1991"/>
      <c r="L201" s="1991"/>
      <c r="M201" s="1991"/>
      <c r="N201" s="603">
        <f t="array" aca="1" ref="N201:Y201" ca="1">B25:M25*Produção!$N$13</f>
        <v>0</v>
      </c>
      <c r="O201" s="603">
        <f ca="1"/>
        <v>0</v>
      </c>
      <c r="P201" s="603">
        <f ca="1"/>
        <v>0</v>
      </c>
      <c r="Q201" s="603">
        <f ca="1"/>
        <v>0</v>
      </c>
      <c r="R201" s="603">
        <f ca="1"/>
        <v>0</v>
      </c>
      <c r="S201" s="603">
        <f ca="1"/>
        <v>0</v>
      </c>
      <c r="T201" s="603">
        <f ca="1"/>
        <v>0</v>
      </c>
      <c r="U201" s="603">
        <f ca="1"/>
        <v>0</v>
      </c>
      <c r="V201" s="603">
        <f ca="1"/>
        <v>0</v>
      </c>
      <c r="W201" s="603">
        <f ca="1"/>
        <v>0</v>
      </c>
      <c r="X201" s="603">
        <f ca="1"/>
        <v>0</v>
      </c>
      <c r="Y201" s="2006">
        <f ca="1"/>
        <v>0</v>
      </c>
    </row>
    <row r="202" spans="1:25">
      <c r="A202" s="1995" t="str">
        <f>A$73</f>
        <v>1 mes antes</v>
      </c>
      <c r="B202" s="1991"/>
      <c r="C202" s="1991"/>
      <c r="D202" s="1991"/>
      <c r="E202" s="1991"/>
      <c r="F202" s="1991"/>
      <c r="G202" s="1991"/>
      <c r="H202" s="1991"/>
      <c r="I202" s="1991"/>
      <c r="J202" s="1991"/>
      <c r="K202" s="1991"/>
      <c r="L202" s="1991"/>
      <c r="M202" s="603">
        <f t="array" aca="1" ref="M202:X202" ca="1">B25:M25*Produção!$M$13</f>
        <v>0</v>
      </c>
      <c r="N202" s="603">
        <f ca="1"/>
        <v>0</v>
      </c>
      <c r="O202" s="603">
        <f ca="1"/>
        <v>0</v>
      </c>
      <c r="P202" s="603">
        <f ca="1"/>
        <v>0</v>
      </c>
      <c r="Q202" s="603">
        <f ca="1"/>
        <v>0</v>
      </c>
      <c r="R202" s="603">
        <f ca="1"/>
        <v>0</v>
      </c>
      <c r="S202" s="603">
        <f ca="1"/>
        <v>0</v>
      </c>
      <c r="T202" s="603">
        <f ca="1"/>
        <v>0</v>
      </c>
      <c r="U202" s="603">
        <f ca="1"/>
        <v>0</v>
      </c>
      <c r="V202" s="603">
        <f ca="1"/>
        <v>0</v>
      </c>
      <c r="W202" s="603">
        <f ca="1"/>
        <v>0</v>
      </c>
      <c r="X202" s="603">
        <f ca="1"/>
        <v>0</v>
      </c>
      <c r="Y202" s="2007">
        <f t="array" aca="1" ref="Y202:Y213" ca="1">'Distr CV 5'!M202:M213</f>
        <v>0</v>
      </c>
    </row>
    <row r="203" spans="1:25">
      <c r="A203" s="1995" t="str">
        <f>A$74</f>
        <v>2 meses antes</v>
      </c>
      <c r="B203" s="1991"/>
      <c r="C203" s="1991"/>
      <c r="D203" s="1991"/>
      <c r="E203" s="1991"/>
      <c r="F203" s="1991"/>
      <c r="G203" s="1991"/>
      <c r="H203" s="1991"/>
      <c r="I203" s="1991"/>
      <c r="J203" s="1991"/>
      <c r="K203" s="1991"/>
      <c r="L203" s="603">
        <f t="array" aca="1" ref="L203:W203" ca="1">B25:M25*Produção!$L$13</f>
        <v>0</v>
      </c>
      <c r="M203" s="603">
        <f ca="1"/>
        <v>0</v>
      </c>
      <c r="N203" s="603">
        <f ca="1"/>
        <v>0</v>
      </c>
      <c r="O203" s="603">
        <f ca="1"/>
        <v>0</v>
      </c>
      <c r="P203" s="603">
        <f ca="1"/>
        <v>0</v>
      </c>
      <c r="Q203" s="603">
        <f ca="1"/>
        <v>0</v>
      </c>
      <c r="R203" s="603">
        <f ca="1"/>
        <v>0</v>
      </c>
      <c r="S203" s="603">
        <f ca="1"/>
        <v>0</v>
      </c>
      <c r="T203" s="603">
        <f ca="1"/>
        <v>0</v>
      </c>
      <c r="U203" s="603">
        <f ca="1"/>
        <v>0</v>
      </c>
      <c r="V203" s="603">
        <f ca="1"/>
        <v>0</v>
      </c>
      <c r="W203" s="603">
        <f ca="1"/>
        <v>0</v>
      </c>
      <c r="X203" s="1988">
        <f t="array" aca="1" ref="X203:X213" ca="1">'Distr CV 5'!L203:L213</f>
        <v>0</v>
      </c>
      <c r="Y203" s="2007">
        <f ca="1"/>
        <v>0</v>
      </c>
    </row>
    <row r="204" spans="1:25">
      <c r="A204" s="1995" t="str">
        <f>A$75</f>
        <v>3 meses antes</v>
      </c>
      <c r="B204" s="1991"/>
      <c r="C204" s="1991"/>
      <c r="D204" s="1991"/>
      <c r="E204" s="1991"/>
      <c r="F204" s="1991"/>
      <c r="G204" s="1991"/>
      <c r="H204" s="1991"/>
      <c r="I204" s="1991"/>
      <c r="J204" s="1991"/>
      <c r="K204" s="603">
        <f t="array" aca="1" ref="K204:V204" ca="1">B25:M25*Produção!$K$13</f>
        <v>0</v>
      </c>
      <c r="L204" s="603">
        <f ca="1"/>
        <v>0</v>
      </c>
      <c r="M204" s="603">
        <f ca="1"/>
        <v>0</v>
      </c>
      <c r="N204" s="603">
        <f ca="1"/>
        <v>0</v>
      </c>
      <c r="O204" s="603">
        <f ca="1"/>
        <v>0</v>
      </c>
      <c r="P204" s="603">
        <f ca="1"/>
        <v>0</v>
      </c>
      <c r="Q204" s="603">
        <f ca="1"/>
        <v>0</v>
      </c>
      <c r="R204" s="603">
        <f ca="1"/>
        <v>0</v>
      </c>
      <c r="S204" s="603">
        <f ca="1"/>
        <v>0</v>
      </c>
      <c r="T204" s="603">
        <f ca="1"/>
        <v>0</v>
      </c>
      <c r="U204" s="603">
        <f ca="1"/>
        <v>0</v>
      </c>
      <c r="V204" s="603">
        <f ca="1"/>
        <v>0</v>
      </c>
      <c r="W204" s="1988">
        <f t="array" aca="1" ref="W204:W213" ca="1">'Distr CV 5'!K204:K213</f>
        <v>0</v>
      </c>
      <c r="X204" s="1988">
        <f ca="1"/>
        <v>0</v>
      </c>
      <c r="Y204" s="2007">
        <f ca="1"/>
        <v>0</v>
      </c>
    </row>
    <row r="205" spans="1:25">
      <c r="A205" s="1995" t="str">
        <f>A$76</f>
        <v>4 meses antes</v>
      </c>
      <c r="B205" s="1991"/>
      <c r="C205" s="1991"/>
      <c r="D205" s="1991"/>
      <c r="E205" s="1991"/>
      <c r="F205" s="1991"/>
      <c r="G205" s="1991"/>
      <c r="H205" s="1991"/>
      <c r="I205" s="1991"/>
      <c r="J205" s="603">
        <f t="array" aca="1" ref="J205:U205" ca="1">B25:M25*Produção!$J$13</f>
        <v>0</v>
      </c>
      <c r="K205" s="603">
        <f ca="1"/>
        <v>0</v>
      </c>
      <c r="L205" s="603">
        <f ca="1"/>
        <v>0</v>
      </c>
      <c r="M205" s="603">
        <f ca="1"/>
        <v>0</v>
      </c>
      <c r="N205" s="603">
        <f ca="1"/>
        <v>0</v>
      </c>
      <c r="O205" s="603">
        <f ca="1"/>
        <v>0</v>
      </c>
      <c r="P205" s="603">
        <f ca="1"/>
        <v>0</v>
      </c>
      <c r="Q205" s="603">
        <f ca="1"/>
        <v>0</v>
      </c>
      <c r="R205" s="603">
        <f ca="1"/>
        <v>0</v>
      </c>
      <c r="S205" s="603">
        <f ca="1"/>
        <v>0</v>
      </c>
      <c r="T205" s="603">
        <f ca="1"/>
        <v>0</v>
      </c>
      <c r="U205" s="603">
        <f ca="1"/>
        <v>0</v>
      </c>
      <c r="V205" s="1988">
        <f t="array" aca="1" ref="V205:V213" ca="1">'Distr CV 5'!J205:J213</f>
        <v>0</v>
      </c>
      <c r="W205" s="1988">
        <f ca="1"/>
        <v>0</v>
      </c>
      <c r="X205" s="1988">
        <f ca="1"/>
        <v>0</v>
      </c>
      <c r="Y205" s="2007">
        <f ca="1"/>
        <v>0</v>
      </c>
    </row>
    <row r="206" spans="1:25">
      <c r="A206" s="1995" t="str">
        <f>A$77</f>
        <v>5 meses antes</v>
      </c>
      <c r="B206" s="1991"/>
      <c r="C206" s="1991"/>
      <c r="D206" s="1991"/>
      <c r="E206" s="1991"/>
      <c r="F206" s="1991"/>
      <c r="G206" s="1991"/>
      <c r="H206" s="1991"/>
      <c r="I206" s="603">
        <f t="array" aca="1" ref="I206:T206" ca="1">B25:M25*Produção!$I$13</f>
        <v>0</v>
      </c>
      <c r="J206" s="603">
        <f ca="1"/>
        <v>0</v>
      </c>
      <c r="K206" s="603">
        <f ca="1"/>
        <v>0</v>
      </c>
      <c r="L206" s="603">
        <f ca="1"/>
        <v>0</v>
      </c>
      <c r="M206" s="603">
        <f ca="1"/>
        <v>0</v>
      </c>
      <c r="N206" s="603">
        <f ca="1"/>
        <v>0</v>
      </c>
      <c r="O206" s="603">
        <f ca="1"/>
        <v>0</v>
      </c>
      <c r="P206" s="603">
        <f ca="1"/>
        <v>0</v>
      </c>
      <c r="Q206" s="603">
        <f ca="1"/>
        <v>0</v>
      </c>
      <c r="R206" s="603">
        <f ca="1"/>
        <v>0</v>
      </c>
      <c r="S206" s="603">
        <f ca="1"/>
        <v>0</v>
      </c>
      <c r="T206" s="603">
        <f ca="1"/>
        <v>0</v>
      </c>
      <c r="U206" s="1988">
        <f t="array" aca="1" ref="U206:U213" ca="1">'Distr CV 5'!I206:I213</f>
        <v>0</v>
      </c>
      <c r="V206" s="1988">
        <f ca="1"/>
        <v>0</v>
      </c>
      <c r="W206" s="1988">
        <f ca="1"/>
        <v>0</v>
      </c>
      <c r="X206" s="1988">
        <f ca="1"/>
        <v>0</v>
      </c>
      <c r="Y206" s="2007">
        <f ca="1"/>
        <v>0</v>
      </c>
    </row>
    <row r="207" spans="1:25">
      <c r="A207" s="1995" t="str">
        <f>A$78</f>
        <v>6 meses antes</v>
      </c>
      <c r="B207" s="1991"/>
      <c r="C207" s="1991"/>
      <c r="D207" s="1991"/>
      <c r="E207" s="1991"/>
      <c r="F207" s="1991"/>
      <c r="G207" s="1991"/>
      <c r="H207" s="603">
        <f t="array" aca="1" ref="H207:S207" ca="1">B25:M25*Produção!$H$13</f>
        <v>0</v>
      </c>
      <c r="I207" s="603">
        <f ca="1"/>
        <v>0</v>
      </c>
      <c r="J207" s="603">
        <f ca="1"/>
        <v>0</v>
      </c>
      <c r="K207" s="603">
        <f ca="1"/>
        <v>0</v>
      </c>
      <c r="L207" s="603">
        <f ca="1"/>
        <v>0</v>
      </c>
      <c r="M207" s="603">
        <f ca="1"/>
        <v>0</v>
      </c>
      <c r="N207" s="603">
        <f ca="1"/>
        <v>0</v>
      </c>
      <c r="O207" s="603">
        <f ca="1"/>
        <v>0</v>
      </c>
      <c r="P207" s="603">
        <f ca="1"/>
        <v>0</v>
      </c>
      <c r="Q207" s="603">
        <f ca="1"/>
        <v>0</v>
      </c>
      <c r="R207" s="603">
        <f ca="1"/>
        <v>0</v>
      </c>
      <c r="S207" s="603">
        <f ca="1"/>
        <v>0</v>
      </c>
      <c r="T207" s="1988">
        <f t="array" aca="1" ref="T207:T213" ca="1">'Distr CV 5'!H207:H213</f>
        <v>0</v>
      </c>
      <c r="U207" s="1988">
        <f ca="1"/>
        <v>0</v>
      </c>
      <c r="V207" s="1988">
        <f ca="1"/>
        <v>0</v>
      </c>
      <c r="W207" s="1988">
        <f ca="1"/>
        <v>0</v>
      </c>
      <c r="X207" s="1988">
        <f ca="1"/>
        <v>0</v>
      </c>
      <c r="Y207" s="2007">
        <f ca="1"/>
        <v>0</v>
      </c>
    </row>
    <row r="208" spans="1:25">
      <c r="A208" s="1995" t="str">
        <f>A$79</f>
        <v>7 meses antes</v>
      </c>
      <c r="B208" s="1991"/>
      <c r="C208" s="1991"/>
      <c r="D208" s="1991"/>
      <c r="E208" s="1991"/>
      <c r="F208" s="1991"/>
      <c r="G208" s="603">
        <f t="array" aca="1" ref="G208:R208" ca="1">B25:M25*Produção!$G$13</f>
        <v>0</v>
      </c>
      <c r="H208" s="603">
        <f ca="1"/>
        <v>0</v>
      </c>
      <c r="I208" s="603">
        <f ca="1"/>
        <v>0</v>
      </c>
      <c r="J208" s="603">
        <f ca="1"/>
        <v>0</v>
      </c>
      <c r="K208" s="603">
        <f ca="1"/>
        <v>0</v>
      </c>
      <c r="L208" s="603">
        <f ca="1"/>
        <v>0</v>
      </c>
      <c r="M208" s="603">
        <f ca="1"/>
        <v>0</v>
      </c>
      <c r="N208" s="603">
        <f ca="1"/>
        <v>0</v>
      </c>
      <c r="O208" s="603">
        <f ca="1"/>
        <v>0</v>
      </c>
      <c r="P208" s="603">
        <f ca="1"/>
        <v>0</v>
      </c>
      <c r="Q208" s="603">
        <f ca="1"/>
        <v>0</v>
      </c>
      <c r="R208" s="603">
        <f ca="1"/>
        <v>0</v>
      </c>
      <c r="S208" s="1992">
        <f t="array" aca="1" ref="S208:S213" ca="1">'Distr CV 5'!G208:G213</f>
        <v>0</v>
      </c>
      <c r="T208" s="1992">
        <f ca="1"/>
        <v>0</v>
      </c>
      <c r="U208" s="1992">
        <f ca="1"/>
        <v>0</v>
      </c>
      <c r="V208" s="1992">
        <f ca="1"/>
        <v>0</v>
      </c>
      <c r="W208" s="1992">
        <f ca="1"/>
        <v>0</v>
      </c>
      <c r="X208" s="1992">
        <f ca="1"/>
        <v>0</v>
      </c>
      <c r="Y208" s="2010">
        <f ca="1"/>
        <v>0</v>
      </c>
    </row>
    <row r="209" spans="1:25">
      <c r="A209" s="1995" t="str">
        <f>A$80</f>
        <v>8 meses antes</v>
      </c>
      <c r="B209" s="1991"/>
      <c r="C209" s="1991"/>
      <c r="D209" s="1991"/>
      <c r="E209" s="1991"/>
      <c r="F209" s="603">
        <f t="array" aca="1" ref="F209:Q209" ca="1">B25:M25*Produção!$F$13</f>
        <v>0</v>
      </c>
      <c r="G209" s="603">
        <f ca="1"/>
        <v>0</v>
      </c>
      <c r="H209" s="603">
        <f ca="1"/>
        <v>0</v>
      </c>
      <c r="I209" s="603">
        <f ca="1"/>
        <v>0</v>
      </c>
      <c r="J209" s="603">
        <f ca="1"/>
        <v>0</v>
      </c>
      <c r="K209" s="603">
        <f ca="1"/>
        <v>0</v>
      </c>
      <c r="L209" s="603">
        <f ca="1"/>
        <v>0</v>
      </c>
      <c r="M209" s="603">
        <f ca="1"/>
        <v>0</v>
      </c>
      <c r="N209" s="603">
        <f ca="1"/>
        <v>0</v>
      </c>
      <c r="O209" s="603">
        <f ca="1"/>
        <v>0</v>
      </c>
      <c r="P209" s="603">
        <f ca="1"/>
        <v>0</v>
      </c>
      <c r="Q209" s="603">
        <f ca="1"/>
        <v>0</v>
      </c>
      <c r="R209" s="1992">
        <f t="array" aca="1" ref="R209:R213" ca="1">'Distr CV 5'!F209:F213</f>
        <v>0</v>
      </c>
      <c r="S209" s="1992">
        <f ca="1"/>
        <v>0</v>
      </c>
      <c r="T209" s="1992">
        <f ca="1"/>
        <v>0</v>
      </c>
      <c r="U209" s="1992">
        <f ca="1"/>
        <v>0</v>
      </c>
      <c r="V209" s="1992">
        <f ca="1"/>
        <v>0</v>
      </c>
      <c r="W209" s="1992">
        <f ca="1"/>
        <v>0</v>
      </c>
      <c r="X209" s="1992">
        <f ca="1"/>
        <v>0</v>
      </c>
      <c r="Y209" s="2010">
        <f ca="1"/>
        <v>0</v>
      </c>
    </row>
    <row r="210" spans="1:25">
      <c r="A210" s="1995" t="str">
        <f>A$81</f>
        <v>9 meses antes</v>
      </c>
      <c r="B210" s="1991"/>
      <c r="C210" s="1991"/>
      <c r="D210" s="1991"/>
      <c r="E210" s="603">
        <f t="array" aca="1" ref="E210:P210" ca="1">B25:M25*Produção!$E$13</f>
        <v>0</v>
      </c>
      <c r="F210" s="603">
        <f ca="1"/>
        <v>0</v>
      </c>
      <c r="G210" s="603">
        <f ca="1"/>
        <v>0</v>
      </c>
      <c r="H210" s="603">
        <f ca="1"/>
        <v>0</v>
      </c>
      <c r="I210" s="603">
        <f ca="1"/>
        <v>0</v>
      </c>
      <c r="J210" s="603">
        <f ca="1"/>
        <v>0</v>
      </c>
      <c r="K210" s="603">
        <f ca="1"/>
        <v>0</v>
      </c>
      <c r="L210" s="603">
        <f ca="1"/>
        <v>0</v>
      </c>
      <c r="M210" s="603">
        <f ca="1"/>
        <v>0</v>
      </c>
      <c r="N210" s="603">
        <f ca="1"/>
        <v>0</v>
      </c>
      <c r="O210" s="603">
        <f ca="1"/>
        <v>0</v>
      </c>
      <c r="P210" s="603">
        <f ca="1"/>
        <v>0</v>
      </c>
      <c r="Q210" s="1992">
        <f t="array" aca="1" ref="Q210:Q213" ca="1">'Distr CV 5'!E210:E213</f>
        <v>0</v>
      </c>
      <c r="R210" s="1992">
        <f ca="1"/>
        <v>0</v>
      </c>
      <c r="S210" s="1992">
        <f ca="1"/>
        <v>0</v>
      </c>
      <c r="T210" s="1992">
        <f ca="1"/>
        <v>0</v>
      </c>
      <c r="U210" s="1992">
        <f ca="1"/>
        <v>0</v>
      </c>
      <c r="V210" s="1992">
        <f ca="1"/>
        <v>0</v>
      </c>
      <c r="W210" s="1992">
        <f ca="1"/>
        <v>0</v>
      </c>
      <c r="X210" s="1992">
        <f ca="1"/>
        <v>0</v>
      </c>
      <c r="Y210" s="2010">
        <f ca="1"/>
        <v>0</v>
      </c>
    </row>
    <row r="211" spans="1:25">
      <c r="A211" s="1995" t="str">
        <f>A$82</f>
        <v>10 meses antes</v>
      </c>
      <c r="B211" s="1991"/>
      <c r="C211" s="1991"/>
      <c r="D211" s="603">
        <f t="array" aca="1" ref="D211:O211" ca="1">B25:M25*Produção!$D$13</f>
        <v>0</v>
      </c>
      <c r="E211" s="603">
        <f ca="1"/>
        <v>0</v>
      </c>
      <c r="F211" s="603">
        <f ca="1"/>
        <v>0</v>
      </c>
      <c r="G211" s="603">
        <f ca="1"/>
        <v>0</v>
      </c>
      <c r="H211" s="603">
        <f ca="1"/>
        <v>0</v>
      </c>
      <c r="I211" s="603">
        <f ca="1"/>
        <v>0</v>
      </c>
      <c r="J211" s="603">
        <f ca="1"/>
        <v>0</v>
      </c>
      <c r="K211" s="603">
        <f ca="1"/>
        <v>0</v>
      </c>
      <c r="L211" s="603">
        <f ca="1"/>
        <v>0</v>
      </c>
      <c r="M211" s="603">
        <f ca="1"/>
        <v>0</v>
      </c>
      <c r="N211" s="603">
        <f ca="1"/>
        <v>0</v>
      </c>
      <c r="O211" s="603">
        <f ca="1"/>
        <v>0</v>
      </c>
      <c r="P211" s="1992">
        <f t="array" aca="1" ref="P211:P213" ca="1">'Distr CV 5'!D211:D213</f>
        <v>0</v>
      </c>
      <c r="Q211" s="1992">
        <f ca="1"/>
        <v>0</v>
      </c>
      <c r="R211" s="1992">
        <f ca="1"/>
        <v>0</v>
      </c>
      <c r="S211" s="1992">
        <f ca="1"/>
        <v>0</v>
      </c>
      <c r="T211" s="1992">
        <f ca="1"/>
        <v>0</v>
      </c>
      <c r="U211" s="1992">
        <f ca="1"/>
        <v>0</v>
      </c>
      <c r="V211" s="1992">
        <f ca="1"/>
        <v>0</v>
      </c>
      <c r="W211" s="1992">
        <f ca="1"/>
        <v>0</v>
      </c>
      <c r="X211" s="1992">
        <f ca="1"/>
        <v>0</v>
      </c>
      <c r="Y211" s="2010">
        <f ca="1"/>
        <v>0</v>
      </c>
    </row>
    <row r="212" spans="1:25">
      <c r="A212" s="1995" t="str">
        <f>A$83</f>
        <v>11 meses antes</v>
      </c>
      <c r="B212" s="1991"/>
      <c r="C212" s="603">
        <f t="array" aca="1" ref="C212:N212" ca="1">B25:M25*Produção!$C$13</f>
        <v>0</v>
      </c>
      <c r="D212" s="603">
        <f ca="1"/>
        <v>0</v>
      </c>
      <c r="E212" s="603">
        <f ca="1"/>
        <v>0</v>
      </c>
      <c r="F212" s="603">
        <f ca="1"/>
        <v>0</v>
      </c>
      <c r="G212" s="603">
        <f ca="1"/>
        <v>0</v>
      </c>
      <c r="H212" s="603">
        <f ca="1"/>
        <v>0</v>
      </c>
      <c r="I212" s="603">
        <f ca="1"/>
        <v>0</v>
      </c>
      <c r="J212" s="603">
        <f ca="1"/>
        <v>0</v>
      </c>
      <c r="K212" s="603">
        <f ca="1"/>
        <v>0</v>
      </c>
      <c r="L212" s="603">
        <f ca="1"/>
        <v>0</v>
      </c>
      <c r="M212" s="603">
        <f ca="1"/>
        <v>0</v>
      </c>
      <c r="N212" s="603">
        <f ca="1"/>
        <v>0</v>
      </c>
      <c r="O212" s="1992">
        <f ca="1">'Distr CV 5'!C212</f>
        <v>0</v>
      </c>
      <c r="P212" s="1992">
        <f ca="1"/>
        <v>0</v>
      </c>
      <c r="Q212" s="1992">
        <f ca="1"/>
        <v>0</v>
      </c>
      <c r="R212" s="1992">
        <f ca="1"/>
        <v>0</v>
      </c>
      <c r="S212" s="1992">
        <f ca="1"/>
        <v>0</v>
      </c>
      <c r="T212" s="1992">
        <f ca="1"/>
        <v>0</v>
      </c>
      <c r="U212" s="1992">
        <f ca="1"/>
        <v>0</v>
      </c>
      <c r="V212" s="1992">
        <f ca="1"/>
        <v>0</v>
      </c>
      <c r="W212" s="1992">
        <f ca="1"/>
        <v>0</v>
      </c>
      <c r="X212" s="1992">
        <f ca="1"/>
        <v>0</v>
      </c>
      <c r="Y212" s="2010">
        <f ca="1"/>
        <v>0</v>
      </c>
    </row>
    <row r="213" spans="1:25" ht="13.5" thickBot="1">
      <c r="A213" s="1995" t="str">
        <f>A$84</f>
        <v>12 meses antes</v>
      </c>
      <c r="B213" s="603">
        <f t="array" aca="1" ref="B213:M213" ca="1">B25:M25*Produção!$B$13</f>
        <v>0</v>
      </c>
      <c r="C213" s="603">
        <f ca="1"/>
        <v>0</v>
      </c>
      <c r="D213" s="603">
        <f ca="1"/>
        <v>0</v>
      </c>
      <c r="E213" s="603">
        <f ca="1"/>
        <v>0</v>
      </c>
      <c r="F213" s="603">
        <f ca="1"/>
        <v>0</v>
      </c>
      <c r="G213" s="603">
        <f ca="1"/>
        <v>0</v>
      </c>
      <c r="H213" s="603">
        <f ca="1"/>
        <v>0</v>
      </c>
      <c r="I213" s="603">
        <f ca="1"/>
        <v>0</v>
      </c>
      <c r="J213" s="603">
        <f ca="1"/>
        <v>0</v>
      </c>
      <c r="K213" s="603">
        <f ca="1"/>
        <v>0</v>
      </c>
      <c r="L213" s="603">
        <f ca="1"/>
        <v>0</v>
      </c>
      <c r="M213" s="603">
        <f ca="1"/>
        <v>0</v>
      </c>
      <c r="N213" s="1991">
        <f ca="1">'Distr CV 5'!B213</f>
        <v>0</v>
      </c>
      <c r="O213" s="1992">
        <f ca="1">'Distr CV 5'!C213</f>
        <v>0</v>
      </c>
      <c r="P213" s="1992">
        <f ca="1"/>
        <v>0</v>
      </c>
      <c r="Q213" s="1992">
        <f ca="1"/>
        <v>0</v>
      </c>
      <c r="R213" s="1992">
        <f ca="1"/>
        <v>0</v>
      </c>
      <c r="S213" s="1992">
        <f ca="1"/>
        <v>0</v>
      </c>
      <c r="T213" s="1992">
        <f ca="1"/>
        <v>0</v>
      </c>
      <c r="U213" s="1992">
        <f ca="1"/>
        <v>0</v>
      </c>
      <c r="V213" s="1992">
        <f ca="1"/>
        <v>0</v>
      </c>
      <c r="W213" s="1992">
        <f ca="1"/>
        <v>0</v>
      </c>
      <c r="X213" s="1992">
        <f ca="1"/>
        <v>0</v>
      </c>
      <c r="Y213" s="2010">
        <f ca="1"/>
        <v>0</v>
      </c>
    </row>
    <row r="214" spans="1:25" ht="13.5" thickBot="1">
      <c r="A214" s="105" t="str">
        <f>"Totales CV "&amp;A$13</f>
        <v xml:space="preserve">Totales CV </v>
      </c>
      <c r="B214" s="607">
        <f t="shared" ref="B214:Y214" ca="1" si="16">SUM(B201:B213)</f>
        <v>0</v>
      </c>
      <c r="C214" s="607">
        <f t="shared" ca="1" si="16"/>
        <v>0</v>
      </c>
      <c r="D214" s="607">
        <f t="shared" ca="1" si="16"/>
        <v>0</v>
      </c>
      <c r="E214" s="607">
        <f t="shared" ca="1" si="16"/>
        <v>0</v>
      </c>
      <c r="F214" s="607">
        <f t="shared" ca="1" si="16"/>
        <v>0</v>
      </c>
      <c r="G214" s="607">
        <f t="shared" ca="1" si="16"/>
        <v>0</v>
      </c>
      <c r="H214" s="607">
        <f t="shared" ca="1" si="16"/>
        <v>0</v>
      </c>
      <c r="I214" s="607">
        <f t="shared" ca="1" si="16"/>
        <v>0</v>
      </c>
      <c r="J214" s="607">
        <f t="shared" ca="1" si="16"/>
        <v>0</v>
      </c>
      <c r="K214" s="607">
        <f t="shared" ca="1" si="16"/>
        <v>0</v>
      </c>
      <c r="L214" s="607">
        <f t="shared" ca="1" si="16"/>
        <v>0</v>
      </c>
      <c r="M214" s="607">
        <f t="shared" ca="1" si="16"/>
        <v>0</v>
      </c>
      <c r="N214" s="607">
        <f t="shared" ca="1" si="16"/>
        <v>0</v>
      </c>
      <c r="O214" s="607">
        <f t="shared" ca="1" si="16"/>
        <v>0</v>
      </c>
      <c r="P214" s="607">
        <f t="shared" ca="1" si="16"/>
        <v>0</v>
      </c>
      <c r="Q214" s="607">
        <f t="shared" ca="1" si="16"/>
        <v>0</v>
      </c>
      <c r="R214" s="607">
        <f t="shared" ca="1" si="16"/>
        <v>0</v>
      </c>
      <c r="S214" s="607">
        <f t="shared" ca="1" si="16"/>
        <v>0</v>
      </c>
      <c r="T214" s="607">
        <f t="shared" ca="1" si="16"/>
        <v>0</v>
      </c>
      <c r="U214" s="607">
        <f t="shared" ca="1" si="16"/>
        <v>0</v>
      </c>
      <c r="V214" s="607">
        <f t="shared" ca="1" si="16"/>
        <v>0</v>
      </c>
      <c r="W214" s="607">
        <f t="shared" ca="1" si="16"/>
        <v>0</v>
      </c>
      <c r="X214" s="607">
        <f t="shared" ca="1" si="16"/>
        <v>0</v>
      </c>
      <c r="Y214" s="2008">
        <f t="shared" ca="1" si="16"/>
        <v>0</v>
      </c>
    </row>
    <row r="215" spans="1:25" ht="13.5" thickBot="1">
      <c r="A215" s="105" t="str">
        <f>'Dados Básicos'!A28&amp;" sop. CV "&amp;$A$13</f>
        <v xml:space="preserve">IVA sop. CV </v>
      </c>
      <c r="B215" s="607">
        <f t="array" aca="1" ref="B215:Y215" ca="1">$K$199*B214:Y214</f>
        <v>0</v>
      </c>
      <c r="C215" s="607">
        <f ca="1"/>
        <v>0</v>
      </c>
      <c r="D215" s="607">
        <f ca="1"/>
        <v>0</v>
      </c>
      <c r="E215" s="607">
        <f ca="1"/>
        <v>0</v>
      </c>
      <c r="F215" s="607">
        <f ca="1"/>
        <v>0</v>
      </c>
      <c r="G215" s="607">
        <f ca="1"/>
        <v>0</v>
      </c>
      <c r="H215" s="607">
        <f ca="1"/>
        <v>0</v>
      </c>
      <c r="I215" s="607">
        <f ca="1"/>
        <v>0</v>
      </c>
      <c r="J215" s="607">
        <f ca="1"/>
        <v>0</v>
      </c>
      <c r="K215" s="607">
        <f ca="1"/>
        <v>0</v>
      </c>
      <c r="L215" s="607">
        <f ca="1"/>
        <v>0</v>
      </c>
      <c r="M215" s="607">
        <f ca="1"/>
        <v>0</v>
      </c>
      <c r="N215" s="607">
        <f ca="1"/>
        <v>0</v>
      </c>
      <c r="O215" s="607">
        <f ca="1"/>
        <v>0</v>
      </c>
      <c r="P215" s="607">
        <f ca="1"/>
        <v>0</v>
      </c>
      <c r="Q215" s="607">
        <f ca="1"/>
        <v>0</v>
      </c>
      <c r="R215" s="607">
        <f ca="1"/>
        <v>0</v>
      </c>
      <c r="S215" s="607">
        <f ca="1"/>
        <v>0</v>
      </c>
      <c r="T215" s="607">
        <f ca="1"/>
        <v>0</v>
      </c>
      <c r="U215" s="607">
        <f ca="1"/>
        <v>0</v>
      </c>
      <c r="V215" s="607">
        <f ca="1"/>
        <v>0</v>
      </c>
      <c r="W215" s="607">
        <f ca="1"/>
        <v>0</v>
      </c>
      <c r="X215" s="607">
        <f ca="1"/>
        <v>0</v>
      </c>
      <c r="Y215" s="2008">
        <f ca="1"/>
        <v>0</v>
      </c>
    </row>
    <row r="217" spans="1:25" ht="18.75" thickBot="1">
      <c r="A217" s="1993" t="str">
        <f>'Distr CV 0'!A217</f>
        <v xml:space="preserve">Compras / custos de producción por meses de </v>
      </c>
      <c r="I217" s="1993" t="str">
        <f>$I$109</f>
        <v>IVA NÃO incluido</v>
      </c>
      <c r="K217" s="2005">
        <f>Parametros!$F$30</f>
        <v>0.21</v>
      </c>
    </row>
    <row r="218" spans="1:25" ht="33" customHeight="1" thickBot="1">
      <c r="A218" s="457" t="str">
        <f>'Distr CV 0'!A218</f>
        <v>mes de compra / custo</v>
      </c>
      <c r="B218" s="2011" t="str">
        <f t="array" ref="B218:Y218">B$71:Y$71</f>
        <v>janeiro 
2029</v>
      </c>
      <c r="C218" s="2011" t="str">
        <v>fevereiro 
2029</v>
      </c>
      <c r="D218" s="2011" t="str">
        <v>março 
2029</v>
      </c>
      <c r="E218" s="2011" t="str">
        <v>abril 
2029</v>
      </c>
      <c r="F218" s="2011" t="str">
        <v>maio 
2029</v>
      </c>
      <c r="G218" s="2011" t="str">
        <v>junho 
2029</v>
      </c>
      <c r="H218" s="2011" t="str">
        <v>julho 
2029</v>
      </c>
      <c r="I218" s="2011" t="str">
        <v>agosto 
2029</v>
      </c>
      <c r="J218" s="2011" t="str">
        <v>setembro 
2029</v>
      </c>
      <c r="K218" s="2011" t="str">
        <v>outubro 
2029</v>
      </c>
      <c r="L218" s="2011" t="str">
        <v>novembro 
2029</v>
      </c>
      <c r="M218" s="2011" t="str">
        <v>dezembro 
2029</v>
      </c>
      <c r="N218" s="2734" t="str">
        <v>janeiro 
2030</v>
      </c>
      <c r="O218" s="2735" t="str">
        <v>fevereiro 
2030</v>
      </c>
      <c r="P218" s="2735" t="str">
        <v>março 
2030</v>
      </c>
      <c r="Q218" s="2735" t="str">
        <v>abril 
2030</v>
      </c>
      <c r="R218" s="2735" t="str">
        <v>maio 
2030</v>
      </c>
      <c r="S218" s="2735" t="str">
        <v>junho 
2030</v>
      </c>
      <c r="T218" s="2735" t="str">
        <v>julho 
2030</v>
      </c>
      <c r="U218" s="2735" t="str">
        <v>agosto 
2030</v>
      </c>
      <c r="V218" s="2735" t="str">
        <v>setembro 
2030</v>
      </c>
      <c r="W218" s="2735" t="str">
        <v>outubro 
2030</v>
      </c>
      <c r="X218" s="2735" t="str">
        <v>novembro 
2030</v>
      </c>
      <c r="Y218" s="2736" t="str">
        <v>dezembro 
2030</v>
      </c>
    </row>
    <row r="219" spans="1:25">
      <c r="A219" s="1994" t="str">
        <f>A$72</f>
        <v>mismo mes</v>
      </c>
      <c r="B219" s="1991"/>
      <c r="C219" s="1991"/>
      <c r="D219" s="1991"/>
      <c r="E219" s="1991"/>
      <c r="F219" s="1991"/>
      <c r="G219" s="1991"/>
      <c r="H219" s="1991"/>
      <c r="I219" s="1991"/>
      <c r="J219" s="1991"/>
      <c r="K219" s="1991"/>
      <c r="L219" s="1991"/>
      <c r="M219" s="1991"/>
      <c r="N219" s="603">
        <f t="array" aca="1" ref="N219:Y219" ca="1">B26:M26*Produção!$N$14</f>
        <v>0</v>
      </c>
      <c r="O219" s="603">
        <f ca="1"/>
        <v>0</v>
      </c>
      <c r="P219" s="603">
        <f ca="1"/>
        <v>0</v>
      </c>
      <c r="Q219" s="603">
        <f ca="1"/>
        <v>0</v>
      </c>
      <c r="R219" s="603">
        <f ca="1"/>
        <v>0</v>
      </c>
      <c r="S219" s="603">
        <f ca="1"/>
        <v>0</v>
      </c>
      <c r="T219" s="603">
        <f ca="1"/>
        <v>0</v>
      </c>
      <c r="U219" s="603">
        <f ca="1"/>
        <v>0</v>
      </c>
      <c r="V219" s="603">
        <f ca="1"/>
        <v>0</v>
      </c>
      <c r="W219" s="603">
        <f ca="1"/>
        <v>0</v>
      </c>
      <c r="X219" s="603">
        <f ca="1"/>
        <v>0</v>
      </c>
      <c r="Y219" s="2006">
        <f ca="1"/>
        <v>0</v>
      </c>
    </row>
    <row r="220" spans="1:25">
      <c r="A220" s="1995" t="str">
        <f>A$73</f>
        <v>1 mes antes</v>
      </c>
      <c r="B220" s="1991"/>
      <c r="C220" s="1991"/>
      <c r="D220" s="1991"/>
      <c r="E220" s="1991"/>
      <c r="F220" s="1991"/>
      <c r="G220" s="1991"/>
      <c r="H220" s="1991"/>
      <c r="I220" s="1991"/>
      <c r="J220" s="1991"/>
      <c r="K220" s="1991"/>
      <c r="L220" s="1991"/>
      <c r="M220" s="603">
        <f t="array" aca="1" ref="M220:X220" ca="1">B26:M26*Produção!$M$14</f>
        <v>0</v>
      </c>
      <c r="N220" s="603">
        <f ca="1"/>
        <v>0</v>
      </c>
      <c r="O220" s="603">
        <f ca="1"/>
        <v>0</v>
      </c>
      <c r="P220" s="603">
        <f ca="1"/>
        <v>0</v>
      </c>
      <c r="Q220" s="603">
        <f ca="1"/>
        <v>0</v>
      </c>
      <c r="R220" s="603">
        <f ca="1"/>
        <v>0</v>
      </c>
      <c r="S220" s="603">
        <f ca="1"/>
        <v>0</v>
      </c>
      <c r="T220" s="603">
        <f ca="1"/>
        <v>0</v>
      </c>
      <c r="U220" s="603">
        <f ca="1"/>
        <v>0</v>
      </c>
      <c r="V220" s="603">
        <f ca="1"/>
        <v>0</v>
      </c>
      <c r="W220" s="603">
        <f ca="1"/>
        <v>0</v>
      </c>
      <c r="X220" s="603">
        <f ca="1"/>
        <v>0</v>
      </c>
      <c r="Y220" s="2007">
        <f t="array" aca="1" ref="Y220:Y231" ca="1">'Distr CV 5'!M220:M231</f>
        <v>0</v>
      </c>
    </row>
    <row r="221" spans="1:25">
      <c r="A221" s="1995" t="str">
        <f>A$74</f>
        <v>2 meses antes</v>
      </c>
      <c r="B221" s="1991"/>
      <c r="C221" s="1991"/>
      <c r="D221" s="1991"/>
      <c r="E221" s="1991"/>
      <c r="F221" s="1991"/>
      <c r="G221" s="1991"/>
      <c r="H221" s="1991"/>
      <c r="I221" s="1991"/>
      <c r="J221" s="1991"/>
      <c r="K221" s="1991"/>
      <c r="L221" s="603">
        <f t="array" aca="1" ref="L221:W221" ca="1">B26:M26*Produção!$L$14</f>
        <v>0</v>
      </c>
      <c r="M221" s="603">
        <f ca="1"/>
        <v>0</v>
      </c>
      <c r="N221" s="603">
        <f ca="1"/>
        <v>0</v>
      </c>
      <c r="O221" s="603">
        <f ca="1"/>
        <v>0</v>
      </c>
      <c r="P221" s="603">
        <f ca="1"/>
        <v>0</v>
      </c>
      <c r="Q221" s="603">
        <f ca="1"/>
        <v>0</v>
      </c>
      <c r="R221" s="603">
        <f ca="1"/>
        <v>0</v>
      </c>
      <c r="S221" s="603">
        <f ca="1"/>
        <v>0</v>
      </c>
      <c r="T221" s="603">
        <f ca="1"/>
        <v>0</v>
      </c>
      <c r="U221" s="603">
        <f ca="1"/>
        <v>0</v>
      </c>
      <c r="V221" s="603">
        <f ca="1"/>
        <v>0</v>
      </c>
      <c r="W221" s="603">
        <f ca="1"/>
        <v>0</v>
      </c>
      <c r="X221" s="1988">
        <f t="array" aca="1" ref="X221:X231" ca="1">'Distr CV 5'!L221:L231</f>
        <v>0</v>
      </c>
      <c r="Y221" s="2007">
        <f ca="1"/>
        <v>0</v>
      </c>
    </row>
    <row r="222" spans="1:25">
      <c r="A222" s="1995" t="str">
        <f>A$75</f>
        <v>3 meses antes</v>
      </c>
      <c r="B222" s="1991"/>
      <c r="C222" s="1991"/>
      <c r="D222" s="1991"/>
      <c r="E222" s="1991"/>
      <c r="F222" s="1991"/>
      <c r="G222" s="1991"/>
      <c r="H222" s="1991"/>
      <c r="I222" s="1991"/>
      <c r="J222" s="1991"/>
      <c r="K222" s="603">
        <f t="array" aca="1" ref="K222:V222" ca="1">B26:M26*Produção!$K$14</f>
        <v>0</v>
      </c>
      <c r="L222" s="603">
        <f ca="1"/>
        <v>0</v>
      </c>
      <c r="M222" s="603">
        <f ca="1"/>
        <v>0</v>
      </c>
      <c r="N222" s="603">
        <f ca="1"/>
        <v>0</v>
      </c>
      <c r="O222" s="603">
        <f ca="1"/>
        <v>0</v>
      </c>
      <c r="P222" s="603">
        <f ca="1"/>
        <v>0</v>
      </c>
      <c r="Q222" s="603">
        <f ca="1"/>
        <v>0</v>
      </c>
      <c r="R222" s="603">
        <f ca="1"/>
        <v>0</v>
      </c>
      <c r="S222" s="603">
        <f ca="1"/>
        <v>0</v>
      </c>
      <c r="T222" s="603">
        <f ca="1"/>
        <v>0</v>
      </c>
      <c r="U222" s="603">
        <f ca="1"/>
        <v>0</v>
      </c>
      <c r="V222" s="603">
        <f ca="1"/>
        <v>0</v>
      </c>
      <c r="W222" s="1988">
        <f t="array" aca="1" ref="W222:W231" ca="1">'Distr CV 5'!K222:K231</f>
        <v>0</v>
      </c>
      <c r="X222" s="1988">
        <f ca="1"/>
        <v>0</v>
      </c>
      <c r="Y222" s="2007">
        <f ca="1"/>
        <v>0</v>
      </c>
    </row>
    <row r="223" spans="1:25">
      <c r="A223" s="1995" t="str">
        <f>A$76</f>
        <v>4 meses antes</v>
      </c>
      <c r="B223" s="1991"/>
      <c r="C223" s="1991"/>
      <c r="D223" s="1991"/>
      <c r="E223" s="1991"/>
      <c r="F223" s="1991"/>
      <c r="G223" s="1991"/>
      <c r="H223" s="1991"/>
      <c r="I223" s="1991"/>
      <c r="J223" s="603">
        <f t="array" aca="1" ref="J223:U223" ca="1">B26:M26*Produção!$J$14</f>
        <v>0</v>
      </c>
      <c r="K223" s="603">
        <f ca="1"/>
        <v>0</v>
      </c>
      <c r="L223" s="603">
        <f ca="1"/>
        <v>0</v>
      </c>
      <c r="M223" s="603">
        <f ca="1"/>
        <v>0</v>
      </c>
      <c r="N223" s="603">
        <f ca="1"/>
        <v>0</v>
      </c>
      <c r="O223" s="603">
        <f ca="1"/>
        <v>0</v>
      </c>
      <c r="P223" s="603">
        <f ca="1"/>
        <v>0</v>
      </c>
      <c r="Q223" s="603">
        <f ca="1"/>
        <v>0</v>
      </c>
      <c r="R223" s="603">
        <f ca="1"/>
        <v>0</v>
      </c>
      <c r="S223" s="603">
        <f ca="1"/>
        <v>0</v>
      </c>
      <c r="T223" s="603">
        <f ca="1"/>
        <v>0</v>
      </c>
      <c r="U223" s="603">
        <f ca="1"/>
        <v>0</v>
      </c>
      <c r="V223" s="1988">
        <f t="array" aca="1" ref="V223:V231" ca="1">'Distr CV 5'!J223:J231</f>
        <v>0</v>
      </c>
      <c r="W223" s="1988">
        <f ca="1"/>
        <v>0</v>
      </c>
      <c r="X223" s="1988">
        <f ca="1"/>
        <v>0</v>
      </c>
      <c r="Y223" s="2007">
        <f ca="1"/>
        <v>0</v>
      </c>
    </row>
    <row r="224" spans="1:25">
      <c r="A224" s="1995" t="str">
        <f>A$77</f>
        <v>5 meses antes</v>
      </c>
      <c r="B224" s="1991"/>
      <c r="C224" s="1991"/>
      <c r="D224" s="1991"/>
      <c r="E224" s="1991"/>
      <c r="F224" s="1991"/>
      <c r="G224" s="1991"/>
      <c r="H224" s="1991"/>
      <c r="I224" s="603">
        <f t="array" aca="1" ref="I224:T224" ca="1">B26:M26*Produção!$I$14</f>
        <v>0</v>
      </c>
      <c r="J224" s="603">
        <f ca="1"/>
        <v>0</v>
      </c>
      <c r="K224" s="603">
        <f ca="1"/>
        <v>0</v>
      </c>
      <c r="L224" s="603">
        <f ca="1"/>
        <v>0</v>
      </c>
      <c r="M224" s="603">
        <f ca="1"/>
        <v>0</v>
      </c>
      <c r="N224" s="603">
        <f ca="1"/>
        <v>0</v>
      </c>
      <c r="O224" s="603">
        <f ca="1"/>
        <v>0</v>
      </c>
      <c r="P224" s="603">
        <f ca="1"/>
        <v>0</v>
      </c>
      <c r="Q224" s="603">
        <f ca="1"/>
        <v>0</v>
      </c>
      <c r="R224" s="603">
        <f ca="1"/>
        <v>0</v>
      </c>
      <c r="S224" s="603">
        <f ca="1"/>
        <v>0</v>
      </c>
      <c r="T224" s="603">
        <f ca="1"/>
        <v>0</v>
      </c>
      <c r="U224" s="1988">
        <f t="array" aca="1" ref="U224:U231" ca="1">'Distr CV 5'!I224:I231</f>
        <v>0</v>
      </c>
      <c r="V224" s="1988">
        <f ca="1"/>
        <v>0</v>
      </c>
      <c r="W224" s="1988">
        <f ca="1"/>
        <v>0</v>
      </c>
      <c r="X224" s="1988">
        <f ca="1"/>
        <v>0</v>
      </c>
      <c r="Y224" s="2007">
        <f ca="1"/>
        <v>0</v>
      </c>
    </row>
    <row r="225" spans="1:25">
      <c r="A225" s="1995" t="str">
        <f>A$78</f>
        <v>6 meses antes</v>
      </c>
      <c r="B225" s="1991"/>
      <c r="C225" s="1991"/>
      <c r="D225" s="1991"/>
      <c r="E225" s="1991"/>
      <c r="F225" s="1991"/>
      <c r="G225" s="1991"/>
      <c r="H225" s="603">
        <f t="array" aca="1" ref="H225:S225" ca="1">B26:M26*Produção!$H$14</f>
        <v>0</v>
      </c>
      <c r="I225" s="603">
        <f ca="1"/>
        <v>0</v>
      </c>
      <c r="J225" s="603">
        <f ca="1"/>
        <v>0</v>
      </c>
      <c r="K225" s="603">
        <f ca="1"/>
        <v>0</v>
      </c>
      <c r="L225" s="603">
        <f ca="1"/>
        <v>0</v>
      </c>
      <c r="M225" s="603">
        <f ca="1"/>
        <v>0</v>
      </c>
      <c r="N225" s="603">
        <f ca="1"/>
        <v>0</v>
      </c>
      <c r="O225" s="603">
        <f ca="1"/>
        <v>0</v>
      </c>
      <c r="P225" s="603">
        <f ca="1"/>
        <v>0</v>
      </c>
      <c r="Q225" s="603">
        <f ca="1"/>
        <v>0</v>
      </c>
      <c r="R225" s="603">
        <f ca="1"/>
        <v>0</v>
      </c>
      <c r="S225" s="603">
        <f ca="1"/>
        <v>0</v>
      </c>
      <c r="T225" s="1988">
        <f t="array" aca="1" ref="T225:T231" ca="1">'Distr CV 5'!H225:H231</f>
        <v>0</v>
      </c>
      <c r="U225" s="1988">
        <f ca="1"/>
        <v>0</v>
      </c>
      <c r="V225" s="1988">
        <f ca="1"/>
        <v>0</v>
      </c>
      <c r="W225" s="1988">
        <f ca="1"/>
        <v>0</v>
      </c>
      <c r="X225" s="1988">
        <f ca="1"/>
        <v>0</v>
      </c>
      <c r="Y225" s="2007">
        <f ca="1"/>
        <v>0</v>
      </c>
    </row>
    <row r="226" spans="1:25">
      <c r="A226" s="1995" t="str">
        <f>A$79</f>
        <v>7 meses antes</v>
      </c>
      <c r="B226" s="1991"/>
      <c r="C226" s="1991"/>
      <c r="D226" s="1991"/>
      <c r="E226" s="1991"/>
      <c r="F226" s="1991"/>
      <c r="G226" s="603">
        <f t="array" aca="1" ref="G226:R226" ca="1">B26:M26*Produção!$G$14</f>
        <v>0</v>
      </c>
      <c r="H226" s="603">
        <f ca="1"/>
        <v>0</v>
      </c>
      <c r="I226" s="603">
        <f ca="1"/>
        <v>0</v>
      </c>
      <c r="J226" s="603">
        <f ca="1"/>
        <v>0</v>
      </c>
      <c r="K226" s="603">
        <f ca="1"/>
        <v>0</v>
      </c>
      <c r="L226" s="603">
        <f ca="1"/>
        <v>0</v>
      </c>
      <c r="M226" s="603">
        <f ca="1"/>
        <v>0</v>
      </c>
      <c r="N226" s="603">
        <f ca="1"/>
        <v>0</v>
      </c>
      <c r="O226" s="603">
        <f ca="1"/>
        <v>0</v>
      </c>
      <c r="P226" s="603">
        <f ca="1"/>
        <v>0</v>
      </c>
      <c r="Q226" s="603">
        <f ca="1"/>
        <v>0</v>
      </c>
      <c r="R226" s="603">
        <f ca="1"/>
        <v>0</v>
      </c>
      <c r="S226" s="1992">
        <f t="array" aca="1" ref="S226:S231" ca="1">'Distr CV 5'!G226:G231</f>
        <v>0</v>
      </c>
      <c r="T226" s="1992">
        <f ca="1"/>
        <v>0</v>
      </c>
      <c r="U226" s="1992">
        <f ca="1"/>
        <v>0</v>
      </c>
      <c r="V226" s="1992">
        <f ca="1"/>
        <v>0</v>
      </c>
      <c r="W226" s="1992">
        <f ca="1"/>
        <v>0</v>
      </c>
      <c r="X226" s="1992">
        <f ca="1"/>
        <v>0</v>
      </c>
      <c r="Y226" s="2010">
        <f ca="1"/>
        <v>0</v>
      </c>
    </row>
    <row r="227" spans="1:25">
      <c r="A227" s="1995" t="str">
        <f>A$80</f>
        <v>8 meses antes</v>
      </c>
      <c r="B227" s="1991"/>
      <c r="C227" s="1991"/>
      <c r="D227" s="1991"/>
      <c r="E227" s="1991"/>
      <c r="F227" s="603">
        <f t="array" aca="1" ref="F227:Q227" ca="1">B26:M26*Produção!$F$14</f>
        <v>0</v>
      </c>
      <c r="G227" s="603">
        <f ca="1"/>
        <v>0</v>
      </c>
      <c r="H227" s="603">
        <f ca="1"/>
        <v>0</v>
      </c>
      <c r="I227" s="603">
        <f ca="1"/>
        <v>0</v>
      </c>
      <c r="J227" s="603">
        <f ca="1"/>
        <v>0</v>
      </c>
      <c r="K227" s="603">
        <f ca="1"/>
        <v>0</v>
      </c>
      <c r="L227" s="603">
        <f ca="1"/>
        <v>0</v>
      </c>
      <c r="M227" s="603">
        <f ca="1"/>
        <v>0</v>
      </c>
      <c r="N227" s="603">
        <f ca="1"/>
        <v>0</v>
      </c>
      <c r="O227" s="603">
        <f ca="1"/>
        <v>0</v>
      </c>
      <c r="P227" s="603">
        <f ca="1"/>
        <v>0</v>
      </c>
      <c r="Q227" s="603">
        <f ca="1"/>
        <v>0</v>
      </c>
      <c r="R227" s="1992">
        <f t="array" aca="1" ref="R227:R231" ca="1">'Distr CV 5'!F227:F231</f>
        <v>0</v>
      </c>
      <c r="S227" s="1992">
        <f ca="1"/>
        <v>0</v>
      </c>
      <c r="T227" s="1992">
        <f ca="1"/>
        <v>0</v>
      </c>
      <c r="U227" s="1992">
        <f ca="1"/>
        <v>0</v>
      </c>
      <c r="V227" s="1992">
        <f ca="1"/>
        <v>0</v>
      </c>
      <c r="W227" s="1992">
        <f ca="1"/>
        <v>0</v>
      </c>
      <c r="X227" s="1992">
        <f ca="1"/>
        <v>0</v>
      </c>
      <c r="Y227" s="2010">
        <f ca="1"/>
        <v>0</v>
      </c>
    </row>
    <row r="228" spans="1:25">
      <c r="A228" s="1995" t="str">
        <f>A$81</f>
        <v>9 meses antes</v>
      </c>
      <c r="B228" s="1991"/>
      <c r="C228" s="1991"/>
      <c r="D228" s="1991"/>
      <c r="E228" s="603">
        <f t="array" aca="1" ref="E228:P228" ca="1">B26:M26*Produção!$E$14</f>
        <v>0</v>
      </c>
      <c r="F228" s="603">
        <f ca="1"/>
        <v>0</v>
      </c>
      <c r="G228" s="603">
        <f ca="1"/>
        <v>0</v>
      </c>
      <c r="H228" s="603">
        <f ca="1"/>
        <v>0</v>
      </c>
      <c r="I228" s="603">
        <f ca="1"/>
        <v>0</v>
      </c>
      <c r="J228" s="603">
        <f ca="1"/>
        <v>0</v>
      </c>
      <c r="K228" s="603">
        <f ca="1"/>
        <v>0</v>
      </c>
      <c r="L228" s="603">
        <f ca="1"/>
        <v>0</v>
      </c>
      <c r="M228" s="603">
        <f ca="1"/>
        <v>0</v>
      </c>
      <c r="N228" s="603">
        <f ca="1"/>
        <v>0</v>
      </c>
      <c r="O228" s="603">
        <f ca="1"/>
        <v>0</v>
      </c>
      <c r="P228" s="603">
        <f ca="1"/>
        <v>0</v>
      </c>
      <c r="Q228" s="1992">
        <f t="array" aca="1" ref="Q228:Q231" ca="1">'Distr CV 5'!E228:E231</f>
        <v>0</v>
      </c>
      <c r="R228" s="1992">
        <f ca="1"/>
        <v>0</v>
      </c>
      <c r="S228" s="1992">
        <f ca="1"/>
        <v>0</v>
      </c>
      <c r="T228" s="1992">
        <f ca="1"/>
        <v>0</v>
      </c>
      <c r="U228" s="1992">
        <f ca="1"/>
        <v>0</v>
      </c>
      <c r="V228" s="1992">
        <f ca="1"/>
        <v>0</v>
      </c>
      <c r="W228" s="1992">
        <f ca="1"/>
        <v>0</v>
      </c>
      <c r="X228" s="1992">
        <f ca="1"/>
        <v>0</v>
      </c>
      <c r="Y228" s="2010">
        <f ca="1"/>
        <v>0</v>
      </c>
    </row>
    <row r="229" spans="1:25">
      <c r="A229" s="1995" t="str">
        <f>A$82</f>
        <v>10 meses antes</v>
      </c>
      <c r="B229" s="1991"/>
      <c r="C229" s="1991"/>
      <c r="D229" s="603">
        <f t="array" aca="1" ref="D229:O229" ca="1">B26:M26*Produção!$D$14</f>
        <v>0</v>
      </c>
      <c r="E229" s="603">
        <f ca="1"/>
        <v>0</v>
      </c>
      <c r="F229" s="603">
        <f ca="1"/>
        <v>0</v>
      </c>
      <c r="G229" s="603">
        <f ca="1"/>
        <v>0</v>
      </c>
      <c r="H229" s="603">
        <f ca="1"/>
        <v>0</v>
      </c>
      <c r="I229" s="603">
        <f ca="1"/>
        <v>0</v>
      </c>
      <c r="J229" s="603">
        <f ca="1"/>
        <v>0</v>
      </c>
      <c r="K229" s="603">
        <f ca="1"/>
        <v>0</v>
      </c>
      <c r="L229" s="603">
        <f ca="1"/>
        <v>0</v>
      </c>
      <c r="M229" s="603">
        <f ca="1"/>
        <v>0</v>
      </c>
      <c r="N229" s="603">
        <f ca="1"/>
        <v>0</v>
      </c>
      <c r="O229" s="603">
        <f ca="1"/>
        <v>0</v>
      </c>
      <c r="P229" s="1992">
        <f t="array" aca="1" ref="P229:P231" ca="1">'Distr CV 5'!D229:D231</f>
        <v>0</v>
      </c>
      <c r="Q229" s="1992">
        <f ca="1"/>
        <v>0</v>
      </c>
      <c r="R229" s="1992">
        <f ca="1"/>
        <v>0</v>
      </c>
      <c r="S229" s="1992">
        <f ca="1"/>
        <v>0</v>
      </c>
      <c r="T229" s="1992">
        <f ca="1"/>
        <v>0</v>
      </c>
      <c r="U229" s="1992">
        <f ca="1"/>
        <v>0</v>
      </c>
      <c r="V229" s="1992">
        <f ca="1"/>
        <v>0</v>
      </c>
      <c r="W229" s="1992">
        <f ca="1"/>
        <v>0</v>
      </c>
      <c r="X229" s="1992">
        <f ca="1"/>
        <v>0</v>
      </c>
      <c r="Y229" s="2010">
        <f ca="1"/>
        <v>0</v>
      </c>
    </row>
    <row r="230" spans="1:25">
      <c r="A230" s="1995" t="str">
        <f>A$83</f>
        <v>11 meses antes</v>
      </c>
      <c r="B230" s="1991"/>
      <c r="C230" s="603">
        <f t="array" aca="1" ref="C230:N230" ca="1">B26:M26*Produção!$C$14</f>
        <v>0</v>
      </c>
      <c r="D230" s="603">
        <f ca="1"/>
        <v>0</v>
      </c>
      <c r="E230" s="603">
        <f ca="1"/>
        <v>0</v>
      </c>
      <c r="F230" s="603">
        <f ca="1"/>
        <v>0</v>
      </c>
      <c r="G230" s="603">
        <f ca="1"/>
        <v>0</v>
      </c>
      <c r="H230" s="603">
        <f ca="1"/>
        <v>0</v>
      </c>
      <c r="I230" s="603">
        <f ca="1"/>
        <v>0</v>
      </c>
      <c r="J230" s="603">
        <f ca="1"/>
        <v>0</v>
      </c>
      <c r="K230" s="603">
        <f ca="1"/>
        <v>0</v>
      </c>
      <c r="L230" s="603">
        <f ca="1"/>
        <v>0</v>
      </c>
      <c r="M230" s="603">
        <f ca="1"/>
        <v>0</v>
      </c>
      <c r="N230" s="603">
        <f ca="1"/>
        <v>0</v>
      </c>
      <c r="O230" s="1992">
        <f ca="1">'Distr CV 5'!C230</f>
        <v>0</v>
      </c>
      <c r="P230" s="1992">
        <f ca="1"/>
        <v>0</v>
      </c>
      <c r="Q230" s="1992">
        <f ca="1"/>
        <v>0</v>
      </c>
      <c r="R230" s="1992">
        <f ca="1"/>
        <v>0</v>
      </c>
      <c r="S230" s="1992">
        <f ca="1"/>
        <v>0</v>
      </c>
      <c r="T230" s="1992">
        <f ca="1"/>
        <v>0</v>
      </c>
      <c r="U230" s="1992">
        <f ca="1"/>
        <v>0</v>
      </c>
      <c r="V230" s="1992">
        <f ca="1"/>
        <v>0</v>
      </c>
      <c r="W230" s="1992">
        <f ca="1"/>
        <v>0</v>
      </c>
      <c r="X230" s="1992">
        <f ca="1"/>
        <v>0</v>
      </c>
      <c r="Y230" s="2010">
        <f ca="1"/>
        <v>0</v>
      </c>
    </row>
    <row r="231" spans="1:25" ht="13.5" thickBot="1">
      <c r="A231" s="1995" t="str">
        <f>A$84</f>
        <v>12 meses antes</v>
      </c>
      <c r="B231" s="603">
        <f t="array" aca="1" ref="B231:M231" ca="1">B26:M26*Produção!$B$14</f>
        <v>0</v>
      </c>
      <c r="C231" s="603">
        <f ca="1"/>
        <v>0</v>
      </c>
      <c r="D231" s="603">
        <f ca="1"/>
        <v>0</v>
      </c>
      <c r="E231" s="603">
        <f ca="1"/>
        <v>0</v>
      </c>
      <c r="F231" s="603">
        <f ca="1"/>
        <v>0</v>
      </c>
      <c r="G231" s="603">
        <f ca="1"/>
        <v>0</v>
      </c>
      <c r="H231" s="603">
        <f ca="1"/>
        <v>0</v>
      </c>
      <c r="I231" s="603">
        <f ca="1"/>
        <v>0</v>
      </c>
      <c r="J231" s="603">
        <f ca="1"/>
        <v>0</v>
      </c>
      <c r="K231" s="603">
        <f ca="1"/>
        <v>0</v>
      </c>
      <c r="L231" s="603">
        <f ca="1"/>
        <v>0</v>
      </c>
      <c r="M231" s="603">
        <f ca="1"/>
        <v>0</v>
      </c>
      <c r="N231" s="1991">
        <f ca="1">'Distr CV 5'!B231</f>
        <v>0</v>
      </c>
      <c r="O231" s="1992">
        <f ca="1">'Distr CV 5'!C231</f>
        <v>0</v>
      </c>
      <c r="P231" s="1992">
        <f ca="1"/>
        <v>0</v>
      </c>
      <c r="Q231" s="1992">
        <f ca="1"/>
        <v>0</v>
      </c>
      <c r="R231" s="1992">
        <f ca="1"/>
        <v>0</v>
      </c>
      <c r="S231" s="1992">
        <f ca="1"/>
        <v>0</v>
      </c>
      <c r="T231" s="1992">
        <f ca="1"/>
        <v>0</v>
      </c>
      <c r="U231" s="1992">
        <f ca="1"/>
        <v>0</v>
      </c>
      <c r="V231" s="1992">
        <f ca="1"/>
        <v>0</v>
      </c>
      <c r="W231" s="1992">
        <f ca="1"/>
        <v>0</v>
      </c>
      <c r="X231" s="1992">
        <f ca="1"/>
        <v>0</v>
      </c>
      <c r="Y231" s="2010">
        <f ca="1"/>
        <v>0</v>
      </c>
    </row>
    <row r="232" spans="1:25" ht="13.5" thickBot="1">
      <c r="A232" s="105" t="str">
        <f>"Totales CV "&amp;A$14</f>
        <v xml:space="preserve">Totales CV </v>
      </c>
      <c r="B232" s="607">
        <f t="shared" ref="B232:Y232" ca="1" si="17">SUM(B219:B231)</f>
        <v>0</v>
      </c>
      <c r="C232" s="607">
        <f t="shared" ca="1" si="17"/>
        <v>0</v>
      </c>
      <c r="D232" s="607">
        <f t="shared" ca="1" si="17"/>
        <v>0</v>
      </c>
      <c r="E232" s="607">
        <f t="shared" ca="1" si="17"/>
        <v>0</v>
      </c>
      <c r="F232" s="607">
        <f t="shared" ca="1" si="17"/>
        <v>0</v>
      </c>
      <c r="G232" s="607">
        <f t="shared" ca="1" si="17"/>
        <v>0</v>
      </c>
      <c r="H232" s="607">
        <f t="shared" ca="1" si="17"/>
        <v>0</v>
      </c>
      <c r="I232" s="607">
        <f t="shared" ca="1" si="17"/>
        <v>0</v>
      </c>
      <c r="J232" s="607">
        <f t="shared" ca="1" si="17"/>
        <v>0</v>
      </c>
      <c r="K232" s="607">
        <f t="shared" ca="1" si="17"/>
        <v>0</v>
      </c>
      <c r="L232" s="607">
        <f t="shared" ca="1" si="17"/>
        <v>0</v>
      </c>
      <c r="M232" s="607">
        <f t="shared" ca="1" si="17"/>
        <v>0</v>
      </c>
      <c r="N232" s="607">
        <f t="shared" ca="1" si="17"/>
        <v>0</v>
      </c>
      <c r="O232" s="607">
        <f t="shared" ca="1" si="17"/>
        <v>0</v>
      </c>
      <c r="P232" s="607">
        <f t="shared" ca="1" si="17"/>
        <v>0</v>
      </c>
      <c r="Q232" s="607">
        <f t="shared" ca="1" si="17"/>
        <v>0</v>
      </c>
      <c r="R232" s="607">
        <f t="shared" ca="1" si="17"/>
        <v>0</v>
      </c>
      <c r="S232" s="607">
        <f t="shared" ca="1" si="17"/>
        <v>0</v>
      </c>
      <c r="T232" s="607">
        <f t="shared" ca="1" si="17"/>
        <v>0</v>
      </c>
      <c r="U232" s="607">
        <f t="shared" ca="1" si="17"/>
        <v>0</v>
      </c>
      <c r="V232" s="607">
        <f t="shared" ca="1" si="17"/>
        <v>0</v>
      </c>
      <c r="W232" s="607">
        <f t="shared" ca="1" si="17"/>
        <v>0</v>
      </c>
      <c r="X232" s="607">
        <f t="shared" ca="1" si="17"/>
        <v>0</v>
      </c>
      <c r="Y232" s="2008">
        <f t="shared" ca="1" si="17"/>
        <v>0</v>
      </c>
    </row>
    <row r="233" spans="1:25" ht="13.5" thickBot="1">
      <c r="A233" s="105" t="str">
        <f>'Dados Básicos'!A28&amp;" sop. CV "&amp;$A$14</f>
        <v xml:space="preserve">IVA sop. CV </v>
      </c>
      <c r="B233" s="607">
        <f t="array" aca="1" ref="B233:Y233" ca="1">$K$217*B232:Y232</f>
        <v>0</v>
      </c>
      <c r="C233" s="607">
        <f ca="1"/>
        <v>0</v>
      </c>
      <c r="D233" s="607">
        <f ca="1"/>
        <v>0</v>
      </c>
      <c r="E233" s="607">
        <f ca="1"/>
        <v>0</v>
      </c>
      <c r="F233" s="607">
        <f ca="1"/>
        <v>0</v>
      </c>
      <c r="G233" s="607">
        <f ca="1"/>
        <v>0</v>
      </c>
      <c r="H233" s="607">
        <f ca="1"/>
        <v>0</v>
      </c>
      <c r="I233" s="607">
        <f ca="1"/>
        <v>0</v>
      </c>
      <c r="J233" s="607">
        <f ca="1"/>
        <v>0</v>
      </c>
      <c r="K233" s="607">
        <f ca="1"/>
        <v>0</v>
      </c>
      <c r="L233" s="607">
        <f ca="1"/>
        <v>0</v>
      </c>
      <c r="M233" s="607">
        <f ca="1"/>
        <v>0</v>
      </c>
      <c r="N233" s="607">
        <f ca="1"/>
        <v>0</v>
      </c>
      <c r="O233" s="607">
        <f ca="1"/>
        <v>0</v>
      </c>
      <c r="P233" s="607">
        <f ca="1"/>
        <v>0</v>
      </c>
      <c r="Q233" s="607">
        <f ca="1"/>
        <v>0</v>
      </c>
      <c r="R233" s="607">
        <f ca="1"/>
        <v>0</v>
      </c>
      <c r="S233" s="607">
        <f ca="1"/>
        <v>0</v>
      </c>
      <c r="T233" s="607">
        <f ca="1"/>
        <v>0</v>
      </c>
      <c r="U233" s="607">
        <f ca="1"/>
        <v>0</v>
      </c>
      <c r="V233" s="607">
        <f ca="1"/>
        <v>0</v>
      </c>
      <c r="W233" s="607">
        <f ca="1"/>
        <v>0</v>
      </c>
      <c r="X233" s="607">
        <f ca="1"/>
        <v>0</v>
      </c>
      <c r="Y233" s="2008">
        <f ca="1"/>
        <v>0</v>
      </c>
    </row>
    <row r="235" spans="1:25" ht="18.75" thickBot="1">
      <c r="A235" s="1993" t="str">
        <f>'Distr CV 0'!A235</f>
        <v xml:space="preserve">Compras / custos de producción por meses de </v>
      </c>
      <c r="I235" s="1993" t="str">
        <f>$I$109</f>
        <v>IVA NÃO incluido</v>
      </c>
      <c r="K235" s="2005">
        <f>Parametros!$F$31</f>
        <v>0.21</v>
      </c>
    </row>
    <row r="236" spans="1:25" ht="30" customHeight="1" thickBot="1">
      <c r="A236" s="457" t="str">
        <f>'Distr CV 0'!A236</f>
        <v>mes de compra / custo</v>
      </c>
      <c r="B236" s="2011" t="str">
        <f t="array" ref="B236:Y236">B$71:Y$71</f>
        <v>janeiro 
2029</v>
      </c>
      <c r="C236" s="2011" t="str">
        <v>fevereiro 
2029</v>
      </c>
      <c r="D236" s="2011" t="str">
        <v>março 
2029</v>
      </c>
      <c r="E236" s="2011" t="str">
        <v>abril 
2029</v>
      </c>
      <c r="F236" s="2011" t="str">
        <v>maio 
2029</v>
      </c>
      <c r="G236" s="2011" t="str">
        <v>junho 
2029</v>
      </c>
      <c r="H236" s="2011" t="str">
        <v>julho 
2029</v>
      </c>
      <c r="I236" s="2011" t="str">
        <v>agosto 
2029</v>
      </c>
      <c r="J236" s="2011" t="str">
        <v>setembro 
2029</v>
      </c>
      <c r="K236" s="2011" t="str">
        <v>outubro 
2029</v>
      </c>
      <c r="L236" s="2011" t="str">
        <v>novembro 
2029</v>
      </c>
      <c r="M236" s="2011" t="str">
        <v>dezembro 
2029</v>
      </c>
      <c r="N236" s="2734" t="str">
        <v>janeiro 
2030</v>
      </c>
      <c r="O236" s="2735" t="str">
        <v>fevereiro 
2030</v>
      </c>
      <c r="P236" s="2735" t="str">
        <v>março 
2030</v>
      </c>
      <c r="Q236" s="2735" t="str">
        <v>abril 
2030</v>
      </c>
      <c r="R236" s="2735" t="str">
        <v>maio 
2030</v>
      </c>
      <c r="S236" s="2735" t="str">
        <v>junho 
2030</v>
      </c>
      <c r="T236" s="2735" t="str">
        <v>julho 
2030</v>
      </c>
      <c r="U236" s="2735" t="str">
        <v>agosto 
2030</v>
      </c>
      <c r="V236" s="2735" t="str">
        <v>setembro 
2030</v>
      </c>
      <c r="W236" s="2735" t="str">
        <v>outubro 
2030</v>
      </c>
      <c r="X236" s="2735" t="str">
        <v>novembro 
2030</v>
      </c>
      <c r="Y236" s="2736" t="str">
        <v>dezembro 
2030</v>
      </c>
    </row>
    <row r="237" spans="1:25">
      <c r="A237" s="1994" t="str">
        <f>A$72</f>
        <v>mismo mes</v>
      </c>
      <c r="B237" s="1991"/>
      <c r="C237" s="1991"/>
      <c r="D237" s="1991"/>
      <c r="E237" s="1991"/>
      <c r="F237" s="1991"/>
      <c r="G237" s="1991"/>
      <c r="H237" s="1991"/>
      <c r="I237" s="1991"/>
      <c r="J237" s="1991"/>
      <c r="K237" s="1991"/>
      <c r="L237" s="1991"/>
      <c r="M237" s="1991"/>
      <c r="N237" s="603">
        <f t="array" aca="1" ref="N237:Y237" ca="1">B27:M27*Produção!$N$15</f>
        <v>0</v>
      </c>
      <c r="O237" s="603">
        <f ca="1"/>
        <v>0</v>
      </c>
      <c r="P237" s="603">
        <f ca="1"/>
        <v>0</v>
      </c>
      <c r="Q237" s="603">
        <f ca="1"/>
        <v>0</v>
      </c>
      <c r="R237" s="603">
        <f ca="1"/>
        <v>0</v>
      </c>
      <c r="S237" s="603">
        <f ca="1"/>
        <v>0</v>
      </c>
      <c r="T237" s="603">
        <f ca="1"/>
        <v>0</v>
      </c>
      <c r="U237" s="603">
        <f ca="1"/>
        <v>0</v>
      </c>
      <c r="V237" s="603">
        <f ca="1"/>
        <v>0</v>
      </c>
      <c r="W237" s="603">
        <f ca="1"/>
        <v>0</v>
      </c>
      <c r="X237" s="603">
        <f ca="1"/>
        <v>0</v>
      </c>
      <c r="Y237" s="2006">
        <f ca="1"/>
        <v>0</v>
      </c>
    </row>
    <row r="238" spans="1:25">
      <c r="A238" s="1995" t="str">
        <f>A$73</f>
        <v>1 mes antes</v>
      </c>
      <c r="B238" s="1991"/>
      <c r="C238" s="1991"/>
      <c r="D238" s="1991"/>
      <c r="E238" s="1991"/>
      <c r="F238" s="1991"/>
      <c r="G238" s="1991"/>
      <c r="H238" s="1991"/>
      <c r="I238" s="1991"/>
      <c r="J238" s="1991"/>
      <c r="K238" s="1991"/>
      <c r="L238" s="1991"/>
      <c r="M238" s="603">
        <f t="array" aca="1" ref="M238:X238" ca="1">B27:M27*Produção!$M$15</f>
        <v>0</v>
      </c>
      <c r="N238" s="603">
        <f ca="1"/>
        <v>0</v>
      </c>
      <c r="O238" s="603">
        <f ca="1"/>
        <v>0</v>
      </c>
      <c r="P238" s="603">
        <f ca="1"/>
        <v>0</v>
      </c>
      <c r="Q238" s="603">
        <f ca="1"/>
        <v>0</v>
      </c>
      <c r="R238" s="603">
        <f ca="1"/>
        <v>0</v>
      </c>
      <c r="S238" s="603">
        <f ca="1"/>
        <v>0</v>
      </c>
      <c r="T238" s="603">
        <f ca="1"/>
        <v>0</v>
      </c>
      <c r="U238" s="603">
        <f ca="1"/>
        <v>0</v>
      </c>
      <c r="V238" s="603">
        <f ca="1"/>
        <v>0</v>
      </c>
      <c r="W238" s="603">
        <f ca="1"/>
        <v>0</v>
      </c>
      <c r="X238" s="603">
        <f ca="1"/>
        <v>0</v>
      </c>
      <c r="Y238" s="2007">
        <f t="array" aca="1" ref="Y238:Y249" ca="1">'Distr CV 5'!M238:M249</f>
        <v>0</v>
      </c>
    </row>
    <row r="239" spans="1:25">
      <c r="A239" s="1995" t="str">
        <f>A$74</f>
        <v>2 meses antes</v>
      </c>
      <c r="B239" s="1991"/>
      <c r="C239" s="1991"/>
      <c r="D239" s="1991"/>
      <c r="E239" s="1991"/>
      <c r="F239" s="1991"/>
      <c r="G239" s="1991"/>
      <c r="H239" s="1991"/>
      <c r="I239" s="1991"/>
      <c r="J239" s="1991"/>
      <c r="K239" s="1991"/>
      <c r="L239" s="603">
        <f t="array" aca="1" ref="L239:W239" ca="1">B27:M27*Produção!$L$15</f>
        <v>0</v>
      </c>
      <c r="M239" s="603">
        <f ca="1"/>
        <v>0</v>
      </c>
      <c r="N239" s="603">
        <f ca="1"/>
        <v>0</v>
      </c>
      <c r="O239" s="603">
        <f ca="1"/>
        <v>0</v>
      </c>
      <c r="P239" s="603">
        <f ca="1"/>
        <v>0</v>
      </c>
      <c r="Q239" s="603">
        <f ca="1"/>
        <v>0</v>
      </c>
      <c r="R239" s="603">
        <f ca="1"/>
        <v>0</v>
      </c>
      <c r="S239" s="603">
        <f ca="1"/>
        <v>0</v>
      </c>
      <c r="T239" s="603">
        <f ca="1"/>
        <v>0</v>
      </c>
      <c r="U239" s="603">
        <f ca="1"/>
        <v>0</v>
      </c>
      <c r="V239" s="603">
        <f ca="1"/>
        <v>0</v>
      </c>
      <c r="W239" s="603">
        <f ca="1"/>
        <v>0</v>
      </c>
      <c r="X239" s="1988">
        <f t="array" aca="1" ref="X239:X249" ca="1">'Distr CV 5'!L239:L249</f>
        <v>0</v>
      </c>
      <c r="Y239" s="2007">
        <f ca="1"/>
        <v>0</v>
      </c>
    </row>
    <row r="240" spans="1:25">
      <c r="A240" s="1995" t="str">
        <f>A$75</f>
        <v>3 meses antes</v>
      </c>
      <c r="B240" s="1991"/>
      <c r="C240" s="1991"/>
      <c r="D240" s="1991"/>
      <c r="E240" s="1991"/>
      <c r="F240" s="1991"/>
      <c r="G240" s="1991"/>
      <c r="H240" s="1991"/>
      <c r="I240" s="1991"/>
      <c r="J240" s="1991"/>
      <c r="K240" s="603">
        <f t="array" aca="1" ref="K240:V240" ca="1">B27:M27*Produção!$K$15</f>
        <v>0</v>
      </c>
      <c r="L240" s="603">
        <f ca="1"/>
        <v>0</v>
      </c>
      <c r="M240" s="603">
        <f ca="1"/>
        <v>0</v>
      </c>
      <c r="N240" s="603">
        <f ca="1"/>
        <v>0</v>
      </c>
      <c r="O240" s="603">
        <f ca="1"/>
        <v>0</v>
      </c>
      <c r="P240" s="603">
        <f ca="1"/>
        <v>0</v>
      </c>
      <c r="Q240" s="603">
        <f ca="1"/>
        <v>0</v>
      </c>
      <c r="R240" s="603">
        <f ca="1"/>
        <v>0</v>
      </c>
      <c r="S240" s="603">
        <f ca="1"/>
        <v>0</v>
      </c>
      <c r="T240" s="603">
        <f ca="1"/>
        <v>0</v>
      </c>
      <c r="U240" s="603">
        <f ca="1"/>
        <v>0</v>
      </c>
      <c r="V240" s="603">
        <f ca="1"/>
        <v>0</v>
      </c>
      <c r="W240" s="1988">
        <f t="array" aca="1" ref="W240:W249" ca="1">'Distr CV 5'!K240:K249</f>
        <v>0</v>
      </c>
      <c r="X240" s="1988">
        <f ca="1"/>
        <v>0</v>
      </c>
      <c r="Y240" s="2007">
        <f ca="1"/>
        <v>0</v>
      </c>
    </row>
    <row r="241" spans="1:25">
      <c r="A241" s="1995" t="str">
        <f>A$76</f>
        <v>4 meses antes</v>
      </c>
      <c r="B241" s="1991"/>
      <c r="C241" s="1991"/>
      <c r="D241" s="1991"/>
      <c r="E241" s="1991"/>
      <c r="F241" s="1991"/>
      <c r="G241" s="1991"/>
      <c r="H241" s="1991"/>
      <c r="I241" s="1991"/>
      <c r="J241" s="603">
        <f t="array" aca="1" ref="J241:U241" ca="1">B27:M27*Produção!$J$15</f>
        <v>0</v>
      </c>
      <c r="K241" s="603">
        <f ca="1"/>
        <v>0</v>
      </c>
      <c r="L241" s="603">
        <f ca="1"/>
        <v>0</v>
      </c>
      <c r="M241" s="603">
        <f ca="1"/>
        <v>0</v>
      </c>
      <c r="N241" s="603">
        <f ca="1"/>
        <v>0</v>
      </c>
      <c r="O241" s="603">
        <f ca="1"/>
        <v>0</v>
      </c>
      <c r="P241" s="603">
        <f ca="1"/>
        <v>0</v>
      </c>
      <c r="Q241" s="603">
        <f ca="1"/>
        <v>0</v>
      </c>
      <c r="R241" s="603">
        <f ca="1"/>
        <v>0</v>
      </c>
      <c r="S241" s="603">
        <f ca="1"/>
        <v>0</v>
      </c>
      <c r="T241" s="603">
        <f ca="1"/>
        <v>0</v>
      </c>
      <c r="U241" s="603">
        <f ca="1"/>
        <v>0</v>
      </c>
      <c r="V241" s="1988">
        <f t="array" aca="1" ref="V241:V249" ca="1">'Distr CV 5'!J241:J249</f>
        <v>0</v>
      </c>
      <c r="W241" s="1988">
        <f ca="1"/>
        <v>0</v>
      </c>
      <c r="X241" s="1988">
        <f ca="1"/>
        <v>0</v>
      </c>
      <c r="Y241" s="2007">
        <f ca="1"/>
        <v>0</v>
      </c>
    </row>
    <row r="242" spans="1:25">
      <c r="A242" s="1995" t="str">
        <f>A$77</f>
        <v>5 meses antes</v>
      </c>
      <c r="B242" s="1991"/>
      <c r="C242" s="1991"/>
      <c r="D242" s="1991"/>
      <c r="E242" s="1991"/>
      <c r="F242" s="1991"/>
      <c r="G242" s="1991"/>
      <c r="H242" s="1991"/>
      <c r="I242" s="603">
        <f t="array" aca="1" ref="I242:T242" ca="1">B27:M27*Produção!$I$15</f>
        <v>0</v>
      </c>
      <c r="J242" s="603">
        <f ca="1"/>
        <v>0</v>
      </c>
      <c r="K242" s="603">
        <f ca="1"/>
        <v>0</v>
      </c>
      <c r="L242" s="603">
        <f ca="1"/>
        <v>0</v>
      </c>
      <c r="M242" s="603">
        <f ca="1"/>
        <v>0</v>
      </c>
      <c r="N242" s="603">
        <f ca="1"/>
        <v>0</v>
      </c>
      <c r="O242" s="603">
        <f ca="1"/>
        <v>0</v>
      </c>
      <c r="P242" s="603">
        <f ca="1"/>
        <v>0</v>
      </c>
      <c r="Q242" s="603">
        <f ca="1"/>
        <v>0</v>
      </c>
      <c r="R242" s="603">
        <f ca="1"/>
        <v>0</v>
      </c>
      <c r="S242" s="603">
        <f ca="1"/>
        <v>0</v>
      </c>
      <c r="T242" s="603">
        <f ca="1"/>
        <v>0</v>
      </c>
      <c r="U242" s="1988">
        <f t="array" aca="1" ref="U242:U249" ca="1">'Distr CV 5'!I242:I249</f>
        <v>0</v>
      </c>
      <c r="V242" s="1988">
        <f ca="1"/>
        <v>0</v>
      </c>
      <c r="W242" s="1988">
        <f ca="1"/>
        <v>0</v>
      </c>
      <c r="X242" s="1988">
        <f ca="1"/>
        <v>0</v>
      </c>
      <c r="Y242" s="2007">
        <f ca="1"/>
        <v>0</v>
      </c>
    </row>
    <row r="243" spans="1:25">
      <c r="A243" s="1995" t="str">
        <f>A$78</f>
        <v>6 meses antes</v>
      </c>
      <c r="B243" s="1991"/>
      <c r="C243" s="1991"/>
      <c r="D243" s="1991"/>
      <c r="E243" s="1991"/>
      <c r="F243" s="1991"/>
      <c r="G243" s="1991"/>
      <c r="H243" s="603">
        <f t="array" aca="1" ref="H243:S243" ca="1">B27:M27*Produção!$H$15</f>
        <v>0</v>
      </c>
      <c r="I243" s="603">
        <f ca="1"/>
        <v>0</v>
      </c>
      <c r="J243" s="603">
        <f ca="1"/>
        <v>0</v>
      </c>
      <c r="K243" s="603">
        <f ca="1"/>
        <v>0</v>
      </c>
      <c r="L243" s="603">
        <f ca="1"/>
        <v>0</v>
      </c>
      <c r="M243" s="603">
        <f ca="1"/>
        <v>0</v>
      </c>
      <c r="N243" s="603">
        <f ca="1"/>
        <v>0</v>
      </c>
      <c r="O243" s="603">
        <f ca="1"/>
        <v>0</v>
      </c>
      <c r="P243" s="603">
        <f ca="1"/>
        <v>0</v>
      </c>
      <c r="Q243" s="603">
        <f ca="1"/>
        <v>0</v>
      </c>
      <c r="R243" s="603">
        <f ca="1"/>
        <v>0</v>
      </c>
      <c r="S243" s="603">
        <f ca="1"/>
        <v>0</v>
      </c>
      <c r="T243" s="1988">
        <f t="array" aca="1" ref="T243:T249" ca="1">'Distr CV 5'!H243:H249</f>
        <v>0</v>
      </c>
      <c r="U243" s="1988">
        <f ca="1"/>
        <v>0</v>
      </c>
      <c r="V243" s="1988">
        <f ca="1"/>
        <v>0</v>
      </c>
      <c r="W243" s="1988">
        <f ca="1"/>
        <v>0</v>
      </c>
      <c r="X243" s="1988">
        <f ca="1"/>
        <v>0</v>
      </c>
      <c r="Y243" s="2007">
        <f ca="1"/>
        <v>0</v>
      </c>
    </row>
    <row r="244" spans="1:25">
      <c r="A244" s="1995" t="str">
        <f>A$79</f>
        <v>7 meses antes</v>
      </c>
      <c r="B244" s="1991"/>
      <c r="C244" s="1991"/>
      <c r="D244" s="1991"/>
      <c r="E244" s="1991"/>
      <c r="F244" s="1991"/>
      <c r="G244" s="603">
        <f t="array" aca="1" ref="G244:R244" ca="1">B27:M27*Produção!$G$15</f>
        <v>0</v>
      </c>
      <c r="H244" s="603">
        <f ca="1"/>
        <v>0</v>
      </c>
      <c r="I244" s="603">
        <f ca="1"/>
        <v>0</v>
      </c>
      <c r="J244" s="603">
        <f ca="1"/>
        <v>0</v>
      </c>
      <c r="K244" s="603">
        <f ca="1"/>
        <v>0</v>
      </c>
      <c r="L244" s="603">
        <f ca="1"/>
        <v>0</v>
      </c>
      <c r="M244" s="603">
        <f ca="1"/>
        <v>0</v>
      </c>
      <c r="N244" s="603">
        <f ca="1"/>
        <v>0</v>
      </c>
      <c r="O244" s="603">
        <f ca="1"/>
        <v>0</v>
      </c>
      <c r="P244" s="603">
        <f ca="1"/>
        <v>0</v>
      </c>
      <c r="Q244" s="603">
        <f ca="1"/>
        <v>0</v>
      </c>
      <c r="R244" s="603">
        <f ca="1"/>
        <v>0</v>
      </c>
      <c r="S244" s="1992">
        <f t="array" aca="1" ref="S244:S249" ca="1">'Distr CV 5'!G244:G249</f>
        <v>0</v>
      </c>
      <c r="T244" s="1992">
        <f ca="1"/>
        <v>0</v>
      </c>
      <c r="U244" s="1992">
        <f ca="1"/>
        <v>0</v>
      </c>
      <c r="V244" s="1992">
        <f ca="1"/>
        <v>0</v>
      </c>
      <c r="W244" s="1992">
        <f ca="1"/>
        <v>0</v>
      </c>
      <c r="X244" s="1992">
        <f ca="1"/>
        <v>0</v>
      </c>
      <c r="Y244" s="2010">
        <f ca="1"/>
        <v>0</v>
      </c>
    </row>
    <row r="245" spans="1:25">
      <c r="A245" s="1995" t="str">
        <f>A$80</f>
        <v>8 meses antes</v>
      </c>
      <c r="B245" s="1991"/>
      <c r="C245" s="1991"/>
      <c r="D245" s="1991"/>
      <c r="E245" s="1991"/>
      <c r="F245" s="603">
        <f t="array" aca="1" ref="F245:Q245" ca="1">B27:M27*Produção!$F$15</f>
        <v>0</v>
      </c>
      <c r="G245" s="603">
        <f ca="1"/>
        <v>0</v>
      </c>
      <c r="H245" s="603">
        <f ca="1"/>
        <v>0</v>
      </c>
      <c r="I245" s="603">
        <f ca="1"/>
        <v>0</v>
      </c>
      <c r="J245" s="603">
        <f ca="1"/>
        <v>0</v>
      </c>
      <c r="K245" s="603">
        <f ca="1"/>
        <v>0</v>
      </c>
      <c r="L245" s="603">
        <f ca="1"/>
        <v>0</v>
      </c>
      <c r="M245" s="603">
        <f ca="1"/>
        <v>0</v>
      </c>
      <c r="N245" s="603">
        <f ca="1"/>
        <v>0</v>
      </c>
      <c r="O245" s="603">
        <f ca="1"/>
        <v>0</v>
      </c>
      <c r="P245" s="603">
        <f ca="1"/>
        <v>0</v>
      </c>
      <c r="Q245" s="603">
        <f ca="1"/>
        <v>0</v>
      </c>
      <c r="R245" s="1992">
        <f t="array" aca="1" ref="R245:R249" ca="1">'Distr CV 5'!F245:F249</f>
        <v>0</v>
      </c>
      <c r="S245" s="1992">
        <f ca="1"/>
        <v>0</v>
      </c>
      <c r="T245" s="1992">
        <f ca="1"/>
        <v>0</v>
      </c>
      <c r="U245" s="1992">
        <f ca="1"/>
        <v>0</v>
      </c>
      <c r="V245" s="1992">
        <f ca="1"/>
        <v>0</v>
      </c>
      <c r="W245" s="1992">
        <f ca="1"/>
        <v>0</v>
      </c>
      <c r="X245" s="1992">
        <f ca="1"/>
        <v>0</v>
      </c>
      <c r="Y245" s="2010">
        <f ca="1"/>
        <v>0</v>
      </c>
    </row>
    <row r="246" spans="1:25">
      <c r="A246" s="1995" t="str">
        <f>A$81</f>
        <v>9 meses antes</v>
      </c>
      <c r="B246" s="1991"/>
      <c r="C246" s="1991"/>
      <c r="D246" s="1991"/>
      <c r="E246" s="603">
        <f t="array" aca="1" ref="E246:P246" ca="1">B27:M27*Produção!$E$15</f>
        <v>0</v>
      </c>
      <c r="F246" s="603">
        <f ca="1"/>
        <v>0</v>
      </c>
      <c r="G246" s="603">
        <f ca="1"/>
        <v>0</v>
      </c>
      <c r="H246" s="603">
        <f ca="1"/>
        <v>0</v>
      </c>
      <c r="I246" s="603">
        <f ca="1"/>
        <v>0</v>
      </c>
      <c r="J246" s="603">
        <f ca="1"/>
        <v>0</v>
      </c>
      <c r="K246" s="603">
        <f ca="1"/>
        <v>0</v>
      </c>
      <c r="L246" s="603">
        <f ca="1"/>
        <v>0</v>
      </c>
      <c r="M246" s="603">
        <f ca="1"/>
        <v>0</v>
      </c>
      <c r="N246" s="603">
        <f ca="1"/>
        <v>0</v>
      </c>
      <c r="O246" s="603">
        <f ca="1"/>
        <v>0</v>
      </c>
      <c r="P246" s="603">
        <f ca="1"/>
        <v>0</v>
      </c>
      <c r="Q246" s="1992">
        <f t="array" aca="1" ref="Q246:Q249" ca="1">'Distr CV 5'!E246:E249</f>
        <v>0</v>
      </c>
      <c r="R246" s="1992">
        <f ca="1"/>
        <v>0</v>
      </c>
      <c r="S246" s="1992">
        <f ca="1"/>
        <v>0</v>
      </c>
      <c r="T246" s="1992">
        <f ca="1"/>
        <v>0</v>
      </c>
      <c r="U246" s="1992">
        <f ca="1"/>
        <v>0</v>
      </c>
      <c r="V246" s="1992">
        <f ca="1"/>
        <v>0</v>
      </c>
      <c r="W246" s="1992">
        <f ca="1"/>
        <v>0</v>
      </c>
      <c r="X246" s="1992">
        <f ca="1"/>
        <v>0</v>
      </c>
      <c r="Y246" s="2010">
        <f ca="1"/>
        <v>0</v>
      </c>
    </row>
    <row r="247" spans="1:25">
      <c r="A247" s="1995" t="str">
        <f>A$82</f>
        <v>10 meses antes</v>
      </c>
      <c r="B247" s="1991"/>
      <c r="C247" s="1991"/>
      <c r="D247" s="603">
        <f t="array" aca="1" ref="D247:O247" ca="1">B27:M27*Produção!$D$15</f>
        <v>0</v>
      </c>
      <c r="E247" s="603">
        <f ca="1"/>
        <v>0</v>
      </c>
      <c r="F247" s="603">
        <f ca="1"/>
        <v>0</v>
      </c>
      <c r="G247" s="603">
        <f ca="1"/>
        <v>0</v>
      </c>
      <c r="H247" s="603">
        <f ca="1"/>
        <v>0</v>
      </c>
      <c r="I247" s="603">
        <f ca="1"/>
        <v>0</v>
      </c>
      <c r="J247" s="603">
        <f ca="1"/>
        <v>0</v>
      </c>
      <c r="K247" s="603">
        <f ca="1"/>
        <v>0</v>
      </c>
      <c r="L247" s="603">
        <f ca="1"/>
        <v>0</v>
      </c>
      <c r="M247" s="603">
        <f ca="1"/>
        <v>0</v>
      </c>
      <c r="N247" s="603">
        <f ca="1"/>
        <v>0</v>
      </c>
      <c r="O247" s="603">
        <f ca="1"/>
        <v>0</v>
      </c>
      <c r="P247" s="1992">
        <f t="array" aca="1" ref="P247:P249" ca="1">'Distr CV 5'!D247:D249</f>
        <v>0</v>
      </c>
      <c r="Q247" s="1992">
        <f ca="1"/>
        <v>0</v>
      </c>
      <c r="R247" s="1992">
        <f ca="1"/>
        <v>0</v>
      </c>
      <c r="S247" s="1992">
        <f ca="1"/>
        <v>0</v>
      </c>
      <c r="T247" s="1992">
        <f ca="1"/>
        <v>0</v>
      </c>
      <c r="U247" s="1992">
        <f ca="1"/>
        <v>0</v>
      </c>
      <c r="V247" s="1992">
        <f ca="1"/>
        <v>0</v>
      </c>
      <c r="W247" s="1992">
        <f ca="1"/>
        <v>0</v>
      </c>
      <c r="X247" s="1992">
        <f ca="1"/>
        <v>0</v>
      </c>
      <c r="Y247" s="2010">
        <f ca="1"/>
        <v>0</v>
      </c>
    </row>
    <row r="248" spans="1:25">
      <c r="A248" s="1995" t="str">
        <f>A$83</f>
        <v>11 meses antes</v>
      </c>
      <c r="B248" s="1991"/>
      <c r="C248" s="603">
        <f t="array" aca="1" ref="C248:N248" ca="1">B27:M27*Produção!$C$15</f>
        <v>0</v>
      </c>
      <c r="D248" s="603">
        <f ca="1"/>
        <v>0</v>
      </c>
      <c r="E248" s="603">
        <f ca="1"/>
        <v>0</v>
      </c>
      <c r="F248" s="603">
        <f ca="1"/>
        <v>0</v>
      </c>
      <c r="G248" s="603">
        <f ca="1"/>
        <v>0</v>
      </c>
      <c r="H248" s="603">
        <f ca="1"/>
        <v>0</v>
      </c>
      <c r="I248" s="603">
        <f ca="1"/>
        <v>0</v>
      </c>
      <c r="J248" s="603">
        <f ca="1"/>
        <v>0</v>
      </c>
      <c r="K248" s="603">
        <f ca="1"/>
        <v>0</v>
      </c>
      <c r="L248" s="603">
        <f ca="1"/>
        <v>0</v>
      </c>
      <c r="M248" s="603">
        <f ca="1"/>
        <v>0</v>
      </c>
      <c r="N248" s="603">
        <f ca="1"/>
        <v>0</v>
      </c>
      <c r="O248" s="1992">
        <f ca="1">'Distr CV 5'!C248</f>
        <v>0</v>
      </c>
      <c r="P248" s="1992">
        <f ca="1"/>
        <v>0</v>
      </c>
      <c r="Q248" s="1992">
        <f ca="1"/>
        <v>0</v>
      </c>
      <c r="R248" s="1992">
        <f ca="1"/>
        <v>0</v>
      </c>
      <c r="S248" s="1992">
        <f ca="1"/>
        <v>0</v>
      </c>
      <c r="T248" s="1992">
        <f ca="1"/>
        <v>0</v>
      </c>
      <c r="U248" s="1992">
        <f ca="1"/>
        <v>0</v>
      </c>
      <c r="V248" s="1992">
        <f ca="1"/>
        <v>0</v>
      </c>
      <c r="W248" s="1992">
        <f ca="1"/>
        <v>0</v>
      </c>
      <c r="X248" s="1992">
        <f ca="1"/>
        <v>0</v>
      </c>
      <c r="Y248" s="2010">
        <f ca="1"/>
        <v>0</v>
      </c>
    </row>
    <row r="249" spans="1:25" ht="13.5" thickBot="1">
      <c r="A249" s="1995" t="str">
        <f>A$84</f>
        <v>12 meses antes</v>
      </c>
      <c r="B249" s="603">
        <f t="array" aca="1" ref="B249:M249" ca="1">B27:M27*Produção!$B$15</f>
        <v>0</v>
      </c>
      <c r="C249" s="603">
        <f ca="1"/>
        <v>0</v>
      </c>
      <c r="D249" s="603">
        <f ca="1"/>
        <v>0</v>
      </c>
      <c r="E249" s="603">
        <f ca="1"/>
        <v>0</v>
      </c>
      <c r="F249" s="603">
        <f ca="1"/>
        <v>0</v>
      </c>
      <c r="G249" s="603">
        <f ca="1"/>
        <v>0</v>
      </c>
      <c r="H249" s="603">
        <f ca="1"/>
        <v>0</v>
      </c>
      <c r="I249" s="603">
        <f ca="1"/>
        <v>0</v>
      </c>
      <c r="J249" s="603">
        <f ca="1"/>
        <v>0</v>
      </c>
      <c r="K249" s="603">
        <f ca="1"/>
        <v>0</v>
      </c>
      <c r="L249" s="603">
        <f ca="1"/>
        <v>0</v>
      </c>
      <c r="M249" s="603">
        <f ca="1"/>
        <v>0</v>
      </c>
      <c r="N249" s="1991">
        <f ca="1">'Distr CV 5'!B249</f>
        <v>0</v>
      </c>
      <c r="O249" s="1992">
        <f ca="1">'Distr CV 5'!C249</f>
        <v>0</v>
      </c>
      <c r="P249" s="1992">
        <f ca="1"/>
        <v>0</v>
      </c>
      <c r="Q249" s="1992">
        <f ca="1"/>
        <v>0</v>
      </c>
      <c r="R249" s="1992">
        <f ca="1"/>
        <v>0</v>
      </c>
      <c r="S249" s="1992">
        <f ca="1"/>
        <v>0</v>
      </c>
      <c r="T249" s="1992">
        <f ca="1"/>
        <v>0</v>
      </c>
      <c r="U249" s="1992">
        <f ca="1"/>
        <v>0</v>
      </c>
      <c r="V249" s="1992">
        <f ca="1"/>
        <v>0</v>
      </c>
      <c r="W249" s="1992">
        <f ca="1"/>
        <v>0</v>
      </c>
      <c r="X249" s="1992">
        <f ca="1"/>
        <v>0</v>
      </c>
      <c r="Y249" s="2010">
        <f ca="1"/>
        <v>0</v>
      </c>
    </row>
    <row r="250" spans="1:25" ht="13.5" thickBot="1">
      <c r="A250" s="105" t="str">
        <f>"Totales CV "&amp;A$15</f>
        <v xml:space="preserve">Totales CV </v>
      </c>
      <c r="B250" s="607">
        <f t="shared" ref="B250:Y250" ca="1" si="18">SUM(B237:B249)</f>
        <v>0</v>
      </c>
      <c r="C250" s="607">
        <f t="shared" ca="1" si="18"/>
        <v>0</v>
      </c>
      <c r="D250" s="607">
        <f t="shared" ca="1" si="18"/>
        <v>0</v>
      </c>
      <c r="E250" s="607">
        <f t="shared" ca="1" si="18"/>
        <v>0</v>
      </c>
      <c r="F250" s="607">
        <f t="shared" ca="1" si="18"/>
        <v>0</v>
      </c>
      <c r="G250" s="607">
        <f t="shared" ca="1" si="18"/>
        <v>0</v>
      </c>
      <c r="H250" s="607">
        <f t="shared" ca="1" si="18"/>
        <v>0</v>
      </c>
      <c r="I250" s="607">
        <f t="shared" ca="1" si="18"/>
        <v>0</v>
      </c>
      <c r="J250" s="607">
        <f t="shared" ca="1" si="18"/>
        <v>0</v>
      </c>
      <c r="K250" s="607">
        <f t="shared" ca="1" si="18"/>
        <v>0</v>
      </c>
      <c r="L250" s="607">
        <f t="shared" ca="1" si="18"/>
        <v>0</v>
      </c>
      <c r="M250" s="607">
        <f t="shared" ca="1" si="18"/>
        <v>0</v>
      </c>
      <c r="N250" s="607">
        <f t="shared" ca="1" si="18"/>
        <v>0</v>
      </c>
      <c r="O250" s="607">
        <f t="shared" ca="1" si="18"/>
        <v>0</v>
      </c>
      <c r="P250" s="607">
        <f t="shared" ca="1" si="18"/>
        <v>0</v>
      </c>
      <c r="Q250" s="607">
        <f t="shared" ca="1" si="18"/>
        <v>0</v>
      </c>
      <c r="R250" s="607">
        <f t="shared" ca="1" si="18"/>
        <v>0</v>
      </c>
      <c r="S250" s="607">
        <f t="shared" ca="1" si="18"/>
        <v>0</v>
      </c>
      <c r="T250" s="607">
        <f t="shared" ca="1" si="18"/>
        <v>0</v>
      </c>
      <c r="U250" s="607">
        <f t="shared" ca="1" si="18"/>
        <v>0</v>
      </c>
      <c r="V250" s="607">
        <f t="shared" ca="1" si="18"/>
        <v>0</v>
      </c>
      <c r="W250" s="607">
        <f t="shared" ca="1" si="18"/>
        <v>0</v>
      </c>
      <c r="X250" s="607">
        <f t="shared" ca="1" si="18"/>
        <v>0</v>
      </c>
      <c r="Y250" s="2008">
        <f t="shared" ca="1" si="18"/>
        <v>0</v>
      </c>
    </row>
    <row r="251" spans="1:25" ht="13.5" thickBot="1">
      <c r="A251" s="105" t="str">
        <f>'Dados Básicos'!A28&amp;" sop. CV "&amp;$A$15</f>
        <v xml:space="preserve">IVA sop. CV </v>
      </c>
      <c r="B251" s="607">
        <f t="array" aca="1" ref="B251:Y251" ca="1">$K$235*B250:Y250</f>
        <v>0</v>
      </c>
      <c r="C251" s="607">
        <f ca="1"/>
        <v>0</v>
      </c>
      <c r="D251" s="607">
        <f ca="1"/>
        <v>0</v>
      </c>
      <c r="E251" s="607">
        <f ca="1"/>
        <v>0</v>
      </c>
      <c r="F251" s="607">
        <f ca="1"/>
        <v>0</v>
      </c>
      <c r="G251" s="607">
        <f ca="1"/>
        <v>0</v>
      </c>
      <c r="H251" s="607">
        <f ca="1"/>
        <v>0</v>
      </c>
      <c r="I251" s="607">
        <f ca="1"/>
        <v>0</v>
      </c>
      <c r="J251" s="607">
        <f ca="1"/>
        <v>0</v>
      </c>
      <c r="K251" s="607">
        <f ca="1"/>
        <v>0</v>
      </c>
      <c r="L251" s="607">
        <f ca="1"/>
        <v>0</v>
      </c>
      <c r="M251" s="607">
        <f ca="1"/>
        <v>0</v>
      </c>
      <c r="N251" s="607">
        <f ca="1"/>
        <v>0</v>
      </c>
      <c r="O251" s="607">
        <f ca="1"/>
        <v>0</v>
      </c>
      <c r="P251" s="607">
        <f ca="1"/>
        <v>0</v>
      </c>
      <c r="Q251" s="607">
        <f ca="1"/>
        <v>0</v>
      </c>
      <c r="R251" s="607">
        <f ca="1"/>
        <v>0</v>
      </c>
      <c r="S251" s="607">
        <f ca="1"/>
        <v>0</v>
      </c>
      <c r="T251" s="607">
        <f ca="1"/>
        <v>0</v>
      </c>
      <c r="U251" s="607">
        <f ca="1"/>
        <v>0</v>
      </c>
      <c r="V251" s="607">
        <f ca="1"/>
        <v>0</v>
      </c>
      <c r="W251" s="607">
        <f ca="1"/>
        <v>0</v>
      </c>
      <c r="X251" s="607">
        <f ca="1"/>
        <v>0</v>
      </c>
      <c r="Y251" s="2008">
        <f ca="1"/>
        <v>0</v>
      </c>
    </row>
  </sheetData>
  <sheetProtection sheet="1" objects="1" scenarios="1"/>
  <phoneticPr fontId="4"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68">
    <tabColor indexed="16"/>
    <pageSetUpPr fitToPage="1"/>
  </sheetPr>
  <dimension ref="A1:Z251"/>
  <sheetViews>
    <sheetView workbookViewId="0"/>
  </sheetViews>
  <sheetFormatPr baseColWidth="10" defaultColWidth="11" defaultRowHeight="12.75"/>
  <cols>
    <col min="1" max="1" width="24" style="239" customWidth="1"/>
    <col min="2" max="2" width="11.375" style="61" customWidth="1"/>
    <col min="3" max="4" width="11.375" style="62" customWidth="1"/>
    <col min="5" max="5" width="10.375" style="62" customWidth="1"/>
    <col min="6" max="14" width="11.375" style="62" customWidth="1"/>
    <col min="15" max="15" width="11.5" style="239" customWidth="1"/>
    <col min="16" max="18" width="11" style="62"/>
    <col min="19" max="19" width="12.125" style="62" customWidth="1"/>
    <col min="20" max="16384" width="11" style="62"/>
  </cols>
  <sheetData>
    <row r="1" spans="1:15" ht="22.5">
      <c r="A1" s="68" t="str">
        <f>'Distr CV 0'!A1</f>
        <v>Previsões de produção: Distribuição dos custos variáveis das unidades vendidas no</v>
      </c>
      <c r="K1" s="2712" t="str">
        <f>Parametros!G$77</f>
        <v>Ano 5:  2031</v>
      </c>
      <c r="L1" s="432"/>
    </row>
    <row r="2" spans="1:15" ht="22.5">
      <c r="A2" s="68" t="str">
        <f>'Dados Básicos'!B9</f>
        <v>WWW, S.L.</v>
      </c>
    </row>
    <row r="3" spans="1:15" ht="14.25" customHeight="1">
      <c r="A3" s="60"/>
    </row>
    <row r="4" spans="1:15" ht="14.25" customHeight="1">
      <c r="A4" s="60"/>
    </row>
    <row r="5" spans="1:15" ht="14.25" customHeight="1">
      <c r="A5" s="60"/>
    </row>
    <row r="6" spans="1:15" ht="24" customHeight="1" thickBot="1">
      <c r="A6" s="433" t="str">
        <f>'Distr CV 0'!A6</f>
        <v>Previsão de unidades vendidas</v>
      </c>
    </row>
    <row r="7" spans="1:15" s="458" customFormat="1" ht="15.75" customHeight="1" thickBot="1">
      <c r="A7" s="457" t="str">
        <f>'Distr CV 0'!A7</f>
        <v>Vendas (Unidades)</v>
      </c>
      <c r="B7" s="455" t="str">
        <f t="array" ref="B7:M7">meses</f>
        <v>janeiro</v>
      </c>
      <c r="C7" s="451" t="str">
        <v>fevereiro</v>
      </c>
      <c r="D7" s="451" t="str">
        <v>março</v>
      </c>
      <c r="E7" s="451" t="str">
        <v>abril</v>
      </c>
      <c r="F7" s="451" t="str">
        <v>maio</v>
      </c>
      <c r="G7" s="451" t="str">
        <v>junho</v>
      </c>
      <c r="H7" s="451" t="str">
        <v>julho</v>
      </c>
      <c r="I7" s="451" t="str">
        <v>agosto</v>
      </c>
      <c r="J7" s="451" t="str">
        <v>setembro</v>
      </c>
      <c r="K7" s="451" t="str">
        <v>outubro</v>
      </c>
      <c r="L7" s="451" t="str">
        <v>novembro</v>
      </c>
      <c r="M7" s="452" t="str">
        <v>dezembro</v>
      </c>
      <c r="N7" s="449" t="str">
        <f>'Distr CV 0'!N7</f>
        <v>Totais</v>
      </c>
    </row>
    <row r="8" spans="1:15" ht="15.75" customHeight="1">
      <c r="A8" s="1996" t="str">
        <f t="array" ref="A8:A15">productos</f>
        <v>produto 1</v>
      </c>
      <c r="B8" s="589">
        <f t="array" aca="1" ref="B8:M15" ca="1">'Estimações Vendas'!B71:M78*Parametros!B$88:M$88</f>
        <v>1158</v>
      </c>
      <c r="C8" s="590">
        <f ca="1"/>
        <v>1158</v>
      </c>
      <c r="D8" s="590">
        <f ca="1"/>
        <v>1158</v>
      </c>
      <c r="E8" s="590">
        <f ca="1"/>
        <v>1158</v>
      </c>
      <c r="F8" s="590">
        <f ca="1"/>
        <v>1158</v>
      </c>
      <c r="G8" s="590">
        <f ca="1"/>
        <v>1158</v>
      </c>
      <c r="H8" s="590">
        <f ca="1"/>
        <v>1158</v>
      </c>
      <c r="I8" s="590">
        <f ca="1"/>
        <v>1158</v>
      </c>
      <c r="J8" s="590">
        <f ca="1"/>
        <v>1158</v>
      </c>
      <c r="K8" s="590">
        <f ca="1"/>
        <v>1158</v>
      </c>
      <c r="L8" s="590">
        <f ca="1"/>
        <v>1158</v>
      </c>
      <c r="M8" s="612">
        <f ca="1"/>
        <v>1158</v>
      </c>
      <c r="N8" s="591">
        <f t="shared" ref="N8:N15" ca="1" si="0">SUM(B8:M8)</f>
        <v>13896</v>
      </c>
      <c r="O8" s="62"/>
    </row>
    <row r="9" spans="1:15" ht="15.75" customHeight="1">
      <c r="A9" s="1997" t="str">
        <v/>
      </c>
      <c r="B9" s="592">
        <f ca="1"/>
        <v>0</v>
      </c>
      <c r="C9" s="593">
        <f ca="1"/>
        <v>0</v>
      </c>
      <c r="D9" s="593">
        <f ca="1"/>
        <v>0</v>
      </c>
      <c r="E9" s="593">
        <f ca="1"/>
        <v>0</v>
      </c>
      <c r="F9" s="593">
        <f ca="1"/>
        <v>0</v>
      </c>
      <c r="G9" s="593">
        <f ca="1"/>
        <v>0</v>
      </c>
      <c r="H9" s="593">
        <f ca="1"/>
        <v>0</v>
      </c>
      <c r="I9" s="593">
        <f ca="1"/>
        <v>0</v>
      </c>
      <c r="J9" s="593">
        <f ca="1"/>
        <v>0</v>
      </c>
      <c r="K9" s="593">
        <f ca="1"/>
        <v>0</v>
      </c>
      <c r="L9" s="593">
        <f ca="1"/>
        <v>0</v>
      </c>
      <c r="M9" s="613">
        <f ca="1"/>
        <v>0</v>
      </c>
      <c r="N9" s="594">
        <f t="shared" ca="1" si="0"/>
        <v>0</v>
      </c>
      <c r="O9" s="62"/>
    </row>
    <row r="10" spans="1:15" ht="15.75" customHeight="1">
      <c r="A10" s="1997" t="str">
        <v/>
      </c>
      <c r="B10" s="592">
        <f ca="1"/>
        <v>0</v>
      </c>
      <c r="C10" s="593">
        <f ca="1"/>
        <v>0</v>
      </c>
      <c r="D10" s="593">
        <f ca="1"/>
        <v>0</v>
      </c>
      <c r="E10" s="593">
        <f ca="1"/>
        <v>0</v>
      </c>
      <c r="F10" s="593">
        <f ca="1"/>
        <v>0</v>
      </c>
      <c r="G10" s="593">
        <f ca="1"/>
        <v>0</v>
      </c>
      <c r="H10" s="593">
        <f ca="1"/>
        <v>0</v>
      </c>
      <c r="I10" s="593">
        <f ca="1"/>
        <v>0</v>
      </c>
      <c r="J10" s="593">
        <f ca="1"/>
        <v>0</v>
      </c>
      <c r="K10" s="593">
        <f ca="1"/>
        <v>0</v>
      </c>
      <c r="L10" s="593">
        <f ca="1"/>
        <v>0</v>
      </c>
      <c r="M10" s="613">
        <f ca="1"/>
        <v>0</v>
      </c>
      <c r="N10" s="594">
        <f t="shared" ca="1" si="0"/>
        <v>0</v>
      </c>
      <c r="O10" s="62"/>
    </row>
    <row r="11" spans="1:15" ht="15.75" customHeight="1">
      <c r="A11" s="1997" t="str">
        <v/>
      </c>
      <c r="B11" s="592">
        <f ca="1"/>
        <v>0</v>
      </c>
      <c r="C11" s="593">
        <f ca="1"/>
        <v>0</v>
      </c>
      <c r="D11" s="593">
        <f ca="1"/>
        <v>0</v>
      </c>
      <c r="E11" s="593">
        <f ca="1"/>
        <v>0</v>
      </c>
      <c r="F11" s="593">
        <f ca="1"/>
        <v>0</v>
      </c>
      <c r="G11" s="593">
        <f ca="1"/>
        <v>0</v>
      </c>
      <c r="H11" s="593">
        <f ca="1"/>
        <v>0</v>
      </c>
      <c r="I11" s="593">
        <f ca="1"/>
        <v>0</v>
      </c>
      <c r="J11" s="593">
        <f ca="1"/>
        <v>0</v>
      </c>
      <c r="K11" s="593">
        <f ca="1"/>
        <v>0</v>
      </c>
      <c r="L11" s="593">
        <f ca="1"/>
        <v>0</v>
      </c>
      <c r="M11" s="613">
        <f ca="1"/>
        <v>0</v>
      </c>
      <c r="N11" s="594">
        <f t="shared" ca="1" si="0"/>
        <v>0</v>
      </c>
      <c r="O11" s="62"/>
    </row>
    <row r="12" spans="1:15" ht="15.75" customHeight="1">
      <c r="A12" s="1997" t="str">
        <v/>
      </c>
      <c r="B12" s="592">
        <f ca="1"/>
        <v>0</v>
      </c>
      <c r="C12" s="593">
        <f ca="1"/>
        <v>0</v>
      </c>
      <c r="D12" s="593">
        <f ca="1"/>
        <v>0</v>
      </c>
      <c r="E12" s="593">
        <f ca="1"/>
        <v>0</v>
      </c>
      <c r="F12" s="593">
        <f ca="1"/>
        <v>0</v>
      </c>
      <c r="G12" s="593">
        <f ca="1"/>
        <v>0</v>
      </c>
      <c r="H12" s="593">
        <f ca="1"/>
        <v>0</v>
      </c>
      <c r="I12" s="593">
        <f ca="1"/>
        <v>0</v>
      </c>
      <c r="J12" s="593">
        <f ca="1"/>
        <v>0</v>
      </c>
      <c r="K12" s="593">
        <f ca="1"/>
        <v>0</v>
      </c>
      <c r="L12" s="593">
        <f ca="1"/>
        <v>0</v>
      </c>
      <c r="M12" s="613">
        <f ca="1"/>
        <v>0</v>
      </c>
      <c r="N12" s="594">
        <f t="shared" ca="1" si="0"/>
        <v>0</v>
      </c>
      <c r="O12" s="62"/>
    </row>
    <row r="13" spans="1:15" ht="15.75" customHeight="1">
      <c r="A13" s="1997" t="str">
        <v/>
      </c>
      <c r="B13" s="592">
        <f ca="1"/>
        <v>0</v>
      </c>
      <c r="C13" s="593">
        <f ca="1"/>
        <v>0</v>
      </c>
      <c r="D13" s="593">
        <f ca="1"/>
        <v>0</v>
      </c>
      <c r="E13" s="593">
        <f ca="1"/>
        <v>0</v>
      </c>
      <c r="F13" s="593">
        <f ca="1"/>
        <v>0</v>
      </c>
      <c r="G13" s="593">
        <f ca="1"/>
        <v>0</v>
      </c>
      <c r="H13" s="593">
        <f ca="1"/>
        <v>0</v>
      </c>
      <c r="I13" s="593">
        <f ca="1"/>
        <v>0</v>
      </c>
      <c r="J13" s="593">
        <f ca="1"/>
        <v>0</v>
      </c>
      <c r="K13" s="593">
        <f ca="1"/>
        <v>0</v>
      </c>
      <c r="L13" s="593">
        <f ca="1"/>
        <v>0</v>
      </c>
      <c r="M13" s="613">
        <f ca="1"/>
        <v>0</v>
      </c>
      <c r="N13" s="594">
        <f t="shared" ca="1" si="0"/>
        <v>0</v>
      </c>
      <c r="O13" s="62"/>
    </row>
    <row r="14" spans="1:15" ht="15.75" customHeight="1">
      <c r="A14" s="1997" t="str">
        <v/>
      </c>
      <c r="B14" s="592">
        <f ca="1"/>
        <v>0</v>
      </c>
      <c r="C14" s="593">
        <f ca="1"/>
        <v>0</v>
      </c>
      <c r="D14" s="593">
        <f ca="1"/>
        <v>0</v>
      </c>
      <c r="E14" s="593">
        <f ca="1"/>
        <v>0</v>
      </c>
      <c r="F14" s="593">
        <f ca="1"/>
        <v>0</v>
      </c>
      <c r="G14" s="593">
        <f ca="1"/>
        <v>0</v>
      </c>
      <c r="H14" s="593">
        <f ca="1"/>
        <v>0</v>
      </c>
      <c r="I14" s="593">
        <f ca="1"/>
        <v>0</v>
      </c>
      <c r="J14" s="593">
        <f ca="1"/>
        <v>0</v>
      </c>
      <c r="K14" s="593">
        <f ca="1"/>
        <v>0</v>
      </c>
      <c r="L14" s="593">
        <f ca="1"/>
        <v>0</v>
      </c>
      <c r="M14" s="613">
        <f ca="1"/>
        <v>0</v>
      </c>
      <c r="N14" s="594">
        <f t="shared" ca="1" si="0"/>
        <v>0</v>
      </c>
      <c r="O14" s="62"/>
    </row>
    <row r="15" spans="1:15" ht="15.75" customHeight="1" thickBot="1">
      <c r="A15" s="1998" t="str">
        <v/>
      </c>
      <c r="B15" s="595">
        <f ca="1"/>
        <v>0</v>
      </c>
      <c r="C15" s="596">
        <f ca="1"/>
        <v>0</v>
      </c>
      <c r="D15" s="596">
        <f ca="1"/>
        <v>0</v>
      </c>
      <c r="E15" s="596">
        <f ca="1"/>
        <v>0</v>
      </c>
      <c r="F15" s="596">
        <f ca="1"/>
        <v>0</v>
      </c>
      <c r="G15" s="596">
        <f ca="1"/>
        <v>0</v>
      </c>
      <c r="H15" s="596">
        <f ca="1"/>
        <v>0</v>
      </c>
      <c r="I15" s="596">
        <f ca="1"/>
        <v>0</v>
      </c>
      <c r="J15" s="596">
        <f ca="1"/>
        <v>0</v>
      </c>
      <c r="K15" s="596">
        <f ca="1"/>
        <v>0</v>
      </c>
      <c r="L15" s="596">
        <f ca="1"/>
        <v>0</v>
      </c>
      <c r="M15" s="614">
        <f ca="1"/>
        <v>0</v>
      </c>
      <c r="N15" s="597">
        <f t="shared" ca="1" si="0"/>
        <v>0</v>
      </c>
      <c r="O15" s="62"/>
    </row>
    <row r="16" spans="1:15" ht="15">
      <c r="A16" s="73"/>
    </row>
    <row r="17" spans="1:15" ht="15">
      <c r="A17" s="220"/>
    </row>
    <row r="18" spans="1:15" ht="18.75" thickBot="1">
      <c r="A18" s="1993" t="str">
        <f>'Distr CV 0'!A18</f>
        <v>Previsão de custos de produção das unidades vendidas</v>
      </c>
      <c r="G18" s="2741" t="str">
        <f>$K$1</f>
        <v>Ano 5:  2031</v>
      </c>
      <c r="I18" s="1993" t="str">
        <f>'Distr CV 0'!I18</f>
        <v>IVA NÃO incluido</v>
      </c>
    </row>
    <row r="19" spans="1:15" s="456" customFormat="1" ht="15.75" customHeight="1" thickBot="1">
      <c r="A19" s="457" t="str">
        <f>'Distr CV 0'!A19</f>
        <v>Custos produção</v>
      </c>
      <c r="B19" s="455" t="str">
        <f t="array" ref="B19:M19">meses</f>
        <v>janeiro</v>
      </c>
      <c r="C19" s="451" t="str">
        <v>fevereiro</v>
      </c>
      <c r="D19" s="451" t="str">
        <v>março</v>
      </c>
      <c r="E19" s="451" t="str">
        <v>abril</v>
      </c>
      <c r="F19" s="451" t="str">
        <v>maio</v>
      </c>
      <c r="G19" s="451" t="str">
        <v>junho</v>
      </c>
      <c r="H19" s="451" t="str">
        <v>julho</v>
      </c>
      <c r="I19" s="451" t="str">
        <v>agosto</v>
      </c>
      <c r="J19" s="451" t="str">
        <v>setembro</v>
      </c>
      <c r="K19" s="451" t="str">
        <v>outubro</v>
      </c>
      <c r="L19" s="451" t="str">
        <v>novembro</v>
      </c>
      <c r="M19" s="452" t="str">
        <v>dezembro</v>
      </c>
      <c r="N19" s="449" t="str">
        <f>N$7</f>
        <v>Totais</v>
      </c>
    </row>
    <row r="20" spans="1:15" ht="15.75" customHeight="1">
      <c r="A20" s="1996" t="str">
        <f t="array" ref="A20:A27">productos</f>
        <v>produto 1</v>
      </c>
      <c r="B20" s="598">
        <f t="array" aca="1" ref="B20:M27" ca="1">B8:M15*'Preços-CV'!$J19:$J26</f>
        <v>182.4674882772</v>
      </c>
      <c r="C20" s="599">
        <f ca="1"/>
        <v>182.4674882772</v>
      </c>
      <c r="D20" s="599">
        <f ca="1"/>
        <v>182.4674882772</v>
      </c>
      <c r="E20" s="599">
        <f ca="1"/>
        <v>182.4674882772</v>
      </c>
      <c r="F20" s="599">
        <f ca="1"/>
        <v>182.4674882772</v>
      </c>
      <c r="G20" s="599">
        <f ca="1"/>
        <v>182.4674882772</v>
      </c>
      <c r="H20" s="599">
        <f ca="1"/>
        <v>182.4674882772</v>
      </c>
      <c r="I20" s="599">
        <f ca="1"/>
        <v>182.4674882772</v>
      </c>
      <c r="J20" s="599">
        <f ca="1"/>
        <v>182.4674882772</v>
      </c>
      <c r="K20" s="599">
        <f ca="1"/>
        <v>182.4674882772</v>
      </c>
      <c r="L20" s="599">
        <f ca="1"/>
        <v>182.4674882772</v>
      </c>
      <c r="M20" s="609">
        <f ca="1"/>
        <v>182.4674882772</v>
      </c>
      <c r="N20" s="591">
        <f t="shared" ref="N20:N28" ca="1" si="1">SUM(B20:M20)</f>
        <v>2189.6098593264005</v>
      </c>
      <c r="O20" s="62"/>
    </row>
    <row r="21" spans="1:15" ht="15.75" customHeight="1">
      <c r="A21" s="1997" t="str">
        <v/>
      </c>
      <c r="B21" s="600">
        <f ca="1"/>
        <v>0</v>
      </c>
      <c r="C21" s="601">
        <f ca="1"/>
        <v>0</v>
      </c>
      <c r="D21" s="601">
        <f ca="1"/>
        <v>0</v>
      </c>
      <c r="E21" s="601">
        <f ca="1"/>
        <v>0</v>
      </c>
      <c r="F21" s="601">
        <f ca="1"/>
        <v>0</v>
      </c>
      <c r="G21" s="601">
        <f ca="1"/>
        <v>0</v>
      </c>
      <c r="H21" s="601">
        <f ca="1"/>
        <v>0</v>
      </c>
      <c r="I21" s="601">
        <f ca="1"/>
        <v>0</v>
      </c>
      <c r="J21" s="601">
        <f ca="1"/>
        <v>0</v>
      </c>
      <c r="K21" s="601">
        <f ca="1"/>
        <v>0</v>
      </c>
      <c r="L21" s="601">
        <f ca="1"/>
        <v>0</v>
      </c>
      <c r="M21" s="610">
        <f ca="1"/>
        <v>0</v>
      </c>
      <c r="N21" s="594">
        <f t="shared" ca="1" si="1"/>
        <v>0</v>
      </c>
      <c r="O21" s="62"/>
    </row>
    <row r="22" spans="1:15" ht="15.75" customHeight="1">
      <c r="A22" s="1997" t="str">
        <v/>
      </c>
      <c r="B22" s="600">
        <f ca="1"/>
        <v>0</v>
      </c>
      <c r="C22" s="601">
        <f ca="1"/>
        <v>0</v>
      </c>
      <c r="D22" s="601">
        <f ca="1"/>
        <v>0</v>
      </c>
      <c r="E22" s="601">
        <f ca="1"/>
        <v>0</v>
      </c>
      <c r="F22" s="601">
        <f ca="1"/>
        <v>0</v>
      </c>
      <c r="G22" s="601">
        <f ca="1"/>
        <v>0</v>
      </c>
      <c r="H22" s="601">
        <f ca="1"/>
        <v>0</v>
      </c>
      <c r="I22" s="601">
        <f ca="1"/>
        <v>0</v>
      </c>
      <c r="J22" s="601">
        <f ca="1"/>
        <v>0</v>
      </c>
      <c r="K22" s="601">
        <f ca="1"/>
        <v>0</v>
      </c>
      <c r="L22" s="601">
        <f ca="1"/>
        <v>0</v>
      </c>
      <c r="M22" s="610">
        <f ca="1"/>
        <v>0</v>
      </c>
      <c r="N22" s="594">
        <f t="shared" ca="1" si="1"/>
        <v>0</v>
      </c>
      <c r="O22" s="62"/>
    </row>
    <row r="23" spans="1:15" ht="15.75" customHeight="1">
      <c r="A23" s="1997" t="str">
        <v/>
      </c>
      <c r="B23" s="600">
        <f ca="1"/>
        <v>0</v>
      </c>
      <c r="C23" s="601">
        <f ca="1"/>
        <v>0</v>
      </c>
      <c r="D23" s="601">
        <f ca="1"/>
        <v>0</v>
      </c>
      <c r="E23" s="601">
        <f ca="1"/>
        <v>0</v>
      </c>
      <c r="F23" s="601">
        <f ca="1"/>
        <v>0</v>
      </c>
      <c r="G23" s="601">
        <f ca="1"/>
        <v>0</v>
      </c>
      <c r="H23" s="601">
        <f ca="1"/>
        <v>0</v>
      </c>
      <c r="I23" s="601">
        <f ca="1"/>
        <v>0</v>
      </c>
      <c r="J23" s="601">
        <f ca="1"/>
        <v>0</v>
      </c>
      <c r="K23" s="601">
        <f ca="1"/>
        <v>0</v>
      </c>
      <c r="L23" s="601">
        <f ca="1"/>
        <v>0</v>
      </c>
      <c r="M23" s="610">
        <f ca="1"/>
        <v>0</v>
      </c>
      <c r="N23" s="594">
        <f t="shared" ca="1" si="1"/>
        <v>0</v>
      </c>
      <c r="O23" s="62"/>
    </row>
    <row r="24" spans="1:15" ht="15.75" customHeight="1">
      <c r="A24" s="1997" t="str">
        <v/>
      </c>
      <c r="B24" s="600">
        <f ca="1"/>
        <v>0</v>
      </c>
      <c r="C24" s="601">
        <f ca="1"/>
        <v>0</v>
      </c>
      <c r="D24" s="601">
        <f ca="1"/>
        <v>0</v>
      </c>
      <c r="E24" s="601">
        <f ca="1"/>
        <v>0</v>
      </c>
      <c r="F24" s="601">
        <f ca="1"/>
        <v>0</v>
      </c>
      <c r="G24" s="601">
        <f ca="1"/>
        <v>0</v>
      </c>
      <c r="H24" s="601">
        <f ca="1"/>
        <v>0</v>
      </c>
      <c r="I24" s="601">
        <f ca="1"/>
        <v>0</v>
      </c>
      <c r="J24" s="601">
        <f ca="1"/>
        <v>0</v>
      </c>
      <c r="K24" s="601">
        <f ca="1"/>
        <v>0</v>
      </c>
      <c r="L24" s="601">
        <f ca="1"/>
        <v>0</v>
      </c>
      <c r="M24" s="610">
        <f ca="1"/>
        <v>0</v>
      </c>
      <c r="N24" s="594">
        <f t="shared" ca="1" si="1"/>
        <v>0</v>
      </c>
      <c r="O24" s="62"/>
    </row>
    <row r="25" spans="1:15" ht="15.75" customHeight="1">
      <c r="A25" s="1997" t="str">
        <v/>
      </c>
      <c r="B25" s="600">
        <f ca="1"/>
        <v>0</v>
      </c>
      <c r="C25" s="601">
        <f ca="1"/>
        <v>0</v>
      </c>
      <c r="D25" s="601">
        <f ca="1"/>
        <v>0</v>
      </c>
      <c r="E25" s="601">
        <f ca="1"/>
        <v>0</v>
      </c>
      <c r="F25" s="601">
        <f ca="1"/>
        <v>0</v>
      </c>
      <c r="G25" s="601">
        <f ca="1"/>
        <v>0</v>
      </c>
      <c r="H25" s="601">
        <f ca="1"/>
        <v>0</v>
      </c>
      <c r="I25" s="601">
        <f ca="1"/>
        <v>0</v>
      </c>
      <c r="J25" s="601">
        <f ca="1"/>
        <v>0</v>
      </c>
      <c r="K25" s="601">
        <f ca="1"/>
        <v>0</v>
      </c>
      <c r="L25" s="601">
        <f ca="1"/>
        <v>0</v>
      </c>
      <c r="M25" s="610">
        <f ca="1"/>
        <v>0</v>
      </c>
      <c r="N25" s="594">
        <f t="shared" ca="1" si="1"/>
        <v>0</v>
      </c>
      <c r="O25" s="62"/>
    </row>
    <row r="26" spans="1:15" ht="15.75" customHeight="1">
      <c r="A26" s="1997" t="str">
        <v/>
      </c>
      <c r="B26" s="600">
        <f ca="1"/>
        <v>0</v>
      </c>
      <c r="C26" s="601">
        <f ca="1"/>
        <v>0</v>
      </c>
      <c r="D26" s="601">
        <f ca="1"/>
        <v>0</v>
      </c>
      <c r="E26" s="601">
        <f ca="1"/>
        <v>0</v>
      </c>
      <c r="F26" s="601">
        <f ca="1"/>
        <v>0</v>
      </c>
      <c r="G26" s="601">
        <f ca="1"/>
        <v>0</v>
      </c>
      <c r="H26" s="601">
        <f ca="1"/>
        <v>0</v>
      </c>
      <c r="I26" s="601">
        <f ca="1"/>
        <v>0</v>
      </c>
      <c r="J26" s="601">
        <f ca="1"/>
        <v>0</v>
      </c>
      <c r="K26" s="601">
        <f ca="1"/>
        <v>0</v>
      </c>
      <c r="L26" s="601">
        <f ca="1"/>
        <v>0</v>
      </c>
      <c r="M26" s="610">
        <f ca="1"/>
        <v>0</v>
      </c>
      <c r="N26" s="594">
        <f t="shared" ca="1" si="1"/>
        <v>0</v>
      </c>
      <c r="O26" s="62"/>
    </row>
    <row r="27" spans="1:15" ht="15.75" customHeight="1" thickBot="1">
      <c r="A27" s="1998" t="str">
        <v/>
      </c>
      <c r="B27" s="602">
        <f ca="1"/>
        <v>0</v>
      </c>
      <c r="C27" s="603">
        <f ca="1"/>
        <v>0</v>
      </c>
      <c r="D27" s="603">
        <f ca="1"/>
        <v>0</v>
      </c>
      <c r="E27" s="603">
        <f ca="1"/>
        <v>0</v>
      </c>
      <c r="F27" s="603">
        <f ca="1"/>
        <v>0</v>
      </c>
      <c r="G27" s="603">
        <f ca="1"/>
        <v>0</v>
      </c>
      <c r="H27" s="603">
        <f ca="1"/>
        <v>0</v>
      </c>
      <c r="I27" s="603">
        <f ca="1"/>
        <v>0</v>
      </c>
      <c r="J27" s="603">
        <f ca="1"/>
        <v>0</v>
      </c>
      <c r="K27" s="603">
        <f ca="1"/>
        <v>0</v>
      </c>
      <c r="L27" s="603">
        <f ca="1"/>
        <v>0</v>
      </c>
      <c r="M27" s="611">
        <f ca="1"/>
        <v>0</v>
      </c>
      <c r="N27" s="604">
        <f t="shared" ca="1" si="1"/>
        <v>0</v>
      </c>
      <c r="O27" s="62"/>
    </row>
    <row r="28" spans="1:15" ht="15.75" customHeight="1" thickBot="1">
      <c r="A28" s="105" t="str">
        <f>'Distr CV 0'!A28</f>
        <v>Totais</v>
      </c>
      <c r="B28" s="606">
        <f t="shared" ref="B28:M28" ca="1" si="2">SUM(B20:B27)</f>
        <v>182.4674882772</v>
      </c>
      <c r="C28" s="607">
        <f t="shared" ca="1" si="2"/>
        <v>182.4674882772</v>
      </c>
      <c r="D28" s="607">
        <f t="shared" ca="1" si="2"/>
        <v>182.4674882772</v>
      </c>
      <c r="E28" s="607">
        <f t="shared" ca="1" si="2"/>
        <v>182.4674882772</v>
      </c>
      <c r="F28" s="607">
        <f t="shared" ca="1" si="2"/>
        <v>182.4674882772</v>
      </c>
      <c r="G28" s="607">
        <f t="shared" ca="1" si="2"/>
        <v>182.4674882772</v>
      </c>
      <c r="H28" s="607">
        <f t="shared" ca="1" si="2"/>
        <v>182.4674882772</v>
      </c>
      <c r="I28" s="607">
        <f t="shared" ca="1" si="2"/>
        <v>182.4674882772</v>
      </c>
      <c r="J28" s="607">
        <f t="shared" ca="1" si="2"/>
        <v>182.4674882772</v>
      </c>
      <c r="K28" s="607">
        <f t="shared" ca="1" si="2"/>
        <v>182.4674882772</v>
      </c>
      <c r="L28" s="607">
        <f t="shared" ca="1" si="2"/>
        <v>182.4674882772</v>
      </c>
      <c r="M28" s="608">
        <f t="shared" ca="1" si="2"/>
        <v>182.4674882772</v>
      </c>
      <c r="N28" s="605">
        <f t="shared" ca="1" si="1"/>
        <v>2189.6098593264005</v>
      </c>
      <c r="O28" s="62"/>
    </row>
    <row r="29" spans="1:15" ht="15">
      <c r="A29" s="220"/>
    </row>
    <row r="30" spans="1:15" ht="15.75" thickBot="1">
      <c r="A30" s="220"/>
    </row>
    <row r="31" spans="1:15" ht="19.5" customHeight="1" thickBot="1">
      <c r="A31" s="457" t="str">
        <f>'Distr CV 0'!A31</f>
        <v>IVA sop. Custos produç.</v>
      </c>
      <c r="B31" s="455" t="str">
        <f t="array" ref="B31:M31">meses</f>
        <v>janeiro</v>
      </c>
      <c r="C31" s="451" t="str">
        <v>fevereiro</v>
      </c>
      <c r="D31" s="451" t="str">
        <v>março</v>
      </c>
      <c r="E31" s="451" t="str">
        <v>abril</v>
      </c>
      <c r="F31" s="451" t="str">
        <v>maio</v>
      </c>
      <c r="G31" s="451" t="str">
        <v>junho</v>
      </c>
      <c r="H31" s="451" t="str">
        <v>julho</v>
      </c>
      <c r="I31" s="451" t="str">
        <v>agosto</v>
      </c>
      <c r="J31" s="451" t="str">
        <v>setembro</v>
      </c>
      <c r="K31" s="451" t="str">
        <v>outubro</v>
      </c>
      <c r="L31" s="451" t="str">
        <v>novembro</v>
      </c>
      <c r="M31" s="452" t="str">
        <v>dezembro</v>
      </c>
      <c r="N31" s="449" t="str">
        <f>N$7</f>
        <v>Totais</v>
      </c>
    </row>
    <row r="32" spans="1:15" ht="15.75" customHeight="1">
      <c r="A32" s="1996" t="str">
        <f t="array" ref="A32:A39">productos</f>
        <v>produto 1</v>
      </c>
      <c r="B32" s="598">
        <f t="array" aca="1" ref="B32:M39" ca="1">B20:M27*Parametros!$F24:$F31</f>
        <v>38.318172538211996</v>
      </c>
      <c r="C32" s="599">
        <f ca="1"/>
        <v>38.318172538211996</v>
      </c>
      <c r="D32" s="599">
        <f ca="1"/>
        <v>38.318172538211996</v>
      </c>
      <c r="E32" s="599">
        <f ca="1"/>
        <v>38.318172538211996</v>
      </c>
      <c r="F32" s="599">
        <f ca="1"/>
        <v>38.318172538211996</v>
      </c>
      <c r="G32" s="599">
        <f ca="1"/>
        <v>38.318172538211996</v>
      </c>
      <c r="H32" s="599">
        <f ca="1"/>
        <v>38.318172538211996</v>
      </c>
      <c r="I32" s="599">
        <f ca="1"/>
        <v>38.318172538211996</v>
      </c>
      <c r="J32" s="599">
        <f ca="1"/>
        <v>38.318172538211996</v>
      </c>
      <c r="K32" s="599">
        <f ca="1"/>
        <v>38.318172538211996</v>
      </c>
      <c r="L32" s="599">
        <f ca="1"/>
        <v>38.318172538211996</v>
      </c>
      <c r="M32" s="609">
        <f ca="1"/>
        <v>38.318172538211996</v>
      </c>
      <c r="N32" s="591">
        <f t="shared" ref="N32:N40" ca="1" si="3">SUM(B32:M32)</f>
        <v>459.81807045854407</v>
      </c>
      <c r="O32" s="62"/>
    </row>
    <row r="33" spans="1:15" ht="15.75" customHeight="1">
      <c r="A33" s="1997" t="str">
        <v/>
      </c>
      <c r="B33" s="600">
        <f ca="1"/>
        <v>0</v>
      </c>
      <c r="C33" s="601">
        <f ca="1"/>
        <v>0</v>
      </c>
      <c r="D33" s="601">
        <f ca="1"/>
        <v>0</v>
      </c>
      <c r="E33" s="601">
        <f ca="1"/>
        <v>0</v>
      </c>
      <c r="F33" s="601">
        <f ca="1"/>
        <v>0</v>
      </c>
      <c r="G33" s="601">
        <f ca="1"/>
        <v>0</v>
      </c>
      <c r="H33" s="601">
        <f ca="1"/>
        <v>0</v>
      </c>
      <c r="I33" s="601">
        <f ca="1"/>
        <v>0</v>
      </c>
      <c r="J33" s="601">
        <f ca="1"/>
        <v>0</v>
      </c>
      <c r="K33" s="601">
        <f ca="1"/>
        <v>0</v>
      </c>
      <c r="L33" s="601">
        <f ca="1"/>
        <v>0</v>
      </c>
      <c r="M33" s="610">
        <f ca="1"/>
        <v>0</v>
      </c>
      <c r="N33" s="594">
        <f t="shared" ca="1" si="3"/>
        <v>0</v>
      </c>
      <c r="O33" s="62"/>
    </row>
    <row r="34" spans="1:15" ht="15.75" customHeight="1">
      <c r="A34" s="1997" t="str">
        <v/>
      </c>
      <c r="B34" s="600">
        <f ca="1"/>
        <v>0</v>
      </c>
      <c r="C34" s="601">
        <f ca="1"/>
        <v>0</v>
      </c>
      <c r="D34" s="601">
        <f ca="1"/>
        <v>0</v>
      </c>
      <c r="E34" s="601">
        <f ca="1"/>
        <v>0</v>
      </c>
      <c r="F34" s="601">
        <f ca="1"/>
        <v>0</v>
      </c>
      <c r="G34" s="601">
        <f ca="1"/>
        <v>0</v>
      </c>
      <c r="H34" s="601">
        <f ca="1"/>
        <v>0</v>
      </c>
      <c r="I34" s="601">
        <f ca="1"/>
        <v>0</v>
      </c>
      <c r="J34" s="601">
        <f ca="1"/>
        <v>0</v>
      </c>
      <c r="K34" s="601">
        <f ca="1"/>
        <v>0</v>
      </c>
      <c r="L34" s="601">
        <f ca="1"/>
        <v>0</v>
      </c>
      <c r="M34" s="610">
        <f ca="1"/>
        <v>0</v>
      </c>
      <c r="N34" s="594">
        <f t="shared" ca="1" si="3"/>
        <v>0</v>
      </c>
      <c r="O34" s="62"/>
    </row>
    <row r="35" spans="1:15" ht="15.75" customHeight="1">
      <c r="A35" s="1997" t="str">
        <v/>
      </c>
      <c r="B35" s="600">
        <f ca="1"/>
        <v>0</v>
      </c>
      <c r="C35" s="601">
        <f ca="1"/>
        <v>0</v>
      </c>
      <c r="D35" s="601">
        <f ca="1"/>
        <v>0</v>
      </c>
      <c r="E35" s="601">
        <f ca="1"/>
        <v>0</v>
      </c>
      <c r="F35" s="601">
        <f ca="1"/>
        <v>0</v>
      </c>
      <c r="G35" s="601">
        <f ca="1"/>
        <v>0</v>
      </c>
      <c r="H35" s="601">
        <f ca="1"/>
        <v>0</v>
      </c>
      <c r="I35" s="601">
        <f ca="1"/>
        <v>0</v>
      </c>
      <c r="J35" s="601">
        <f ca="1"/>
        <v>0</v>
      </c>
      <c r="K35" s="601">
        <f ca="1"/>
        <v>0</v>
      </c>
      <c r="L35" s="601">
        <f ca="1"/>
        <v>0</v>
      </c>
      <c r="M35" s="610">
        <f ca="1"/>
        <v>0</v>
      </c>
      <c r="N35" s="594">
        <f t="shared" ca="1" si="3"/>
        <v>0</v>
      </c>
      <c r="O35" s="62"/>
    </row>
    <row r="36" spans="1:15" ht="15.75" customHeight="1">
      <c r="A36" s="1997" t="str">
        <v/>
      </c>
      <c r="B36" s="600">
        <f ca="1"/>
        <v>0</v>
      </c>
      <c r="C36" s="601">
        <f ca="1"/>
        <v>0</v>
      </c>
      <c r="D36" s="601">
        <f ca="1"/>
        <v>0</v>
      </c>
      <c r="E36" s="601">
        <f ca="1"/>
        <v>0</v>
      </c>
      <c r="F36" s="601">
        <f ca="1"/>
        <v>0</v>
      </c>
      <c r="G36" s="601">
        <f ca="1"/>
        <v>0</v>
      </c>
      <c r="H36" s="601">
        <f ca="1"/>
        <v>0</v>
      </c>
      <c r="I36" s="601">
        <f ca="1"/>
        <v>0</v>
      </c>
      <c r="J36" s="601">
        <f ca="1"/>
        <v>0</v>
      </c>
      <c r="K36" s="601">
        <f ca="1"/>
        <v>0</v>
      </c>
      <c r="L36" s="601">
        <f ca="1"/>
        <v>0</v>
      </c>
      <c r="M36" s="610">
        <f ca="1"/>
        <v>0</v>
      </c>
      <c r="N36" s="594">
        <f t="shared" ca="1" si="3"/>
        <v>0</v>
      </c>
      <c r="O36" s="62"/>
    </row>
    <row r="37" spans="1:15" ht="15.75" customHeight="1">
      <c r="A37" s="1997" t="str">
        <v/>
      </c>
      <c r="B37" s="600">
        <f ca="1"/>
        <v>0</v>
      </c>
      <c r="C37" s="601">
        <f ca="1"/>
        <v>0</v>
      </c>
      <c r="D37" s="601">
        <f ca="1"/>
        <v>0</v>
      </c>
      <c r="E37" s="601">
        <f ca="1"/>
        <v>0</v>
      </c>
      <c r="F37" s="601">
        <f ca="1"/>
        <v>0</v>
      </c>
      <c r="G37" s="601">
        <f ca="1"/>
        <v>0</v>
      </c>
      <c r="H37" s="601">
        <f ca="1"/>
        <v>0</v>
      </c>
      <c r="I37" s="601">
        <f ca="1"/>
        <v>0</v>
      </c>
      <c r="J37" s="601">
        <f ca="1"/>
        <v>0</v>
      </c>
      <c r="K37" s="601">
        <f ca="1"/>
        <v>0</v>
      </c>
      <c r="L37" s="601">
        <f ca="1"/>
        <v>0</v>
      </c>
      <c r="M37" s="610">
        <f ca="1"/>
        <v>0</v>
      </c>
      <c r="N37" s="594">
        <f t="shared" ca="1" si="3"/>
        <v>0</v>
      </c>
      <c r="O37" s="62"/>
    </row>
    <row r="38" spans="1:15" ht="15.75" customHeight="1">
      <c r="A38" s="1997" t="str">
        <v/>
      </c>
      <c r="B38" s="600">
        <f ca="1"/>
        <v>0</v>
      </c>
      <c r="C38" s="601">
        <f ca="1"/>
        <v>0</v>
      </c>
      <c r="D38" s="601">
        <f ca="1"/>
        <v>0</v>
      </c>
      <c r="E38" s="601">
        <f ca="1"/>
        <v>0</v>
      </c>
      <c r="F38" s="601">
        <f ca="1"/>
        <v>0</v>
      </c>
      <c r="G38" s="601">
        <f ca="1"/>
        <v>0</v>
      </c>
      <c r="H38" s="601">
        <f ca="1"/>
        <v>0</v>
      </c>
      <c r="I38" s="601">
        <f ca="1"/>
        <v>0</v>
      </c>
      <c r="J38" s="601">
        <f ca="1"/>
        <v>0</v>
      </c>
      <c r="K38" s="601">
        <f ca="1"/>
        <v>0</v>
      </c>
      <c r="L38" s="601">
        <f ca="1"/>
        <v>0</v>
      </c>
      <c r="M38" s="610">
        <f ca="1"/>
        <v>0</v>
      </c>
      <c r="N38" s="594">
        <f t="shared" ca="1" si="3"/>
        <v>0</v>
      </c>
      <c r="O38" s="62"/>
    </row>
    <row r="39" spans="1:15" ht="15.75" customHeight="1" thickBot="1">
      <c r="A39" s="1998" t="str">
        <v/>
      </c>
      <c r="B39" s="602">
        <f ca="1"/>
        <v>0</v>
      </c>
      <c r="C39" s="603">
        <f ca="1"/>
        <v>0</v>
      </c>
      <c r="D39" s="603">
        <f ca="1"/>
        <v>0</v>
      </c>
      <c r="E39" s="603">
        <f ca="1"/>
        <v>0</v>
      </c>
      <c r="F39" s="603">
        <f ca="1"/>
        <v>0</v>
      </c>
      <c r="G39" s="603">
        <f ca="1"/>
        <v>0</v>
      </c>
      <c r="H39" s="603">
        <f ca="1"/>
        <v>0</v>
      </c>
      <c r="I39" s="603">
        <f ca="1"/>
        <v>0</v>
      </c>
      <c r="J39" s="603">
        <f ca="1"/>
        <v>0</v>
      </c>
      <c r="K39" s="603">
        <f ca="1"/>
        <v>0</v>
      </c>
      <c r="L39" s="603">
        <f ca="1"/>
        <v>0</v>
      </c>
      <c r="M39" s="611">
        <f ca="1"/>
        <v>0</v>
      </c>
      <c r="N39" s="604">
        <f t="shared" ca="1" si="3"/>
        <v>0</v>
      </c>
      <c r="O39" s="62"/>
    </row>
    <row r="40" spans="1:15" ht="15.75" customHeight="1" thickBot="1">
      <c r="A40" s="105" t="str">
        <f>A$28</f>
        <v>Totais</v>
      </c>
      <c r="B40" s="606">
        <f t="shared" ref="B40:M40" ca="1" si="4">SUM(B32:B39)</f>
        <v>38.318172538211996</v>
      </c>
      <c r="C40" s="607">
        <f t="shared" ca="1" si="4"/>
        <v>38.318172538211996</v>
      </c>
      <c r="D40" s="607">
        <f t="shared" ca="1" si="4"/>
        <v>38.318172538211996</v>
      </c>
      <c r="E40" s="607">
        <f t="shared" ca="1" si="4"/>
        <v>38.318172538211996</v>
      </c>
      <c r="F40" s="607">
        <f t="shared" ca="1" si="4"/>
        <v>38.318172538211996</v>
      </c>
      <c r="G40" s="607">
        <f t="shared" ca="1" si="4"/>
        <v>38.318172538211996</v>
      </c>
      <c r="H40" s="607">
        <f t="shared" ca="1" si="4"/>
        <v>38.318172538211996</v>
      </c>
      <c r="I40" s="607">
        <f t="shared" ca="1" si="4"/>
        <v>38.318172538211996</v>
      </c>
      <c r="J40" s="607">
        <f t="shared" ca="1" si="4"/>
        <v>38.318172538211996</v>
      </c>
      <c r="K40" s="607">
        <f t="shared" ca="1" si="4"/>
        <v>38.318172538211996</v>
      </c>
      <c r="L40" s="607">
        <f t="shared" ca="1" si="4"/>
        <v>38.318172538211996</v>
      </c>
      <c r="M40" s="608">
        <f t="shared" ca="1" si="4"/>
        <v>38.318172538211996</v>
      </c>
      <c r="N40" s="605">
        <f t="shared" ca="1" si="3"/>
        <v>459.81807045854407</v>
      </c>
      <c r="O40" s="62"/>
    </row>
    <row r="41" spans="1:15" ht="15">
      <c r="A41" s="220"/>
      <c r="B41" s="62" t="str">
        <f>'Distr CV 0'!B41</f>
        <v>Não faz sentido calcular o IVA dos CV no mes no que fosse imputado (mes de venda) senão no mes no que se produzira a compra</v>
      </c>
    </row>
    <row r="42" spans="1:15" ht="15">
      <c r="A42" s="220"/>
    </row>
    <row r="43" spans="1:15" ht="15">
      <c r="A43" s="220"/>
    </row>
    <row r="44" spans="1:15" ht="18.75" thickBot="1">
      <c r="A44" s="1993" t="str">
        <f>'Distr CV 0'!A44</f>
        <v>Custos de produção no ano</v>
      </c>
      <c r="G44" s="2741" t="str">
        <f>$K$1</f>
        <v>Ano 5:  2031</v>
      </c>
      <c r="I44" s="1993" t="str">
        <f>'Distr CV 0'!I44</f>
        <v>IVA NÃO incluido</v>
      </c>
    </row>
    <row r="45" spans="1:15" s="456" customFormat="1" ht="15.75" customHeight="1" thickBot="1">
      <c r="A45" s="457" t="str">
        <f>'Distr CV 0'!A45</f>
        <v>Custos produção</v>
      </c>
      <c r="B45" s="455" t="str">
        <f t="array" ref="B45:M45">meses</f>
        <v>janeiro</v>
      </c>
      <c r="C45" s="451" t="str">
        <v>fevereiro</v>
      </c>
      <c r="D45" s="451" t="str">
        <v>março</v>
      </c>
      <c r="E45" s="451" t="str">
        <v>abril</v>
      </c>
      <c r="F45" s="451" t="str">
        <v>maio</v>
      </c>
      <c r="G45" s="451" t="str">
        <v>junho</v>
      </c>
      <c r="H45" s="451" t="str">
        <v>julho</v>
      </c>
      <c r="I45" s="451" t="str">
        <v>agosto</v>
      </c>
      <c r="J45" s="451" t="str">
        <v>setembro</v>
      </c>
      <c r="K45" s="451" t="str">
        <v>outubro</v>
      </c>
      <c r="L45" s="451" t="str">
        <v>novembro</v>
      </c>
      <c r="M45" s="452" t="str">
        <v>dezembro</v>
      </c>
      <c r="N45" s="449" t="str">
        <f>N$7</f>
        <v>Totais</v>
      </c>
    </row>
    <row r="46" spans="1:15" ht="15.75" customHeight="1">
      <c r="A46" s="1996" t="str">
        <f t="array" ref="A46:A53">productos</f>
        <v>produto 1</v>
      </c>
      <c r="B46" s="598">
        <f t="array" aca="1" ref="B46:M46" ca="1">N124:Y124</f>
        <v>182.4674882772</v>
      </c>
      <c r="C46" s="599">
        <f ca="1"/>
        <v>182.4674882772</v>
      </c>
      <c r="D46" s="599">
        <f ca="1"/>
        <v>182.4674882772</v>
      </c>
      <c r="E46" s="599">
        <f ca="1"/>
        <v>182.4674882772</v>
      </c>
      <c r="F46" s="599">
        <f ca="1"/>
        <v>182.4674882772</v>
      </c>
      <c r="G46" s="599">
        <f ca="1"/>
        <v>182.4674882772</v>
      </c>
      <c r="H46" s="599">
        <f ca="1"/>
        <v>182.4674882772</v>
      </c>
      <c r="I46" s="599">
        <f ca="1"/>
        <v>182.4674882772</v>
      </c>
      <c r="J46" s="599">
        <f ca="1"/>
        <v>182.4674882772</v>
      </c>
      <c r="K46" s="599">
        <f ca="1"/>
        <v>182.4674882772</v>
      </c>
      <c r="L46" s="599">
        <f ca="1"/>
        <v>182.4674882772</v>
      </c>
      <c r="M46" s="609">
        <f ca="1"/>
        <v>182.4674882772</v>
      </c>
      <c r="N46" s="591">
        <f t="shared" ref="N46:N54" ca="1" si="5">SUM(B46:M46)</f>
        <v>2189.6098593264005</v>
      </c>
      <c r="O46" s="62"/>
    </row>
    <row r="47" spans="1:15" ht="15.75" customHeight="1">
      <c r="A47" s="1997" t="str">
        <v/>
      </c>
      <c r="B47" s="600">
        <f t="array" aca="1" ref="B47:M47" ca="1">N142:Y142</f>
        <v>0</v>
      </c>
      <c r="C47" s="601">
        <f ca="1"/>
        <v>0</v>
      </c>
      <c r="D47" s="601">
        <f ca="1"/>
        <v>0</v>
      </c>
      <c r="E47" s="601">
        <f ca="1"/>
        <v>0</v>
      </c>
      <c r="F47" s="601">
        <f ca="1"/>
        <v>0</v>
      </c>
      <c r="G47" s="601">
        <f ca="1"/>
        <v>0</v>
      </c>
      <c r="H47" s="601">
        <f ca="1"/>
        <v>0</v>
      </c>
      <c r="I47" s="601">
        <f ca="1"/>
        <v>0</v>
      </c>
      <c r="J47" s="601">
        <f ca="1"/>
        <v>0</v>
      </c>
      <c r="K47" s="601">
        <f ca="1"/>
        <v>0</v>
      </c>
      <c r="L47" s="601">
        <f ca="1"/>
        <v>0</v>
      </c>
      <c r="M47" s="610">
        <f ca="1"/>
        <v>0</v>
      </c>
      <c r="N47" s="594">
        <f t="shared" ca="1" si="5"/>
        <v>0</v>
      </c>
      <c r="O47" s="62"/>
    </row>
    <row r="48" spans="1:15" ht="15.75" customHeight="1">
      <c r="A48" s="1997" t="str">
        <v/>
      </c>
      <c r="B48" s="600">
        <f t="array" aca="1" ref="B48:M48" ca="1">N160:Y160</f>
        <v>0</v>
      </c>
      <c r="C48" s="601">
        <f ca="1"/>
        <v>0</v>
      </c>
      <c r="D48" s="601">
        <f ca="1"/>
        <v>0</v>
      </c>
      <c r="E48" s="601">
        <f ca="1"/>
        <v>0</v>
      </c>
      <c r="F48" s="601">
        <f ca="1"/>
        <v>0</v>
      </c>
      <c r="G48" s="601">
        <f ca="1"/>
        <v>0</v>
      </c>
      <c r="H48" s="601">
        <f ca="1"/>
        <v>0</v>
      </c>
      <c r="I48" s="601">
        <f ca="1"/>
        <v>0</v>
      </c>
      <c r="J48" s="601">
        <f ca="1"/>
        <v>0</v>
      </c>
      <c r="K48" s="601">
        <f ca="1"/>
        <v>0</v>
      </c>
      <c r="L48" s="601">
        <f ca="1"/>
        <v>0</v>
      </c>
      <c r="M48" s="610">
        <f ca="1"/>
        <v>0</v>
      </c>
      <c r="N48" s="594">
        <f t="shared" ca="1" si="5"/>
        <v>0</v>
      </c>
      <c r="O48" s="62"/>
    </row>
    <row r="49" spans="1:15" ht="15.75" customHeight="1">
      <c r="A49" s="1997" t="str">
        <v/>
      </c>
      <c r="B49" s="600">
        <f t="array" aca="1" ref="B49:M49" ca="1">N178:Y178</f>
        <v>0</v>
      </c>
      <c r="C49" s="601">
        <f ca="1"/>
        <v>0</v>
      </c>
      <c r="D49" s="601">
        <f ca="1"/>
        <v>0</v>
      </c>
      <c r="E49" s="601">
        <f ca="1"/>
        <v>0</v>
      </c>
      <c r="F49" s="601">
        <f ca="1"/>
        <v>0</v>
      </c>
      <c r="G49" s="601">
        <f ca="1"/>
        <v>0</v>
      </c>
      <c r="H49" s="601">
        <f ca="1"/>
        <v>0</v>
      </c>
      <c r="I49" s="601">
        <f ca="1"/>
        <v>0</v>
      </c>
      <c r="J49" s="601">
        <f ca="1"/>
        <v>0</v>
      </c>
      <c r="K49" s="601">
        <f ca="1"/>
        <v>0</v>
      </c>
      <c r="L49" s="601">
        <f ca="1"/>
        <v>0</v>
      </c>
      <c r="M49" s="610">
        <f ca="1"/>
        <v>0</v>
      </c>
      <c r="N49" s="594">
        <f t="shared" ca="1" si="5"/>
        <v>0</v>
      </c>
      <c r="O49" s="62"/>
    </row>
    <row r="50" spans="1:15" ht="15.75" customHeight="1">
      <c r="A50" s="1997" t="str">
        <v/>
      </c>
      <c r="B50" s="600">
        <f t="array" aca="1" ref="B50:M50" ca="1">N196:Y196</f>
        <v>0</v>
      </c>
      <c r="C50" s="601">
        <f ca="1"/>
        <v>0</v>
      </c>
      <c r="D50" s="601">
        <f ca="1"/>
        <v>0</v>
      </c>
      <c r="E50" s="601">
        <f ca="1"/>
        <v>0</v>
      </c>
      <c r="F50" s="601">
        <f ca="1"/>
        <v>0</v>
      </c>
      <c r="G50" s="601">
        <f ca="1"/>
        <v>0</v>
      </c>
      <c r="H50" s="601">
        <f ca="1"/>
        <v>0</v>
      </c>
      <c r="I50" s="601">
        <f ca="1"/>
        <v>0</v>
      </c>
      <c r="J50" s="601">
        <f ca="1"/>
        <v>0</v>
      </c>
      <c r="K50" s="601">
        <f ca="1"/>
        <v>0</v>
      </c>
      <c r="L50" s="601">
        <f ca="1"/>
        <v>0</v>
      </c>
      <c r="M50" s="610">
        <f ca="1"/>
        <v>0</v>
      </c>
      <c r="N50" s="594">
        <f t="shared" ca="1" si="5"/>
        <v>0</v>
      </c>
      <c r="O50" s="62"/>
    </row>
    <row r="51" spans="1:15" ht="15.75" customHeight="1">
      <c r="A51" s="1997" t="str">
        <v/>
      </c>
      <c r="B51" s="600">
        <f t="array" aca="1" ref="B51:M51" ca="1">N214:Y214</f>
        <v>0</v>
      </c>
      <c r="C51" s="601">
        <f ca="1"/>
        <v>0</v>
      </c>
      <c r="D51" s="601">
        <f ca="1"/>
        <v>0</v>
      </c>
      <c r="E51" s="601">
        <f ca="1"/>
        <v>0</v>
      </c>
      <c r="F51" s="601">
        <f ca="1"/>
        <v>0</v>
      </c>
      <c r="G51" s="601">
        <f ca="1"/>
        <v>0</v>
      </c>
      <c r="H51" s="601">
        <f ca="1"/>
        <v>0</v>
      </c>
      <c r="I51" s="601">
        <f ca="1"/>
        <v>0</v>
      </c>
      <c r="J51" s="601">
        <f ca="1"/>
        <v>0</v>
      </c>
      <c r="K51" s="601">
        <f ca="1"/>
        <v>0</v>
      </c>
      <c r="L51" s="601">
        <f ca="1"/>
        <v>0</v>
      </c>
      <c r="M51" s="610">
        <f ca="1"/>
        <v>0</v>
      </c>
      <c r="N51" s="594">
        <f t="shared" ca="1" si="5"/>
        <v>0</v>
      </c>
      <c r="O51" s="62"/>
    </row>
    <row r="52" spans="1:15" ht="15.75" customHeight="1">
      <c r="A52" s="1997" t="str">
        <v/>
      </c>
      <c r="B52" s="600">
        <f t="array" aca="1" ref="B52:M52" ca="1">N232:Y232</f>
        <v>0</v>
      </c>
      <c r="C52" s="601">
        <f ca="1"/>
        <v>0</v>
      </c>
      <c r="D52" s="601">
        <f ca="1"/>
        <v>0</v>
      </c>
      <c r="E52" s="601">
        <f ca="1"/>
        <v>0</v>
      </c>
      <c r="F52" s="601">
        <f ca="1"/>
        <v>0</v>
      </c>
      <c r="G52" s="601">
        <f ca="1"/>
        <v>0</v>
      </c>
      <c r="H52" s="601">
        <f ca="1"/>
        <v>0</v>
      </c>
      <c r="I52" s="601">
        <f ca="1"/>
        <v>0</v>
      </c>
      <c r="J52" s="601">
        <f ca="1"/>
        <v>0</v>
      </c>
      <c r="K52" s="601">
        <f ca="1"/>
        <v>0</v>
      </c>
      <c r="L52" s="601">
        <f ca="1"/>
        <v>0</v>
      </c>
      <c r="M52" s="610">
        <f ca="1"/>
        <v>0</v>
      </c>
      <c r="N52" s="594">
        <f t="shared" ca="1" si="5"/>
        <v>0</v>
      </c>
      <c r="O52" s="62"/>
    </row>
    <row r="53" spans="1:15" ht="15.75" customHeight="1" thickBot="1">
      <c r="A53" s="1998" t="str">
        <v/>
      </c>
      <c r="B53" s="602">
        <f t="array" aca="1" ref="B53:M53" ca="1">N250:Y250</f>
        <v>0</v>
      </c>
      <c r="C53" s="603">
        <f ca="1"/>
        <v>0</v>
      </c>
      <c r="D53" s="603">
        <f ca="1"/>
        <v>0</v>
      </c>
      <c r="E53" s="603">
        <f ca="1"/>
        <v>0</v>
      </c>
      <c r="F53" s="603">
        <f ca="1"/>
        <v>0</v>
      </c>
      <c r="G53" s="603">
        <f ca="1"/>
        <v>0</v>
      </c>
      <c r="H53" s="603">
        <f ca="1"/>
        <v>0</v>
      </c>
      <c r="I53" s="603">
        <f ca="1"/>
        <v>0</v>
      </c>
      <c r="J53" s="603">
        <f ca="1"/>
        <v>0</v>
      </c>
      <c r="K53" s="603">
        <f ca="1"/>
        <v>0</v>
      </c>
      <c r="L53" s="603">
        <f ca="1"/>
        <v>0</v>
      </c>
      <c r="M53" s="611">
        <f ca="1"/>
        <v>0</v>
      </c>
      <c r="N53" s="604">
        <f t="shared" ca="1" si="5"/>
        <v>0</v>
      </c>
      <c r="O53" s="62"/>
    </row>
    <row r="54" spans="1:15" ht="15.75" customHeight="1" thickBot="1">
      <c r="A54" s="105" t="str">
        <f>A$28</f>
        <v>Totais</v>
      </c>
      <c r="B54" s="606">
        <f t="shared" ref="B54:M54" ca="1" si="6">SUM(B46:B53)</f>
        <v>182.4674882772</v>
      </c>
      <c r="C54" s="607">
        <f t="shared" ca="1" si="6"/>
        <v>182.4674882772</v>
      </c>
      <c r="D54" s="607">
        <f t="shared" ca="1" si="6"/>
        <v>182.4674882772</v>
      </c>
      <c r="E54" s="607">
        <f t="shared" ca="1" si="6"/>
        <v>182.4674882772</v>
      </c>
      <c r="F54" s="607">
        <f t="shared" ca="1" si="6"/>
        <v>182.4674882772</v>
      </c>
      <c r="G54" s="607">
        <f t="shared" ca="1" si="6"/>
        <v>182.4674882772</v>
      </c>
      <c r="H54" s="607">
        <f t="shared" ca="1" si="6"/>
        <v>182.4674882772</v>
      </c>
      <c r="I54" s="607">
        <f t="shared" ca="1" si="6"/>
        <v>182.4674882772</v>
      </c>
      <c r="J54" s="607">
        <f t="shared" ca="1" si="6"/>
        <v>182.4674882772</v>
      </c>
      <c r="K54" s="607">
        <f t="shared" ca="1" si="6"/>
        <v>182.4674882772</v>
      </c>
      <c r="L54" s="607">
        <f t="shared" ca="1" si="6"/>
        <v>182.4674882772</v>
      </c>
      <c r="M54" s="608">
        <f t="shared" ca="1" si="6"/>
        <v>182.4674882772</v>
      </c>
      <c r="N54" s="605">
        <f t="shared" ca="1" si="5"/>
        <v>2189.6098593264005</v>
      </c>
      <c r="O54" s="62"/>
    </row>
    <row r="55" spans="1:15">
      <c r="A55" s="1011" t="str">
        <f>'Distr CV 1'!A55</f>
        <v>Pendente anterior</v>
      </c>
      <c r="B55" s="1011">
        <f ca="1">SUM(B124:M124,B142:M142,B160:M160,B178:M178,B196:M196,B214:M214,B232:M232,B250:M250)</f>
        <v>0</v>
      </c>
    </row>
    <row r="57" spans="1:15" ht="18.75" thickBot="1">
      <c r="A57" s="1993" t="str">
        <f>'Distr CV 0'!A57</f>
        <v>IVA soportado dos custos de produção no ano</v>
      </c>
      <c r="G57" s="2741" t="str">
        <f>$K$1</f>
        <v>Ano 5:  2031</v>
      </c>
      <c r="I57" s="1993"/>
    </row>
    <row r="58" spans="1:15" s="456" customFormat="1" ht="15.75" customHeight="1" thickBot="1">
      <c r="A58" s="457" t="str">
        <f>'Distr CV 0'!A58</f>
        <v>Custos produção</v>
      </c>
      <c r="B58" s="455" t="str">
        <f t="array" ref="B58:M58">meses</f>
        <v>janeiro</v>
      </c>
      <c r="C58" s="451" t="str">
        <v>fevereiro</v>
      </c>
      <c r="D58" s="451" t="str">
        <v>março</v>
      </c>
      <c r="E58" s="451" t="str">
        <v>abril</v>
      </c>
      <c r="F58" s="451" t="str">
        <v>maio</v>
      </c>
      <c r="G58" s="451" t="str">
        <v>junho</v>
      </c>
      <c r="H58" s="451" t="str">
        <v>julho</v>
      </c>
      <c r="I58" s="451" t="str">
        <v>agosto</v>
      </c>
      <c r="J58" s="451" t="str">
        <v>setembro</v>
      </c>
      <c r="K58" s="451" t="str">
        <v>outubro</v>
      </c>
      <c r="L58" s="451" t="str">
        <v>novembro</v>
      </c>
      <c r="M58" s="452" t="str">
        <v>dezembro</v>
      </c>
      <c r="N58" s="449" t="str">
        <f>N$7</f>
        <v>Totais</v>
      </c>
    </row>
    <row r="59" spans="1:15" ht="15.75" customHeight="1">
      <c r="A59" s="1996" t="str">
        <f t="array" ref="A59:A66">productos</f>
        <v>produto 1</v>
      </c>
      <c r="B59" s="598">
        <f t="array" aca="1" ref="B59:M59" ca="1">N125:Y125</f>
        <v>38.318172538211996</v>
      </c>
      <c r="C59" s="599">
        <f ca="1"/>
        <v>38.318172538211996</v>
      </c>
      <c r="D59" s="599">
        <f ca="1"/>
        <v>38.318172538211996</v>
      </c>
      <c r="E59" s="599">
        <f ca="1"/>
        <v>38.318172538211996</v>
      </c>
      <c r="F59" s="599">
        <f ca="1"/>
        <v>38.318172538211996</v>
      </c>
      <c r="G59" s="599">
        <f ca="1"/>
        <v>38.318172538211996</v>
      </c>
      <c r="H59" s="599">
        <f ca="1"/>
        <v>38.318172538211996</v>
      </c>
      <c r="I59" s="599">
        <f ca="1"/>
        <v>38.318172538211996</v>
      </c>
      <c r="J59" s="599">
        <f ca="1"/>
        <v>38.318172538211996</v>
      </c>
      <c r="K59" s="599">
        <f ca="1"/>
        <v>38.318172538211996</v>
      </c>
      <c r="L59" s="599">
        <f ca="1"/>
        <v>38.318172538211996</v>
      </c>
      <c r="M59" s="609">
        <f ca="1"/>
        <v>38.318172538211996</v>
      </c>
      <c r="N59" s="591">
        <f t="shared" ref="N59:N67" ca="1" si="7">SUM(B59:M59)</f>
        <v>459.81807045854407</v>
      </c>
      <c r="O59" s="62"/>
    </row>
    <row r="60" spans="1:15" ht="15.75" customHeight="1">
      <c r="A60" s="1997" t="str">
        <v/>
      </c>
      <c r="B60" s="600">
        <f t="array" aca="1" ref="B60:M60" ca="1">N143:Y143</f>
        <v>0</v>
      </c>
      <c r="C60" s="601">
        <f ca="1"/>
        <v>0</v>
      </c>
      <c r="D60" s="601">
        <f ca="1"/>
        <v>0</v>
      </c>
      <c r="E60" s="601">
        <f ca="1"/>
        <v>0</v>
      </c>
      <c r="F60" s="601">
        <f ca="1"/>
        <v>0</v>
      </c>
      <c r="G60" s="601">
        <f ca="1"/>
        <v>0</v>
      </c>
      <c r="H60" s="601">
        <f ca="1"/>
        <v>0</v>
      </c>
      <c r="I60" s="601">
        <f ca="1"/>
        <v>0</v>
      </c>
      <c r="J60" s="601">
        <f ca="1"/>
        <v>0</v>
      </c>
      <c r="K60" s="601">
        <f ca="1"/>
        <v>0</v>
      </c>
      <c r="L60" s="601">
        <f ca="1"/>
        <v>0</v>
      </c>
      <c r="M60" s="610">
        <f ca="1"/>
        <v>0</v>
      </c>
      <c r="N60" s="594">
        <f t="shared" ca="1" si="7"/>
        <v>0</v>
      </c>
      <c r="O60" s="62"/>
    </row>
    <row r="61" spans="1:15" ht="15.75" customHeight="1">
      <c r="A61" s="1997" t="str">
        <v/>
      </c>
      <c r="B61" s="600">
        <f t="array" aca="1" ref="B61:M61" ca="1">N161:Y161</f>
        <v>0</v>
      </c>
      <c r="C61" s="601">
        <f ca="1"/>
        <v>0</v>
      </c>
      <c r="D61" s="601">
        <f ca="1"/>
        <v>0</v>
      </c>
      <c r="E61" s="601">
        <f ca="1"/>
        <v>0</v>
      </c>
      <c r="F61" s="601">
        <f ca="1"/>
        <v>0</v>
      </c>
      <c r="G61" s="601">
        <f ca="1"/>
        <v>0</v>
      </c>
      <c r="H61" s="601">
        <f ca="1"/>
        <v>0</v>
      </c>
      <c r="I61" s="601">
        <f ca="1"/>
        <v>0</v>
      </c>
      <c r="J61" s="601">
        <f ca="1"/>
        <v>0</v>
      </c>
      <c r="K61" s="601">
        <f ca="1"/>
        <v>0</v>
      </c>
      <c r="L61" s="601">
        <f ca="1"/>
        <v>0</v>
      </c>
      <c r="M61" s="610">
        <f ca="1"/>
        <v>0</v>
      </c>
      <c r="N61" s="594">
        <f t="shared" ca="1" si="7"/>
        <v>0</v>
      </c>
      <c r="O61" s="62"/>
    </row>
    <row r="62" spans="1:15" ht="15.75" customHeight="1">
      <c r="A62" s="1997" t="str">
        <v/>
      </c>
      <c r="B62" s="600">
        <f t="array" aca="1" ref="B62:M62" ca="1">N179:Y179</f>
        <v>0</v>
      </c>
      <c r="C62" s="601">
        <f ca="1"/>
        <v>0</v>
      </c>
      <c r="D62" s="601">
        <f ca="1"/>
        <v>0</v>
      </c>
      <c r="E62" s="601">
        <f ca="1"/>
        <v>0</v>
      </c>
      <c r="F62" s="601">
        <f ca="1"/>
        <v>0</v>
      </c>
      <c r="G62" s="601">
        <f ca="1"/>
        <v>0</v>
      </c>
      <c r="H62" s="601">
        <f ca="1"/>
        <v>0</v>
      </c>
      <c r="I62" s="601">
        <f ca="1"/>
        <v>0</v>
      </c>
      <c r="J62" s="601">
        <f ca="1"/>
        <v>0</v>
      </c>
      <c r="K62" s="601">
        <f ca="1"/>
        <v>0</v>
      </c>
      <c r="L62" s="601">
        <f ca="1"/>
        <v>0</v>
      </c>
      <c r="M62" s="610">
        <f ca="1"/>
        <v>0</v>
      </c>
      <c r="N62" s="594">
        <f t="shared" ca="1" si="7"/>
        <v>0</v>
      </c>
      <c r="O62" s="62"/>
    </row>
    <row r="63" spans="1:15" ht="15.75" customHeight="1">
      <c r="A63" s="1997" t="str">
        <v/>
      </c>
      <c r="B63" s="600">
        <f t="array" aca="1" ref="B63:M63" ca="1">N197:Y197</f>
        <v>0</v>
      </c>
      <c r="C63" s="601">
        <f ca="1"/>
        <v>0</v>
      </c>
      <c r="D63" s="601">
        <f ca="1"/>
        <v>0</v>
      </c>
      <c r="E63" s="601">
        <f ca="1"/>
        <v>0</v>
      </c>
      <c r="F63" s="601">
        <f ca="1"/>
        <v>0</v>
      </c>
      <c r="G63" s="601">
        <f ca="1"/>
        <v>0</v>
      </c>
      <c r="H63" s="601">
        <f ca="1"/>
        <v>0</v>
      </c>
      <c r="I63" s="601">
        <f ca="1"/>
        <v>0</v>
      </c>
      <c r="J63" s="601">
        <f ca="1"/>
        <v>0</v>
      </c>
      <c r="K63" s="601">
        <f ca="1"/>
        <v>0</v>
      </c>
      <c r="L63" s="601">
        <f ca="1"/>
        <v>0</v>
      </c>
      <c r="M63" s="610">
        <f ca="1"/>
        <v>0</v>
      </c>
      <c r="N63" s="594">
        <f t="shared" ca="1" si="7"/>
        <v>0</v>
      </c>
      <c r="O63" s="62"/>
    </row>
    <row r="64" spans="1:15" ht="15.75" customHeight="1">
      <c r="A64" s="1997" t="str">
        <v/>
      </c>
      <c r="B64" s="600">
        <f t="array" aca="1" ref="B64:M64" ca="1">N215:Y215</f>
        <v>0</v>
      </c>
      <c r="C64" s="601">
        <f ca="1"/>
        <v>0</v>
      </c>
      <c r="D64" s="601">
        <f ca="1"/>
        <v>0</v>
      </c>
      <c r="E64" s="601">
        <f ca="1"/>
        <v>0</v>
      </c>
      <c r="F64" s="601">
        <f ca="1"/>
        <v>0</v>
      </c>
      <c r="G64" s="601">
        <f ca="1"/>
        <v>0</v>
      </c>
      <c r="H64" s="601">
        <f ca="1"/>
        <v>0</v>
      </c>
      <c r="I64" s="601">
        <f ca="1"/>
        <v>0</v>
      </c>
      <c r="J64" s="601">
        <f ca="1"/>
        <v>0</v>
      </c>
      <c r="K64" s="601">
        <f ca="1"/>
        <v>0</v>
      </c>
      <c r="L64" s="601">
        <f ca="1"/>
        <v>0</v>
      </c>
      <c r="M64" s="610">
        <f ca="1"/>
        <v>0</v>
      </c>
      <c r="N64" s="594">
        <f t="shared" ca="1" si="7"/>
        <v>0</v>
      </c>
      <c r="O64" s="62"/>
    </row>
    <row r="65" spans="1:26" ht="15.75" customHeight="1">
      <c r="A65" s="1997" t="str">
        <v/>
      </c>
      <c r="B65" s="600">
        <f t="array" aca="1" ref="B65:M65" ca="1">N233:Y233</f>
        <v>0</v>
      </c>
      <c r="C65" s="601">
        <f ca="1"/>
        <v>0</v>
      </c>
      <c r="D65" s="601">
        <f ca="1"/>
        <v>0</v>
      </c>
      <c r="E65" s="601">
        <f ca="1"/>
        <v>0</v>
      </c>
      <c r="F65" s="601">
        <f ca="1"/>
        <v>0</v>
      </c>
      <c r="G65" s="601">
        <f ca="1"/>
        <v>0</v>
      </c>
      <c r="H65" s="601">
        <f ca="1"/>
        <v>0</v>
      </c>
      <c r="I65" s="601">
        <f ca="1"/>
        <v>0</v>
      </c>
      <c r="J65" s="601">
        <f ca="1"/>
        <v>0</v>
      </c>
      <c r="K65" s="601">
        <f ca="1"/>
        <v>0</v>
      </c>
      <c r="L65" s="601">
        <f ca="1"/>
        <v>0</v>
      </c>
      <c r="M65" s="610">
        <f ca="1"/>
        <v>0</v>
      </c>
      <c r="N65" s="594">
        <f t="shared" ca="1" si="7"/>
        <v>0</v>
      </c>
      <c r="O65" s="62"/>
    </row>
    <row r="66" spans="1:26" ht="15.75" customHeight="1" thickBot="1">
      <c r="A66" s="1998" t="str">
        <v/>
      </c>
      <c r="B66" s="602">
        <f t="array" aca="1" ref="B66:M66" ca="1">N251:Y251</f>
        <v>0</v>
      </c>
      <c r="C66" s="603">
        <f ca="1"/>
        <v>0</v>
      </c>
      <c r="D66" s="603">
        <f ca="1"/>
        <v>0</v>
      </c>
      <c r="E66" s="603">
        <f ca="1"/>
        <v>0</v>
      </c>
      <c r="F66" s="603">
        <f ca="1"/>
        <v>0</v>
      </c>
      <c r="G66" s="603">
        <f ca="1"/>
        <v>0</v>
      </c>
      <c r="H66" s="603">
        <f ca="1"/>
        <v>0</v>
      </c>
      <c r="I66" s="603">
        <f ca="1"/>
        <v>0</v>
      </c>
      <c r="J66" s="603">
        <f ca="1"/>
        <v>0</v>
      </c>
      <c r="K66" s="603">
        <f ca="1"/>
        <v>0</v>
      </c>
      <c r="L66" s="603">
        <f ca="1"/>
        <v>0</v>
      </c>
      <c r="M66" s="611">
        <f ca="1"/>
        <v>0</v>
      </c>
      <c r="N66" s="604">
        <f t="shared" ca="1" si="7"/>
        <v>0</v>
      </c>
      <c r="O66" s="62"/>
    </row>
    <row r="67" spans="1:26" ht="15.75" customHeight="1" thickBot="1">
      <c r="A67" s="105" t="str">
        <f>A$28</f>
        <v>Totais</v>
      </c>
      <c r="B67" s="606">
        <f t="shared" ref="B67:M67" ca="1" si="8">SUM(B59:B66)</f>
        <v>38.318172538211996</v>
      </c>
      <c r="C67" s="607">
        <f t="shared" ca="1" si="8"/>
        <v>38.318172538211996</v>
      </c>
      <c r="D67" s="607">
        <f t="shared" ca="1" si="8"/>
        <v>38.318172538211996</v>
      </c>
      <c r="E67" s="607">
        <f t="shared" ca="1" si="8"/>
        <v>38.318172538211996</v>
      </c>
      <c r="F67" s="607">
        <f t="shared" ca="1" si="8"/>
        <v>38.318172538211996</v>
      </c>
      <c r="G67" s="607">
        <f t="shared" ca="1" si="8"/>
        <v>38.318172538211996</v>
      </c>
      <c r="H67" s="607">
        <f t="shared" ca="1" si="8"/>
        <v>38.318172538211996</v>
      </c>
      <c r="I67" s="607">
        <f t="shared" ca="1" si="8"/>
        <v>38.318172538211996</v>
      </c>
      <c r="J67" s="607">
        <f t="shared" ca="1" si="8"/>
        <v>38.318172538211996</v>
      </c>
      <c r="K67" s="607">
        <f t="shared" ca="1" si="8"/>
        <v>38.318172538211996</v>
      </c>
      <c r="L67" s="607">
        <f t="shared" ca="1" si="8"/>
        <v>38.318172538211996</v>
      </c>
      <c r="M67" s="608">
        <f t="shared" ca="1" si="8"/>
        <v>38.318172538211996</v>
      </c>
      <c r="N67" s="605">
        <f t="shared" ca="1" si="7"/>
        <v>459.81807045854407</v>
      </c>
      <c r="O67" s="62"/>
    </row>
    <row r="68" spans="1:26">
      <c r="A68" s="1011" t="s">
        <v>272</v>
      </c>
      <c r="B68" s="1011">
        <f ca="1">SUM(B125:M125,B143:M143,B161:M161,B179:M179,B197:M197,B215:M215,B233:M233,B251:M251)</f>
        <v>0</v>
      </c>
    </row>
    <row r="69" spans="1:26" ht="15">
      <c r="A69" s="220"/>
    </row>
    <row r="70" spans="1:26" ht="18.75" thickBot="1">
      <c r="A70" s="1993" t="str">
        <f>'Distr CV 0'!A70</f>
        <v>Distribuição dos custos de produção por meses das unidades vendidas no ano</v>
      </c>
      <c r="I70" s="1993" t="str">
        <f>I$44</f>
        <v>IVA NÃO incluido</v>
      </c>
    </row>
    <row r="71" spans="1:26" s="456" customFormat="1" ht="32.25" customHeight="1" thickBot="1">
      <c r="A71" s="457" t="str">
        <f>'Distr CV 0'!A71</f>
        <v>Custos produção</v>
      </c>
      <c r="B71" s="2011" t="str">
        <f t="array" ref="B71:M71">'Estimações Vendas'!B57:M57</f>
        <v>janeiro 
2030</v>
      </c>
      <c r="C71" s="2011" t="str">
        <v>fevereiro 
2030</v>
      </c>
      <c r="D71" s="2011" t="str">
        <v>março 
2030</v>
      </c>
      <c r="E71" s="2011" t="str">
        <v>abril 
2030</v>
      </c>
      <c r="F71" s="2011" t="str">
        <v>maio 
2030</v>
      </c>
      <c r="G71" s="2011" t="str">
        <v>junho 
2030</v>
      </c>
      <c r="H71" s="2011" t="str">
        <v>julho 
2030</v>
      </c>
      <c r="I71" s="2011" t="str">
        <v>agosto 
2030</v>
      </c>
      <c r="J71" s="2011" t="str">
        <v>setembro 
2030</v>
      </c>
      <c r="K71" s="2011" t="str">
        <v>outubro 
2030</v>
      </c>
      <c r="L71" s="2011" t="str">
        <v>novembro 
2030</v>
      </c>
      <c r="M71" s="2011" t="str">
        <v>dezembro 
2030</v>
      </c>
      <c r="N71" s="2734" t="str">
        <f t="array" ref="N71:Y71">'Estimações Vendas'!B70:M70</f>
        <v>janeiro 
2031</v>
      </c>
      <c r="O71" s="2735" t="str">
        <v>fevereiro 
2031</v>
      </c>
      <c r="P71" s="2735" t="str">
        <v>março 
2031</v>
      </c>
      <c r="Q71" s="2735" t="str">
        <v>abril 
2031</v>
      </c>
      <c r="R71" s="2735" t="str">
        <v>maio 
2031</v>
      </c>
      <c r="S71" s="2735" t="str">
        <v>junho 
2031</v>
      </c>
      <c r="T71" s="2735" t="str">
        <v>julho 
2031</v>
      </c>
      <c r="U71" s="2735" t="str">
        <v>agosto 
2031</v>
      </c>
      <c r="V71" s="2735" t="str">
        <v>setembro 
2031</v>
      </c>
      <c r="W71" s="2735" t="str">
        <v>outubro 
2031</v>
      </c>
      <c r="X71" s="2735" t="str">
        <v>novembro 
2031</v>
      </c>
      <c r="Y71" s="2736" t="str">
        <v>dezembro 
2031</v>
      </c>
      <c r="Z71" s="62"/>
    </row>
    <row r="72" spans="1:26" ht="15.75" customHeight="1">
      <c r="A72" s="1994" t="s">
        <v>259</v>
      </c>
      <c r="B72" s="1991"/>
      <c r="C72" s="1991"/>
      <c r="D72" s="1991"/>
      <c r="E72" s="1991"/>
      <c r="F72" s="1991"/>
      <c r="G72" s="1991"/>
      <c r="H72" s="1989">
        <v>0</v>
      </c>
      <c r="I72" s="1990">
        <v>0</v>
      </c>
      <c r="J72" s="1990">
        <v>0</v>
      </c>
      <c r="K72" s="1990">
        <v>0</v>
      </c>
      <c r="L72" s="1990">
        <v>0</v>
      </c>
      <c r="M72" s="1990">
        <v>0</v>
      </c>
      <c r="N72" s="599">
        <f t="array" aca="1" ref="N72" ca="1">SUM(B20:B27*Produção!$N$8:$N$15)</f>
        <v>182.4674882772</v>
      </c>
      <c r="O72" s="599">
        <f t="array" aca="1" ref="O72" ca="1">SUM(C20:C27*Produção!$N$8:$N$15)</f>
        <v>182.4674882772</v>
      </c>
      <c r="P72" s="599">
        <f t="array" aca="1" ref="P72" ca="1">SUM(D20:D27*Produção!$N$8:$N$15)</f>
        <v>182.4674882772</v>
      </c>
      <c r="Q72" s="599">
        <f t="array" aca="1" ref="Q72" ca="1">SUM(E20:E27*Produção!$N$8:$N$15)</f>
        <v>182.4674882772</v>
      </c>
      <c r="R72" s="599">
        <f t="array" aca="1" ref="R72" ca="1">SUM(F20:F27*Produção!$N$8:$N$15)</f>
        <v>182.4674882772</v>
      </c>
      <c r="S72" s="599">
        <f t="array" aca="1" ref="S72" ca="1">SUM(G20:G27*Produção!$N$8:$N$15)</f>
        <v>182.4674882772</v>
      </c>
      <c r="T72" s="599">
        <f t="array" aca="1" ref="T72" ca="1">SUM(H20:H27*Produção!$N$8:$N$15)</f>
        <v>182.4674882772</v>
      </c>
      <c r="U72" s="599">
        <f t="array" aca="1" ref="U72" ca="1">SUM(I20:I27*Produção!$N$8:$N$15)</f>
        <v>182.4674882772</v>
      </c>
      <c r="V72" s="599">
        <f t="array" aca="1" ref="V72" ca="1">SUM(J20:J27*Produção!$N$8:$N$15)</f>
        <v>182.4674882772</v>
      </c>
      <c r="W72" s="599">
        <f t="array" aca="1" ref="W72" ca="1">SUM(K20:K27*Produção!$N$8:$N$15)</f>
        <v>182.4674882772</v>
      </c>
      <c r="X72" s="599">
        <f t="array" aca="1" ref="X72" ca="1">SUM(L20:L27*Produção!$N$8:$N$15)</f>
        <v>182.4674882772</v>
      </c>
      <c r="Y72" s="2009">
        <f t="array" aca="1" ref="Y72" ca="1">SUM(M20:M27*Produção!$N$8:$N$15)</f>
        <v>182.4674882772</v>
      </c>
    </row>
    <row r="73" spans="1:26" ht="15.75" customHeight="1">
      <c r="A73" s="1995" t="s">
        <v>260</v>
      </c>
      <c r="B73" s="1991"/>
      <c r="C73" s="1991"/>
      <c r="D73" s="1991"/>
      <c r="E73" s="1991"/>
      <c r="F73" s="1991"/>
      <c r="G73" s="1991"/>
      <c r="H73" s="1991"/>
      <c r="I73" s="1988"/>
      <c r="J73" s="1988"/>
      <c r="K73" s="1988"/>
      <c r="L73" s="1988"/>
      <c r="M73" s="601">
        <f t="array" aca="1" ref="M73" ca="1">SUM(B20:B27*Produção!$M$8:$M$15)</f>
        <v>0</v>
      </c>
      <c r="N73" s="601">
        <f t="array" aca="1" ref="N73" ca="1">SUM(C20:C27*Produção!$M$8:$M$15)</f>
        <v>0</v>
      </c>
      <c r="O73" s="601">
        <f t="array" aca="1" ref="O73" ca="1">SUM(D20:D27*Produção!$M$8:$M$15)</f>
        <v>0</v>
      </c>
      <c r="P73" s="601">
        <f t="array" aca="1" ref="P73" ca="1">SUM(E20:E27*Produção!$M$8:$M$15)</f>
        <v>0</v>
      </c>
      <c r="Q73" s="601">
        <f t="array" aca="1" ref="Q73" ca="1">SUM(F20:F27*Produção!$M$8:$M$15)</f>
        <v>0</v>
      </c>
      <c r="R73" s="601">
        <f t="array" aca="1" ref="R73" ca="1">SUM(G20:G27*Produção!$M$8:$M$15)</f>
        <v>0</v>
      </c>
      <c r="S73" s="601">
        <f t="array" aca="1" ref="S73" ca="1">SUM(H20:H27*Produção!$M$8:$M$15)</f>
        <v>0</v>
      </c>
      <c r="T73" s="601">
        <f t="array" aca="1" ref="T73" ca="1">SUM(I20:I27*Produção!$M$8:$M$15)</f>
        <v>0</v>
      </c>
      <c r="U73" s="601">
        <f t="array" aca="1" ref="U73" ca="1">SUM(J20:J27*Produção!$M$8:$M$15)</f>
        <v>0</v>
      </c>
      <c r="V73" s="601">
        <f t="array" aca="1" ref="V73" ca="1">SUM(K20:K27*Produção!$M$8:$M$15)</f>
        <v>0</v>
      </c>
      <c r="W73" s="601">
        <f t="array" aca="1" ref="W73" ca="1">SUM(L20:L27*Produção!$M$8:$M$15)</f>
        <v>0</v>
      </c>
      <c r="X73" s="601">
        <f t="array" aca="1" ref="X73" ca="1">SUM(M20:M27*Produção!$M$8:$M$15)</f>
        <v>0</v>
      </c>
      <c r="Y73" s="2007"/>
    </row>
    <row r="74" spans="1:26" ht="15.75" customHeight="1">
      <c r="A74" s="1995" t="s">
        <v>261</v>
      </c>
      <c r="B74" s="1991"/>
      <c r="C74" s="1991"/>
      <c r="D74" s="1991"/>
      <c r="E74" s="1991"/>
      <c r="F74" s="1991"/>
      <c r="G74" s="1991"/>
      <c r="H74" s="1991"/>
      <c r="I74" s="1988"/>
      <c r="J74" s="1988"/>
      <c r="K74" s="1988"/>
      <c r="L74" s="601">
        <f t="array" aca="1" ref="L74" ca="1">SUM(B20:B27*Produção!$L$8:$L$15)</f>
        <v>0</v>
      </c>
      <c r="M74" s="601">
        <f t="array" aca="1" ref="M74" ca="1">SUM(C20:C27*Produção!$L$8:$L$15)</f>
        <v>0</v>
      </c>
      <c r="N74" s="601">
        <f t="array" aca="1" ref="N74" ca="1">SUM(D20:D27*Produção!$L$8:$L$15)</f>
        <v>0</v>
      </c>
      <c r="O74" s="601">
        <f t="array" aca="1" ref="O74" ca="1">SUM(E20:E27*Produção!$L$8:$L$15)</f>
        <v>0</v>
      </c>
      <c r="P74" s="601">
        <f t="array" aca="1" ref="P74" ca="1">SUM(F20:F27*Produção!$L$8:$L$15)</f>
        <v>0</v>
      </c>
      <c r="Q74" s="601">
        <f t="array" aca="1" ref="Q74" ca="1">SUM(G20:G27*Produção!$L$8:$L$15)</f>
        <v>0</v>
      </c>
      <c r="R74" s="601">
        <f t="array" aca="1" ref="R74" ca="1">SUM(H20:H27*Produção!$L$8:$L$15)</f>
        <v>0</v>
      </c>
      <c r="S74" s="601">
        <f t="array" aca="1" ref="S74" ca="1">SUM(I20:I27*Produção!$L$8:$L$15)</f>
        <v>0</v>
      </c>
      <c r="T74" s="601">
        <f t="array" aca="1" ref="T74" ca="1">SUM(J20:J27*Produção!$L$8:$L$15)</f>
        <v>0</v>
      </c>
      <c r="U74" s="601">
        <f t="array" aca="1" ref="U74" ca="1">SUM(K20:K27*Produção!$L$8:$L$15)</f>
        <v>0</v>
      </c>
      <c r="V74" s="601">
        <f t="array" aca="1" ref="V74" ca="1">SUM(L20:L27*Produção!$L$8:$L$15)</f>
        <v>0</v>
      </c>
      <c r="W74" s="601">
        <f t="array" aca="1" ref="W74" ca="1">SUM(M20:M27*Produção!$L$8:$L$15)</f>
        <v>0</v>
      </c>
      <c r="X74" s="1988"/>
      <c r="Y74" s="2007"/>
    </row>
    <row r="75" spans="1:26" ht="15.75" customHeight="1">
      <c r="A75" s="1995" t="s">
        <v>262</v>
      </c>
      <c r="B75" s="1991"/>
      <c r="C75" s="1991"/>
      <c r="D75" s="1991"/>
      <c r="E75" s="1991"/>
      <c r="F75" s="1991"/>
      <c r="G75" s="1991"/>
      <c r="H75" s="1991"/>
      <c r="I75" s="1988"/>
      <c r="J75" s="1988"/>
      <c r="K75" s="601">
        <f t="array" aca="1" ref="K75" ca="1">SUM(B20:B27*Produção!$K$8:$K$15)</f>
        <v>0</v>
      </c>
      <c r="L75" s="601">
        <f t="array" aca="1" ref="L75" ca="1">SUM(C20:C27*Produção!$K$8:$K$15)</f>
        <v>0</v>
      </c>
      <c r="M75" s="601">
        <f t="array" aca="1" ref="M75" ca="1">SUM(D20:D27*Produção!$K$8:$K$15)</f>
        <v>0</v>
      </c>
      <c r="N75" s="601">
        <f t="array" aca="1" ref="N75" ca="1">SUM(E20:E27*Produção!$K$8:$K$15)</f>
        <v>0</v>
      </c>
      <c r="O75" s="601">
        <f t="array" aca="1" ref="O75" ca="1">SUM(F20:F27*Produção!$K$8:$K$15)</f>
        <v>0</v>
      </c>
      <c r="P75" s="601">
        <f t="array" aca="1" ref="P75" ca="1">SUM(G20:G27*Produção!$K$8:$K$15)</f>
        <v>0</v>
      </c>
      <c r="Q75" s="601">
        <f t="array" aca="1" ref="Q75" ca="1">SUM(H20:H27*Produção!$K$8:$K$15)</f>
        <v>0</v>
      </c>
      <c r="R75" s="601">
        <f t="array" aca="1" ref="R75" ca="1">SUM(I20:I27*Produção!$K$8:$K$15)</f>
        <v>0</v>
      </c>
      <c r="S75" s="601">
        <f t="array" aca="1" ref="S75" ca="1">SUM(J20:J27*Produção!$K$8:$K$15)</f>
        <v>0</v>
      </c>
      <c r="T75" s="601">
        <f t="array" aca="1" ref="T75" ca="1">SUM(K20:K27*Produção!$K$8:$K$15)</f>
        <v>0</v>
      </c>
      <c r="U75" s="601">
        <f t="array" aca="1" ref="U75" ca="1">SUM(L20:L27*Produção!$K$8:$K$15)</f>
        <v>0</v>
      </c>
      <c r="V75" s="601">
        <f t="array" aca="1" ref="V75" ca="1">SUM(M20:M27*Produção!$K$8:$K$15)</f>
        <v>0</v>
      </c>
      <c r="W75" s="1988"/>
      <c r="X75" s="1988"/>
      <c r="Y75" s="2007"/>
    </row>
    <row r="76" spans="1:26" ht="15.75" customHeight="1">
      <c r="A76" s="1995" t="s">
        <v>263</v>
      </c>
      <c r="B76" s="1991"/>
      <c r="C76" s="1991"/>
      <c r="D76" s="1991"/>
      <c r="E76" s="1991"/>
      <c r="F76" s="1991"/>
      <c r="G76" s="1991"/>
      <c r="H76" s="1991"/>
      <c r="I76" s="1988"/>
      <c r="J76" s="601">
        <f t="array" aca="1" ref="J76" ca="1">SUM(B20:B27*Produção!$J$8:$J$15)</f>
        <v>0</v>
      </c>
      <c r="K76" s="601">
        <f t="array" aca="1" ref="K76" ca="1">SUM(C20:C27*Produção!$J$8:$J$15)</f>
        <v>0</v>
      </c>
      <c r="L76" s="601">
        <f t="array" aca="1" ref="L76" ca="1">SUM(D20:D27*Produção!$J$8:$J$15)</f>
        <v>0</v>
      </c>
      <c r="M76" s="601">
        <f t="array" aca="1" ref="M76" ca="1">SUM(E20:E27*Produção!$J$8:$J$15)</f>
        <v>0</v>
      </c>
      <c r="N76" s="601">
        <f t="array" aca="1" ref="N76" ca="1">SUM(F20:F27*Produção!$J$8:$J$15)</f>
        <v>0</v>
      </c>
      <c r="O76" s="601">
        <f t="array" aca="1" ref="O76" ca="1">SUM(G20:G27*Produção!$J$8:$J$15)</f>
        <v>0</v>
      </c>
      <c r="P76" s="601">
        <f t="array" aca="1" ref="P76" ca="1">SUM(H20:H27*Produção!$J$8:$J$15)</f>
        <v>0</v>
      </c>
      <c r="Q76" s="601">
        <f t="array" aca="1" ref="Q76" ca="1">SUM(I20:I27*Produção!$J$8:$J$15)</f>
        <v>0</v>
      </c>
      <c r="R76" s="601">
        <f t="array" aca="1" ref="R76" ca="1">SUM(J20:J27*Produção!$J$8:$J$15)</f>
        <v>0</v>
      </c>
      <c r="S76" s="601">
        <f t="array" aca="1" ref="S76" ca="1">SUM(K20:K27*Produção!$J$8:$J$15)</f>
        <v>0</v>
      </c>
      <c r="T76" s="601">
        <f t="array" aca="1" ref="T76" ca="1">SUM(L20:L27*Produção!$J$8:$J$15)</f>
        <v>0</v>
      </c>
      <c r="U76" s="601">
        <f t="array" aca="1" ref="U76" ca="1">SUM(M20:M27*Produção!$J$8:$J$15)</f>
        <v>0</v>
      </c>
      <c r="V76" s="1988"/>
      <c r="W76" s="1988"/>
      <c r="X76" s="1988"/>
      <c r="Y76" s="2007"/>
    </row>
    <row r="77" spans="1:26" ht="15.75" customHeight="1">
      <c r="A77" s="1995" t="s">
        <v>264</v>
      </c>
      <c r="B77" s="1991"/>
      <c r="C77" s="1991"/>
      <c r="D77" s="1991"/>
      <c r="E77" s="1991"/>
      <c r="F77" s="1991"/>
      <c r="G77" s="1991"/>
      <c r="H77" s="1991"/>
      <c r="I77" s="601">
        <f t="array" aca="1" ref="I77" ca="1">SUM(B20:B27*Produção!$I$8:$I$15)</f>
        <v>0</v>
      </c>
      <c r="J77" s="601">
        <f t="array" aca="1" ref="J77" ca="1">SUM(C20:C27*Produção!$I$8:$I$15)</f>
        <v>0</v>
      </c>
      <c r="K77" s="601">
        <f t="array" aca="1" ref="K77" ca="1">SUM(D20:D27*Produção!$I$8:$I$15)</f>
        <v>0</v>
      </c>
      <c r="L77" s="601">
        <f t="array" aca="1" ref="L77" ca="1">SUM(E20:E27*Produção!$I$8:$I$15)</f>
        <v>0</v>
      </c>
      <c r="M77" s="601">
        <f t="array" aca="1" ref="M77" ca="1">SUM(F20:F27*Produção!$I$8:$I$15)</f>
        <v>0</v>
      </c>
      <c r="N77" s="601">
        <f t="array" aca="1" ref="N77" ca="1">SUM(G20:G27*Produção!$I$8:$I$15)</f>
        <v>0</v>
      </c>
      <c r="O77" s="601">
        <f t="array" aca="1" ref="O77" ca="1">SUM(H20:H27*Produção!$I$8:$I$15)</f>
        <v>0</v>
      </c>
      <c r="P77" s="601">
        <f t="array" aca="1" ref="P77" ca="1">SUM(I20:I27*Produção!$I$8:$I$15)</f>
        <v>0</v>
      </c>
      <c r="Q77" s="601">
        <f t="array" aca="1" ref="Q77" ca="1">SUM(J20:J27*Produção!$I$8:$I$15)</f>
        <v>0</v>
      </c>
      <c r="R77" s="601">
        <f t="array" aca="1" ref="R77" ca="1">SUM(K20:K27*Produção!$I$8:$I$15)</f>
        <v>0</v>
      </c>
      <c r="S77" s="601">
        <f t="array" aca="1" ref="S77" ca="1">SUM(L20:L27*Produção!$I$8:$I$15)</f>
        <v>0</v>
      </c>
      <c r="T77" s="601">
        <f t="array" aca="1" ref="T77" ca="1">SUM(M20:M27*Produção!$I$8:$I$15)</f>
        <v>0</v>
      </c>
      <c r="U77" s="1988"/>
      <c r="V77" s="1988"/>
      <c r="W77" s="1988"/>
      <c r="X77" s="1988"/>
      <c r="Y77" s="2007"/>
    </row>
    <row r="78" spans="1:26" ht="15.75" customHeight="1">
      <c r="A78" s="1995" t="s">
        <v>265</v>
      </c>
      <c r="B78" s="1991"/>
      <c r="C78" s="1991"/>
      <c r="D78" s="1991"/>
      <c r="E78" s="1991"/>
      <c r="F78" s="1991"/>
      <c r="G78" s="1991"/>
      <c r="H78" s="601">
        <f t="array" aca="1" ref="H78" ca="1">SUM(B20:B27*Produção!$H$8:$H$15)</f>
        <v>0</v>
      </c>
      <c r="I78" s="601">
        <f t="array" aca="1" ref="I78" ca="1">SUM(C20:C27*Produção!$H$8:$H$15)</f>
        <v>0</v>
      </c>
      <c r="J78" s="601">
        <f t="array" aca="1" ref="J78" ca="1">SUM(D20:D27*Produção!$H$8:$H$15)</f>
        <v>0</v>
      </c>
      <c r="K78" s="601">
        <f t="array" aca="1" ref="K78" ca="1">SUM(E20:E27*Produção!$H$8:$H$15)</f>
        <v>0</v>
      </c>
      <c r="L78" s="601">
        <f t="array" aca="1" ref="L78" ca="1">SUM(F20:F27*Produção!$H$8:$H$15)</f>
        <v>0</v>
      </c>
      <c r="M78" s="601">
        <f t="array" aca="1" ref="M78" ca="1">SUM(G20:G27*Produção!$H$8:$H$15)</f>
        <v>0</v>
      </c>
      <c r="N78" s="601">
        <f t="array" aca="1" ref="N78" ca="1">SUM(H20:H27*Produção!$H$8:$H$15)</f>
        <v>0</v>
      </c>
      <c r="O78" s="601">
        <f t="array" aca="1" ref="O78" ca="1">SUM(I20:I27*Produção!$H$8:$H$15)</f>
        <v>0</v>
      </c>
      <c r="P78" s="601">
        <f t="array" aca="1" ref="P78" ca="1">SUM(J20:J27*Produção!$H$8:$H$15)</f>
        <v>0</v>
      </c>
      <c r="Q78" s="601">
        <f t="array" aca="1" ref="Q78" ca="1">SUM(K20:K27*Produção!$H$8:$H$15)</f>
        <v>0</v>
      </c>
      <c r="R78" s="601">
        <f t="array" aca="1" ref="R78" ca="1">SUM(L20:L27*Produção!$H$8:$H$15)</f>
        <v>0</v>
      </c>
      <c r="S78" s="601">
        <f t="array" aca="1" ref="S78" ca="1">SUM(M20:M27*Produção!$H$8:$H$15)</f>
        <v>0</v>
      </c>
      <c r="T78" s="1988"/>
      <c r="U78" s="1988"/>
      <c r="V78" s="1988"/>
      <c r="W78" s="1988"/>
      <c r="X78" s="1988"/>
      <c r="Y78" s="2007"/>
    </row>
    <row r="79" spans="1:26" ht="15.75" customHeight="1">
      <c r="A79" s="1995" t="s">
        <v>266</v>
      </c>
      <c r="B79" s="1991"/>
      <c r="C79" s="1991"/>
      <c r="D79" s="1991"/>
      <c r="E79" s="1991"/>
      <c r="F79" s="1991"/>
      <c r="G79" s="603">
        <f t="array" aca="1" ref="G79" ca="1">SUM(B20:B27*Produção!$G$8:$G$15)</f>
        <v>0</v>
      </c>
      <c r="H79" s="603">
        <f t="array" aca="1" ref="H79" ca="1">SUM(C20:C27*Produção!$G$8:$G$15)</f>
        <v>0</v>
      </c>
      <c r="I79" s="603">
        <f t="array" aca="1" ref="I79" ca="1">SUM(D20:D27*Produção!$G$8:$G$15)</f>
        <v>0</v>
      </c>
      <c r="J79" s="603">
        <f t="array" aca="1" ref="J79" ca="1">SUM(E20:E27*Produção!$G$8:$G$15)</f>
        <v>0</v>
      </c>
      <c r="K79" s="603">
        <f t="array" aca="1" ref="K79" ca="1">SUM(F20:F27*Produção!$G$8:$G$15)</f>
        <v>0</v>
      </c>
      <c r="L79" s="603">
        <f t="array" aca="1" ref="L79" ca="1">SUM(G20:G27*Produção!$G$8:$G$15)</f>
        <v>0</v>
      </c>
      <c r="M79" s="603">
        <f t="array" aca="1" ref="M79" ca="1">SUM(H20:H27*Produção!$G$8:$G$15)</f>
        <v>0</v>
      </c>
      <c r="N79" s="603">
        <f t="array" aca="1" ref="N79" ca="1">SUM(I20:I27*Produção!$G$8:$G$15)</f>
        <v>0</v>
      </c>
      <c r="O79" s="603">
        <f t="array" aca="1" ref="O79" ca="1">SUM(J20:J27*Produção!$G$8:$G$15)</f>
        <v>0</v>
      </c>
      <c r="P79" s="603">
        <f t="array" aca="1" ref="P79" ca="1">SUM(K20:K27*Produção!$G$8:$G$15)</f>
        <v>0</v>
      </c>
      <c r="Q79" s="603">
        <f t="array" aca="1" ref="Q79" ca="1">SUM(L20:L27*Produção!$G$8:$G$15)</f>
        <v>0</v>
      </c>
      <c r="R79" s="603">
        <f t="array" aca="1" ref="R79" ca="1">SUM(M20:M27*Produção!$G$8:$G$15)</f>
        <v>0</v>
      </c>
      <c r="S79" s="1992"/>
      <c r="T79" s="1992"/>
      <c r="U79" s="1992"/>
      <c r="V79" s="1992"/>
      <c r="W79" s="1992"/>
      <c r="X79" s="1992"/>
      <c r="Y79" s="2010"/>
    </row>
    <row r="80" spans="1:26" ht="15.75" customHeight="1">
      <c r="A80" s="1995" t="s">
        <v>267</v>
      </c>
      <c r="B80" s="1991"/>
      <c r="C80" s="1991"/>
      <c r="D80" s="1991"/>
      <c r="E80" s="1991"/>
      <c r="F80" s="603">
        <f t="array" aca="1" ref="F80" ca="1">SUM(B20:B27*Produção!$F$8:$F$15)</f>
        <v>0</v>
      </c>
      <c r="G80" s="603">
        <f t="array" aca="1" ref="G80" ca="1">SUM(C20:C27*Produção!$F$8:$F$15)</f>
        <v>0</v>
      </c>
      <c r="H80" s="603">
        <f t="array" aca="1" ref="H80" ca="1">SUM(D20:D27*Produção!$F$8:$F$15)</f>
        <v>0</v>
      </c>
      <c r="I80" s="603">
        <f t="array" aca="1" ref="I80" ca="1">SUM(E20:E27*Produção!$F$8:$F$15)</f>
        <v>0</v>
      </c>
      <c r="J80" s="603">
        <f t="array" aca="1" ref="J80" ca="1">SUM(F20:F27*Produção!$F$8:$F$15)</f>
        <v>0</v>
      </c>
      <c r="K80" s="603">
        <f t="array" aca="1" ref="K80" ca="1">SUM(G20:G27*Produção!$F$8:$F$15)</f>
        <v>0</v>
      </c>
      <c r="L80" s="603">
        <f t="array" aca="1" ref="L80" ca="1">SUM(H20:H27*Produção!$F$8:$F$15)</f>
        <v>0</v>
      </c>
      <c r="M80" s="603">
        <f t="array" aca="1" ref="M80" ca="1">SUM(I20:I27*Produção!$F$8:$F$15)</f>
        <v>0</v>
      </c>
      <c r="N80" s="603">
        <f t="array" aca="1" ref="N80" ca="1">SUM(J20:J27*Produção!$F$8:$F$15)</f>
        <v>0</v>
      </c>
      <c r="O80" s="603">
        <f t="array" aca="1" ref="O80" ca="1">SUM(K20:K27*Produção!$F$8:$F$15)</f>
        <v>0</v>
      </c>
      <c r="P80" s="603">
        <f t="array" aca="1" ref="P80" ca="1">SUM(L20:L27*Produção!$F$8:$F$15)</f>
        <v>0</v>
      </c>
      <c r="Q80" s="603">
        <f t="array" aca="1" ref="Q80" ca="1">SUM(M20:M27*Produção!$F$8:$F$15)</f>
        <v>0</v>
      </c>
      <c r="R80" s="1992"/>
      <c r="S80" s="1992"/>
      <c r="T80" s="1992"/>
      <c r="U80" s="1992"/>
      <c r="V80" s="1992"/>
      <c r="W80" s="1992"/>
      <c r="X80" s="1992"/>
      <c r="Y80" s="2010"/>
    </row>
    <row r="81" spans="1:26" ht="15.75" customHeight="1">
      <c r="A81" s="1995" t="s">
        <v>268</v>
      </c>
      <c r="B81" s="1991"/>
      <c r="C81" s="1991"/>
      <c r="D81" s="1991"/>
      <c r="E81" s="603">
        <f t="array" aca="1" ref="E81" ca="1">SUM(B20:B27*Produção!$E$8:$E$15)</f>
        <v>0</v>
      </c>
      <c r="F81" s="603">
        <f t="array" aca="1" ref="F81" ca="1">SUM(C20:C27*Produção!$E$8:$E$15)</f>
        <v>0</v>
      </c>
      <c r="G81" s="603">
        <f t="array" aca="1" ref="G81" ca="1">SUM(D20:D27*Produção!$E$8:$E$15)</f>
        <v>0</v>
      </c>
      <c r="H81" s="603">
        <f t="array" aca="1" ref="H81" ca="1">SUM(E20:E27*Produção!$E$8:$E$15)</f>
        <v>0</v>
      </c>
      <c r="I81" s="603">
        <f t="array" aca="1" ref="I81" ca="1">SUM(F20:F27*Produção!$E$8:$E$15)</f>
        <v>0</v>
      </c>
      <c r="J81" s="603">
        <f t="array" aca="1" ref="J81" ca="1">SUM(G20:G27*Produção!$E$8:$E$15)</f>
        <v>0</v>
      </c>
      <c r="K81" s="603">
        <f t="array" aca="1" ref="K81" ca="1">SUM(H20:H27*Produção!$E$8:$E$15)</f>
        <v>0</v>
      </c>
      <c r="L81" s="603">
        <f t="array" aca="1" ref="L81" ca="1">SUM(I20:I27*Produção!$E$8:$E$15)</f>
        <v>0</v>
      </c>
      <c r="M81" s="603">
        <f t="array" aca="1" ref="M81" ca="1">SUM(J20:J27*Produção!$E$8:$E$15)</f>
        <v>0</v>
      </c>
      <c r="N81" s="603">
        <f t="array" aca="1" ref="N81" ca="1">SUM(K20:K27*Produção!$E$8:$E$15)</f>
        <v>0</v>
      </c>
      <c r="O81" s="603">
        <f t="array" aca="1" ref="O81" ca="1">SUM(L20:L27*Produção!$E$8:$E$15)</f>
        <v>0</v>
      </c>
      <c r="P81" s="603">
        <f t="array" aca="1" ref="P81" ca="1">SUM(M20:M27*Produção!$E$8:$E$15)</f>
        <v>0</v>
      </c>
      <c r="Q81" s="1992"/>
      <c r="R81" s="1992"/>
      <c r="S81" s="1992"/>
      <c r="T81" s="1992"/>
      <c r="U81" s="1992"/>
      <c r="V81" s="1992"/>
      <c r="W81" s="1992"/>
      <c r="X81" s="1992"/>
      <c r="Y81" s="2010"/>
    </row>
    <row r="82" spans="1:26" ht="15.75" customHeight="1">
      <c r="A82" s="1995" t="s">
        <v>269</v>
      </c>
      <c r="B82" s="1991"/>
      <c r="C82" s="1991"/>
      <c r="D82" s="602">
        <f t="array" aca="1" ref="D82" ca="1">SUM(B20:B27*Produção!$D$8:$D$15)</f>
        <v>0</v>
      </c>
      <c r="E82" s="602">
        <f t="array" aca="1" ref="E82" ca="1">SUM(C20:C27*Produção!$D$8:$D$15)</f>
        <v>0</v>
      </c>
      <c r="F82" s="602">
        <f t="array" aca="1" ref="F82" ca="1">SUM(D20:D27*Produção!$D$8:$D$15)</f>
        <v>0</v>
      </c>
      <c r="G82" s="602">
        <f t="array" aca="1" ref="G82" ca="1">SUM(E20:E27*Produção!$D$8:$D$15)</f>
        <v>0</v>
      </c>
      <c r="H82" s="602">
        <f t="array" aca="1" ref="H82" ca="1">SUM(F20:F27*Produção!$D$8:$D$15)</f>
        <v>0</v>
      </c>
      <c r="I82" s="602">
        <f t="array" aca="1" ref="I82" ca="1">SUM(G20:G27*Produção!$D$8:$D$15)</f>
        <v>0</v>
      </c>
      <c r="J82" s="602">
        <f t="array" aca="1" ref="J82" ca="1">SUM(H20:H27*Produção!$D$8:$D$15)</f>
        <v>0</v>
      </c>
      <c r="K82" s="602">
        <f t="array" aca="1" ref="K82" ca="1">SUM(I20:I27*Produção!$D$8:$D$15)</f>
        <v>0</v>
      </c>
      <c r="L82" s="602">
        <f t="array" aca="1" ref="L82" ca="1">SUM(J20:J27*Produção!$D$8:$D$15)</f>
        <v>0</v>
      </c>
      <c r="M82" s="602">
        <f t="array" aca="1" ref="M82" ca="1">SUM(K20:K27*Produção!$D$8:$D$15)</f>
        <v>0</v>
      </c>
      <c r="N82" s="602">
        <f t="array" aca="1" ref="N82" ca="1">SUM(L20:L27*Produção!$D$8:$D$15)</f>
        <v>0</v>
      </c>
      <c r="O82" s="602">
        <f t="array" aca="1" ref="O82" ca="1">SUM(M20:M27*Produção!$D$8:$D$15)</f>
        <v>0</v>
      </c>
      <c r="P82" s="1992"/>
      <c r="Q82" s="1992"/>
      <c r="R82" s="1992"/>
      <c r="S82" s="1992"/>
      <c r="T82" s="1992"/>
      <c r="U82" s="1992"/>
      <c r="V82" s="1992"/>
      <c r="W82" s="1992"/>
      <c r="X82" s="1992"/>
      <c r="Y82" s="2010"/>
    </row>
    <row r="83" spans="1:26" ht="15.75" customHeight="1">
      <c r="A83" s="1995" t="s">
        <v>270</v>
      </c>
      <c r="B83" s="1991"/>
      <c r="C83" s="603">
        <f t="array" aca="1" ref="C83" ca="1">SUM(B20:B27*Produção!$C$8:$C$15)</f>
        <v>0</v>
      </c>
      <c r="D83" s="603">
        <f t="array" aca="1" ref="D83" ca="1">SUM(C20:C27*Produção!$C$8:$C$15)</f>
        <v>0</v>
      </c>
      <c r="E83" s="603">
        <f t="array" aca="1" ref="E83" ca="1">SUM(D20:D27*Produção!$C$8:$C$15)</f>
        <v>0</v>
      </c>
      <c r="F83" s="603">
        <f t="array" aca="1" ref="F83" ca="1">SUM(E20:E27*Produção!$C$8:$C$15)</f>
        <v>0</v>
      </c>
      <c r="G83" s="603">
        <f t="array" aca="1" ref="G83" ca="1">SUM(F20:F27*Produção!$C$8:$C$15)</f>
        <v>0</v>
      </c>
      <c r="H83" s="603">
        <f t="array" aca="1" ref="H83" ca="1">SUM(G20:G27*Produção!$C$8:$C$15)</f>
        <v>0</v>
      </c>
      <c r="I83" s="603">
        <f t="array" aca="1" ref="I83" ca="1">SUM(H20:H27*Produção!$C$8:$C$15)</f>
        <v>0</v>
      </c>
      <c r="J83" s="603">
        <f t="array" aca="1" ref="J83" ca="1">SUM(I20:I27*Produção!$C$8:$C$15)</f>
        <v>0</v>
      </c>
      <c r="K83" s="603">
        <f t="array" aca="1" ref="K83" ca="1">SUM(J20:J27*Produção!$C$8:$C$15)</f>
        <v>0</v>
      </c>
      <c r="L83" s="603">
        <f t="array" aca="1" ref="L83" ca="1">SUM(K20:K27*Produção!$C$8:$C$15)</f>
        <v>0</v>
      </c>
      <c r="M83" s="603">
        <f t="array" aca="1" ref="M83" ca="1">SUM(L20:L27*Produção!$C$8:$C$15)</f>
        <v>0</v>
      </c>
      <c r="N83" s="603">
        <f t="array" aca="1" ref="N83" ca="1">SUM(M20:M27*Produção!$C$8:$C$15)</f>
        <v>0</v>
      </c>
      <c r="O83" s="1992"/>
      <c r="P83" s="1992"/>
      <c r="Q83" s="1992"/>
      <c r="R83" s="1992"/>
      <c r="S83" s="1992"/>
      <c r="T83" s="1992"/>
      <c r="U83" s="1992"/>
      <c r="V83" s="1992"/>
      <c r="W83" s="1992"/>
      <c r="X83" s="1992"/>
      <c r="Y83" s="2010"/>
    </row>
    <row r="84" spans="1:26" ht="15.75" customHeight="1" thickBot="1">
      <c r="A84" s="1995" t="s">
        <v>271</v>
      </c>
      <c r="B84" s="603">
        <f t="array" aca="1" ref="B84" ca="1">SUM(B20:B27*Produção!$B$8:$B$15)</f>
        <v>0</v>
      </c>
      <c r="C84" s="603">
        <f t="array" aca="1" ref="C84" ca="1">SUM(C20:C27*Produção!$B$8:$B$15)</f>
        <v>0</v>
      </c>
      <c r="D84" s="603">
        <f t="array" aca="1" ref="D84" ca="1">SUM(D20:D27*Produção!$B$8:$B$15)</f>
        <v>0</v>
      </c>
      <c r="E84" s="603">
        <f t="array" aca="1" ref="E84" ca="1">SUM(E20:E27*Produção!$B$8:$B$15)</f>
        <v>0</v>
      </c>
      <c r="F84" s="603">
        <f t="array" aca="1" ref="F84" ca="1">SUM(F20:F27*Produção!$B$8:$B$15)</f>
        <v>0</v>
      </c>
      <c r="G84" s="603">
        <f t="array" aca="1" ref="G84" ca="1">SUM(G20:G27*Produção!$B$8:$B$15)</f>
        <v>0</v>
      </c>
      <c r="H84" s="603">
        <f t="array" aca="1" ref="H84" ca="1">SUM(H20:H27*Produção!$B$8:$B$15)</f>
        <v>0</v>
      </c>
      <c r="I84" s="603">
        <f t="array" aca="1" ref="I84" ca="1">SUM(I20:I27*Produção!$B$8:$B$15)</f>
        <v>0</v>
      </c>
      <c r="J84" s="603">
        <f t="array" aca="1" ref="J84" ca="1">SUM(J20:J27*Produção!$B$8:$B$15)</f>
        <v>0</v>
      </c>
      <c r="K84" s="603">
        <f t="array" aca="1" ref="K84" ca="1">SUM(K20:K27*Produção!$B$8:$B$15)</f>
        <v>0</v>
      </c>
      <c r="L84" s="603">
        <f t="array" aca="1" ref="L84" ca="1">SUM(L20:L27*Produção!$B$8:$B$15)</f>
        <v>0</v>
      </c>
      <c r="M84" s="603">
        <f t="array" aca="1" ref="M84" ca="1">SUM(M20:M27*Produção!$B$8:$B$15)</f>
        <v>0</v>
      </c>
      <c r="N84" s="1992"/>
      <c r="O84" s="1992"/>
      <c r="P84" s="1992"/>
      <c r="Q84" s="1992"/>
      <c r="R84" s="1992"/>
      <c r="S84" s="1992"/>
      <c r="T84" s="1992"/>
      <c r="U84" s="1992"/>
      <c r="V84" s="1992"/>
      <c r="W84" s="1992"/>
      <c r="X84" s="1992"/>
      <c r="Y84" s="2010"/>
    </row>
    <row r="85" spans="1:26" ht="15.75" customHeight="1" thickBot="1">
      <c r="A85" s="105" t="str">
        <f>A$28</f>
        <v>Totais</v>
      </c>
      <c r="B85" s="607">
        <f t="shared" ref="B85:Y85" ca="1" si="9">SUM(B72:B84)</f>
        <v>0</v>
      </c>
      <c r="C85" s="607">
        <f t="shared" ca="1" si="9"/>
        <v>0</v>
      </c>
      <c r="D85" s="607">
        <f t="shared" ca="1" si="9"/>
        <v>0</v>
      </c>
      <c r="E85" s="607">
        <f t="shared" ca="1" si="9"/>
        <v>0</v>
      </c>
      <c r="F85" s="607">
        <f t="shared" ca="1" si="9"/>
        <v>0</v>
      </c>
      <c r="G85" s="607">
        <f t="shared" ca="1" si="9"/>
        <v>0</v>
      </c>
      <c r="H85" s="607">
        <f t="shared" ca="1" si="9"/>
        <v>0</v>
      </c>
      <c r="I85" s="607">
        <f t="shared" ca="1" si="9"/>
        <v>0</v>
      </c>
      <c r="J85" s="607">
        <f t="shared" ca="1" si="9"/>
        <v>0</v>
      </c>
      <c r="K85" s="607">
        <f t="shared" ca="1" si="9"/>
        <v>0</v>
      </c>
      <c r="L85" s="607">
        <f t="shared" ca="1" si="9"/>
        <v>0</v>
      </c>
      <c r="M85" s="607">
        <f t="shared" ca="1" si="9"/>
        <v>0</v>
      </c>
      <c r="N85" s="607">
        <f t="shared" ca="1" si="9"/>
        <v>182.4674882772</v>
      </c>
      <c r="O85" s="607">
        <f t="shared" ca="1" si="9"/>
        <v>182.4674882772</v>
      </c>
      <c r="P85" s="607">
        <f t="shared" ca="1" si="9"/>
        <v>182.4674882772</v>
      </c>
      <c r="Q85" s="607">
        <f t="shared" ca="1" si="9"/>
        <v>182.4674882772</v>
      </c>
      <c r="R85" s="607">
        <f t="shared" ca="1" si="9"/>
        <v>182.4674882772</v>
      </c>
      <c r="S85" s="607">
        <f t="shared" ca="1" si="9"/>
        <v>182.4674882772</v>
      </c>
      <c r="T85" s="607">
        <f t="shared" ca="1" si="9"/>
        <v>182.4674882772</v>
      </c>
      <c r="U85" s="607">
        <f t="shared" ca="1" si="9"/>
        <v>182.4674882772</v>
      </c>
      <c r="V85" s="607">
        <f t="shared" ca="1" si="9"/>
        <v>182.4674882772</v>
      </c>
      <c r="W85" s="607">
        <f t="shared" ca="1" si="9"/>
        <v>182.4674882772</v>
      </c>
      <c r="X85" s="607">
        <f t="shared" ca="1" si="9"/>
        <v>182.4674882772</v>
      </c>
      <c r="Y85" s="2008">
        <f t="shared" ca="1" si="9"/>
        <v>182.4674882772</v>
      </c>
    </row>
    <row r="86" spans="1:26">
      <c r="B86" s="62"/>
    </row>
    <row r="87" spans="1:26">
      <c r="B87" s="62">
        <f ca="1">SUM(B85:M85)</f>
        <v>0</v>
      </c>
    </row>
    <row r="88" spans="1:26">
      <c r="B88" s="62"/>
    </row>
    <row r="89" spans="1:26" ht="18.75" thickBot="1">
      <c r="A89" s="1993" t="str">
        <f>'Distr CV 0'!A89</f>
        <v>IVA dos custos de produção por meses de compra</v>
      </c>
      <c r="I89" s="1993"/>
    </row>
    <row r="90" spans="1:26" s="456" customFormat="1" ht="35.25" customHeight="1" thickBot="1">
      <c r="A90" s="457" t="str">
        <f>'Distr CV 0'!A90</f>
        <v>IVA Custos produção</v>
      </c>
      <c r="B90" s="2011" t="str">
        <f t="array" ref="B90:Y90">B$71:Y$71</f>
        <v>janeiro 
2030</v>
      </c>
      <c r="C90" s="2011" t="str">
        <v>fevereiro 
2030</v>
      </c>
      <c r="D90" s="2011" t="str">
        <v>março 
2030</v>
      </c>
      <c r="E90" s="2011" t="str">
        <v>abril 
2030</v>
      </c>
      <c r="F90" s="2011" t="str">
        <v>maio 
2030</v>
      </c>
      <c r="G90" s="2011" t="str">
        <v>junho 
2030</v>
      </c>
      <c r="H90" s="2011" t="str">
        <v>julho 
2030</v>
      </c>
      <c r="I90" s="2011" t="str">
        <v>agosto 
2030</v>
      </c>
      <c r="J90" s="2011" t="str">
        <v>setembro 
2030</v>
      </c>
      <c r="K90" s="2011" t="str">
        <v>outubro 
2030</v>
      </c>
      <c r="L90" s="2011" t="str">
        <v>novembro 
2030</v>
      </c>
      <c r="M90" s="2011" t="str">
        <v>dezembro 
2030</v>
      </c>
      <c r="N90" s="2737" t="str">
        <v>janeiro 
2031</v>
      </c>
      <c r="O90" s="2738" t="str">
        <v>fevereiro 
2031</v>
      </c>
      <c r="P90" s="2738" t="str">
        <v>março 
2031</v>
      </c>
      <c r="Q90" s="2738" t="str">
        <v>abril 
2031</v>
      </c>
      <c r="R90" s="2738" t="str">
        <v>maio 
2031</v>
      </c>
      <c r="S90" s="2738" t="str">
        <v>junho 
2031</v>
      </c>
      <c r="T90" s="2738" t="str">
        <v>julho 
2031</v>
      </c>
      <c r="U90" s="2738" t="str">
        <v>agosto 
2031</v>
      </c>
      <c r="V90" s="2738" t="str">
        <v>setembro 
2031</v>
      </c>
      <c r="W90" s="2738" t="str">
        <v>outubro 
2031</v>
      </c>
      <c r="X90" s="2738" t="str">
        <v>novembro 
2031</v>
      </c>
      <c r="Y90" s="2739" t="str">
        <v>dezembro 
2031</v>
      </c>
      <c r="Z90" s="62"/>
    </row>
    <row r="91" spans="1:26" ht="15.75" customHeight="1">
      <c r="A91" s="1994" t="str">
        <f t="shared" ref="A91:A103" si="10">A72</f>
        <v>mismo mes</v>
      </c>
      <c r="B91" s="1991"/>
      <c r="C91" s="1991"/>
      <c r="D91" s="1991"/>
      <c r="E91" s="1991"/>
      <c r="F91" s="1991"/>
      <c r="G91" s="1991"/>
      <c r="H91" s="1989">
        <v>0</v>
      </c>
      <c r="I91" s="1990">
        <v>0</v>
      </c>
      <c r="J91" s="1990">
        <v>0</v>
      </c>
      <c r="K91" s="1990">
        <v>0</v>
      </c>
      <c r="L91" s="1990">
        <v>0</v>
      </c>
      <c r="M91" s="1990">
        <v>0</v>
      </c>
      <c r="N91" s="599">
        <f t="array" aca="1" ref="N91" ca="1">SUM(B32:B39*Produção!$N$8:$N$15)</f>
        <v>38.318172538211996</v>
      </c>
      <c r="O91" s="599">
        <f t="array" aca="1" ref="O91" ca="1">SUM(C32:C39*Produção!$N$8:$N$15)</f>
        <v>38.318172538211996</v>
      </c>
      <c r="P91" s="599">
        <f t="array" aca="1" ref="P91" ca="1">SUM(D32:D39*Produção!$N$8:$N$15)</f>
        <v>38.318172538211996</v>
      </c>
      <c r="Q91" s="599">
        <f t="array" aca="1" ref="Q91" ca="1">SUM(E32:E39*Produção!$N$8:$N$15)</f>
        <v>38.318172538211996</v>
      </c>
      <c r="R91" s="599">
        <f t="array" aca="1" ref="R91" ca="1">SUM(F32:F39*Produção!$N$8:$N$15)</f>
        <v>38.318172538211996</v>
      </c>
      <c r="S91" s="599">
        <f t="array" aca="1" ref="S91" ca="1">SUM(G32:G39*Produção!$N$8:$N$15)</f>
        <v>38.318172538211996</v>
      </c>
      <c r="T91" s="599">
        <f t="array" aca="1" ref="T91" ca="1">SUM(H32:H39*Produção!$N$8:$N$15)</f>
        <v>38.318172538211996</v>
      </c>
      <c r="U91" s="599">
        <f t="array" aca="1" ref="U91" ca="1">SUM(I32:I39*Produção!$N$8:$N$15)</f>
        <v>38.318172538211996</v>
      </c>
      <c r="V91" s="599">
        <f t="array" aca="1" ref="V91" ca="1">SUM(J32:J39*Produção!$N$8:$N$15)</f>
        <v>38.318172538211996</v>
      </c>
      <c r="W91" s="599">
        <f t="array" aca="1" ref="W91" ca="1">SUM(K32:K39*Produção!$N$8:$N$15)</f>
        <v>38.318172538211996</v>
      </c>
      <c r="X91" s="599">
        <f t="array" aca="1" ref="X91" ca="1">SUM(L32:L39*Produção!$N$8:$N$15)</f>
        <v>38.318172538211996</v>
      </c>
      <c r="Y91" s="2009">
        <f t="array" aca="1" ref="Y91" ca="1">SUM(M32:M39*Produção!$N$8:$N$15)</f>
        <v>38.318172538211996</v>
      </c>
    </row>
    <row r="92" spans="1:26" ht="15.75" customHeight="1">
      <c r="A92" s="1995" t="str">
        <f t="shared" si="10"/>
        <v>1 mes antes</v>
      </c>
      <c r="B92" s="1991"/>
      <c r="C92" s="1991"/>
      <c r="D92" s="1991"/>
      <c r="E92" s="1991"/>
      <c r="F92" s="1991"/>
      <c r="G92" s="1991"/>
      <c r="H92" s="1991"/>
      <c r="I92" s="1988"/>
      <c r="J92" s="1988"/>
      <c r="K92" s="1988"/>
      <c r="L92" s="1988"/>
      <c r="M92" s="601">
        <f t="array" aca="1" ref="M92" ca="1">SUM(B32:B39*Produção!$M$8:$M$15)</f>
        <v>0</v>
      </c>
      <c r="N92" s="601">
        <f t="array" aca="1" ref="N92" ca="1">SUM(C32:C39*Produção!$M$8:$M$15)</f>
        <v>0</v>
      </c>
      <c r="O92" s="601">
        <f t="array" aca="1" ref="O92" ca="1">SUM(D32:D39*Produção!$M$8:$M$15)</f>
        <v>0</v>
      </c>
      <c r="P92" s="601">
        <f t="array" aca="1" ref="P92" ca="1">SUM(E32:E39*Produção!$M$8:$M$15)</f>
        <v>0</v>
      </c>
      <c r="Q92" s="601">
        <f t="array" aca="1" ref="Q92" ca="1">SUM(F32:F39*Produção!$M$8:$M$15)</f>
        <v>0</v>
      </c>
      <c r="R92" s="601">
        <f t="array" aca="1" ref="R92" ca="1">SUM(G32:G39*Produção!$M$8:$M$15)</f>
        <v>0</v>
      </c>
      <c r="S92" s="601">
        <f t="array" aca="1" ref="S92" ca="1">SUM(H32:H39*Produção!$M$8:$M$15)</f>
        <v>0</v>
      </c>
      <c r="T92" s="601">
        <f t="array" aca="1" ref="T92" ca="1">SUM(I32:I39*Produção!$M$8:$M$15)</f>
        <v>0</v>
      </c>
      <c r="U92" s="601">
        <f t="array" aca="1" ref="U92" ca="1">SUM(J32:J39*Produção!$M$8:$M$15)</f>
        <v>0</v>
      </c>
      <c r="V92" s="601">
        <f t="array" aca="1" ref="V92" ca="1">SUM(K32:K39*Produção!$M$8:$M$15)</f>
        <v>0</v>
      </c>
      <c r="W92" s="601">
        <f t="array" aca="1" ref="W92" ca="1">SUM(L32:L39*Produção!$M$8:$M$15)</f>
        <v>0</v>
      </c>
      <c r="X92" s="601">
        <f t="array" aca="1" ref="X92" ca="1">SUM(M32:M39*Produção!$M$8:$M$15)</f>
        <v>0</v>
      </c>
      <c r="Y92" s="2007"/>
    </row>
    <row r="93" spans="1:26" ht="15.75" customHeight="1">
      <c r="A93" s="1995" t="str">
        <f t="shared" si="10"/>
        <v>2 meses antes</v>
      </c>
      <c r="B93" s="1991"/>
      <c r="C93" s="1991"/>
      <c r="D93" s="1991"/>
      <c r="E93" s="1991"/>
      <c r="F93" s="1991"/>
      <c r="G93" s="1991"/>
      <c r="H93" s="1991"/>
      <c r="I93" s="1988"/>
      <c r="J93" s="1988"/>
      <c r="K93" s="1988"/>
      <c r="L93" s="601">
        <f t="array" aca="1" ref="L93" ca="1">SUM(B32:B39*Produção!$L$8:$L$15)</f>
        <v>0</v>
      </c>
      <c r="M93" s="601">
        <f t="array" aca="1" ref="M93" ca="1">SUM(C32:C39*Produção!$L$8:$L$15)</f>
        <v>0</v>
      </c>
      <c r="N93" s="601">
        <f t="array" aca="1" ref="N93" ca="1">SUM(D32:D39*Produção!$L$8:$L$15)</f>
        <v>0</v>
      </c>
      <c r="O93" s="601">
        <f t="array" aca="1" ref="O93" ca="1">SUM(E32:E39*Produção!$L$8:$L$15)</f>
        <v>0</v>
      </c>
      <c r="P93" s="601">
        <f t="array" aca="1" ref="P93" ca="1">SUM(F32:F39*Produção!$L$8:$L$15)</f>
        <v>0</v>
      </c>
      <c r="Q93" s="601">
        <f t="array" aca="1" ref="Q93" ca="1">SUM(G32:G39*Produção!$L$8:$L$15)</f>
        <v>0</v>
      </c>
      <c r="R93" s="601">
        <f t="array" aca="1" ref="R93" ca="1">SUM(H32:H39*Produção!$L$8:$L$15)</f>
        <v>0</v>
      </c>
      <c r="S93" s="601">
        <f t="array" aca="1" ref="S93" ca="1">SUM(I32:I39*Produção!$L$8:$L$15)</f>
        <v>0</v>
      </c>
      <c r="T93" s="601">
        <f t="array" aca="1" ref="T93" ca="1">SUM(J32:J39*Produção!$L$8:$L$15)</f>
        <v>0</v>
      </c>
      <c r="U93" s="601">
        <f t="array" aca="1" ref="U93" ca="1">SUM(K32:K39*Produção!$L$8:$L$15)</f>
        <v>0</v>
      </c>
      <c r="V93" s="601">
        <f t="array" aca="1" ref="V93" ca="1">SUM(L32:L39*Produção!$L$8:$L$15)</f>
        <v>0</v>
      </c>
      <c r="W93" s="601">
        <f t="array" aca="1" ref="W93" ca="1">SUM(M32:M39*Produção!$L$8:$L$15)</f>
        <v>0</v>
      </c>
      <c r="X93" s="1988"/>
      <c r="Y93" s="2007"/>
    </row>
    <row r="94" spans="1:26" ht="15.75" customHeight="1">
      <c r="A94" s="1995" t="str">
        <f t="shared" si="10"/>
        <v>3 meses antes</v>
      </c>
      <c r="B94" s="1991"/>
      <c r="C94" s="1991"/>
      <c r="D94" s="1991"/>
      <c r="E94" s="1991"/>
      <c r="F94" s="1991"/>
      <c r="G94" s="1991"/>
      <c r="H94" s="1991"/>
      <c r="I94" s="1988"/>
      <c r="J94" s="1988"/>
      <c r="K94" s="601">
        <f t="array" aca="1" ref="K94" ca="1">SUM(B32:B39*Produção!$K$8:$K$15)</f>
        <v>0</v>
      </c>
      <c r="L94" s="601">
        <f t="array" aca="1" ref="L94" ca="1">SUM(C32:C39*Produção!$K$8:$K$15)</f>
        <v>0</v>
      </c>
      <c r="M94" s="601">
        <f t="array" aca="1" ref="M94" ca="1">SUM(D32:D39*Produção!$K$8:$K$15)</f>
        <v>0</v>
      </c>
      <c r="N94" s="601">
        <f t="array" aca="1" ref="N94" ca="1">SUM(E32:E39*Produção!$K$8:$K$15)</f>
        <v>0</v>
      </c>
      <c r="O94" s="601">
        <f t="array" aca="1" ref="O94" ca="1">SUM(F32:F39*Produção!$K$8:$K$15)</f>
        <v>0</v>
      </c>
      <c r="P94" s="601">
        <f t="array" aca="1" ref="P94" ca="1">SUM(G32:G39*Produção!$K$8:$K$15)</f>
        <v>0</v>
      </c>
      <c r="Q94" s="601">
        <f t="array" aca="1" ref="Q94" ca="1">SUM(H32:H39*Produção!$K$8:$K$15)</f>
        <v>0</v>
      </c>
      <c r="R94" s="601">
        <f t="array" aca="1" ref="R94" ca="1">SUM(I32:I39*Produção!$K$8:$K$15)</f>
        <v>0</v>
      </c>
      <c r="S94" s="601">
        <f t="array" aca="1" ref="S94" ca="1">SUM(J32:J39*Produção!$K$8:$K$15)</f>
        <v>0</v>
      </c>
      <c r="T94" s="601">
        <f t="array" aca="1" ref="T94" ca="1">SUM(K32:K39*Produção!$K$8:$K$15)</f>
        <v>0</v>
      </c>
      <c r="U94" s="601">
        <f t="array" aca="1" ref="U94" ca="1">SUM(L32:L39*Produção!$K$8:$K$15)</f>
        <v>0</v>
      </c>
      <c r="V94" s="601">
        <f t="array" aca="1" ref="V94" ca="1">SUM(M32:M39*Produção!$K$8:$K$15)</f>
        <v>0</v>
      </c>
      <c r="W94" s="1988"/>
      <c r="X94" s="1988"/>
      <c r="Y94" s="2007"/>
    </row>
    <row r="95" spans="1:26" ht="15.75" customHeight="1">
      <c r="A95" s="1995" t="str">
        <f t="shared" si="10"/>
        <v>4 meses antes</v>
      </c>
      <c r="B95" s="1991"/>
      <c r="C95" s="1991"/>
      <c r="D95" s="1991"/>
      <c r="E95" s="1991"/>
      <c r="F95" s="1991"/>
      <c r="G95" s="1991"/>
      <c r="H95" s="1991"/>
      <c r="I95" s="1988"/>
      <c r="J95" s="601">
        <f t="array" aca="1" ref="J95" ca="1">SUM(B32:B39*Produção!$J$8:$J$15)</f>
        <v>0</v>
      </c>
      <c r="K95" s="601">
        <f t="array" aca="1" ref="K95" ca="1">SUM(C32:C39*Produção!$J$8:$J$15)</f>
        <v>0</v>
      </c>
      <c r="L95" s="601">
        <f t="array" aca="1" ref="L95" ca="1">SUM(D32:D39*Produção!$J$8:$J$15)</f>
        <v>0</v>
      </c>
      <c r="M95" s="601">
        <f t="array" aca="1" ref="M95" ca="1">SUM(E32:E39*Produção!$J$8:$J$15)</f>
        <v>0</v>
      </c>
      <c r="N95" s="601">
        <f t="array" aca="1" ref="N95" ca="1">SUM(F32:F39*Produção!$J$8:$J$15)</f>
        <v>0</v>
      </c>
      <c r="O95" s="601">
        <f t="array" aca="1" ref="O95" ca="1">SUM(G32:G39*Produção!$J$8:$J$15)</f>
        <v>0</v>
      </c>
      <c r="P95" s="601">
        <f t="array" aca="1" ref="P95" ca="1">SUM(H32:H39*Produção!$J$8:$J$15)</f>
        <v>0</v>
      </c>
      <c r="Q95" s="601">
        <f t="array" aca="1" ref="Q95" ca="1">SUM(I32:I39*Produção!$J$8:$J$15)</f>
        <v>0</v>
      </c>
      <c r="R95" s="601">
        <f t="array" aca="1" ref="R95" ca="1">SUM(J32:J39*Produção!$J$8:$J$15)</f>
        <v>0</v>
      </c>
      <c r="S95" s="601">
        <f t="array" aca="1" ref="S95" ca="1">SUM(K32:K39*Produção!$J$8:$J$15)</f>
        <v>0</v>
      </c>
      <c r="T95" s="601">
        <f t="array" aca="1" ref="T95" ca="1">SUM(L32:L39*Produção!$J$8:$J$15)</f>
        <v>0</v>
      </c>
      <c r="U95" s="601">
        <f t="array" aca="1" ref="U95" ca="1">SUM(M32:M39*Produção!$J$8:$J$15)</f>
        <v>0</v>
      </c>
      <c r="V95" s="1988"/>
      <c r="W95" s="1988"/>
      <c r="X95" s="1988"/>
      <c r="Y95" s="2007"/>
    </row>
    <row r="96" spans="1:26" ht="15.75" customHeight="1">
      <c r="A96" s="1995" t="str">
        <f t="shared" si="10"/>
        <v>5 meses antes</v>
      </c>
      <c r="B96" s="1991"/>
      <c r="C96" s="1991"/>
      <c r="D96" s="1991"/>
      <c r="E96" s="1991"/>
      <c r="F96" s="1991"/>
      <c r="G96" s="1991"/>
      <c r="H96" s="1991"/>
      <c r="I96" s="601">
        <f t="array" aca="1" ref="I96" ca="1">SUM(B32:B39*Produção!$I$8:$I$15)</f>
        <v>0</v>
      </c>
      <c r="J96" s="601">
        <f t="array" aca="1" ref="J96" ca="1">SUM(C32:C39*Produção!$I$8:$I$15)</f>
        <v>0</v>
      </c>
      <c r="K96" s="601">
        <f t="array" aca="1" ref="K96" ca="1">SUM(D32:D39*Produção!$I$8:$I$15)</f>
        <v>0</v>
      </c>
      <c r="L96" s="601">
        <f t="array" aca="1" ref="L96" ca="1">SUM(E32:E39*Produção!$I$8:$I$15)</f>
        <v>0</v>
      </c>
      <c r="M96" s="601">
        <f t="array" aca="1" ref="M96" ca="1">SUM(F32:F39*Produção!$I$8:$I$15)</f>
        <v>0</v>
      </c>
      <c r="N96" s="601">
        <f t="array" aca="1" ref="N96" ca="1">SUM(G32:G39*Produção!$I$8:$I$15)</f>
        <v>0</v>
      </c>
      <c r="O96" s="601">
        <f t="array" aca="1" ref="O96" ca="1">SUM(H32:H39*Produção!$I$8:$I$15)</f>
        <v>0</v>
      </c>
      <c r="P96" s="601">
        <f t="array" aca="1" ref="P96" ca="1">SUM(I32:I39*Produção!$I$8:$I$15)</f>
        <v>0</v>
      </c>
      <c r="Q96" s="601">
        <f t="array" aca="1" ref="Q96" ca="1">SUM(J32:J39*Produção!$I$8:$I$15)</f>
        <v>0</v>
      </c>
      <c r="R96" s="601">
        <f t="array" aca="1" ref="R96" ca="1">SUM(K32:K39*Produção!$I$8:$I$15)</f>
        <v>0</v>
      </c>
      <c r="S96" s="601">
        <f t="array" aca="1" ref="S96" ca="1">SUM(L32:L39*Produção!$I$8:$I$15)</f>
        <v>0</v>
      </c>
      <c r="T96" s="601">
        <f t="array" aca="1" ref="T96" ca="1">SUM(M32:M39*Produção!$I$8:$I$15)</f>
        <v>0</v>
      </c>
      <c r="U96" s="1988"/>
      <c r="V96" s="1988"/>
      <c r="W96" s="1988"/>
      <c r="X96" s="1988"/>
      <c r="Y96" s="2007"/>
    </row>
    <row r="97" spans="1:26" ht="15.75" customHeight="1">
      <c r="A97" s="1995" t="str">
        <f t="shared" si="10"/>
        <v>6 meses antes</v>
      </c>
      <c r="B97" s="1991"/>
      <c r="C97" s="1991"/>
      <c r="D97" s="1991"/>
      <c r="E97" s="1991"/>
      <c r="F97" s="1991"/>
      <c r="G97" s="1991"/>
      <c r="H97" s="601">
        <f t="array" aca="1" ref="H97" ca="1">SUM(B32:B39*Produção!$H$8:$H$15)</f>
        <v>0</v>
      </c>
      <c r="I97" s="601">
        <f t="array" aca="1" ref="I97" ca="1">SUM(C32:C39*Produção!$H$8:$H$15)</f>
        <v>0</v>
      </c>
      <c r="J97" s="601">
        <f t="array" aca="1" ref="J97" ca="1">SUM(D32:D39*Produção!$H$8:$H$15)</f>
        <v>0</v>
      </c>
      <c r="K97" s="601">
        <f t="array" aca="1" ref="K97" ca="1">SUM(E32:E39*Produção!$H$8:$H$15)</f>
        <v>0</v>
      </c>
      <c r="L97" s="601">
        <f t="array" aca="1" ref="L97" ca="1">SUM(F32:F39*Produção!$H$8:$H$15)</f>
        <v>0</v>
      </c>
      <c r="M97" s="601">
        <f t="array" aca="1" ref="M97" ca="1">SUM(G32:G39*Produção!$H$8:$H$15)</f>
        <v>0</v>
      </c>
      <c r="N97" s="601">
        <f t="array" aca="1" ref="N97" ca="1">SUM(H32:H39*Produção!$H$8:$H$15)</f>
        <v>0</v>
      </c>
      <c r="O97" s="601">
        <f t="array" aca="1" ref="O97" ca="1">SUM(I32:I39*Produção!$H$8:$H$15)</f>
        <v>0</v>
      </c>
      <c r="P97" s="601">
        <f t="array" aca="1" ref="P97" ca="1">SUM(J32:J39*Produção!$H$8:$H$15)</f>
        <v>0</v>
      </c>
      <c r="Q97" s="601">
        <f t="array" aca="1" ref="Q97" ca="1">SUM(K32:K39*Produção!$H$8:$H$15)</f>
        <v>0</v>
      </c>
      <c r="R97" s="601">
        <f t="array" aca="1" ref="R97" ca="1">SUM(L32:L39*Produção!$H$8:$H$15)</f>
        <v>0</v>
      </c>
      <c r="S97" s="601">
        <f t="array" aca="1" ref="S97" ca="1">SUM(M32:M39*Produção!$H$8:$H$15)</f>
        <v>0</v>
      </c>
      <c r="T97" s="1988"/>
      <c r="U97" s="1988"/>
      <c r="V97" s="1988"/>
      <c r="W97" s="1988"/>
      <c r="X97" s="1988"/>
      <c r="Y97" s="2007"/>
    </row>
    <row r="98" spans="1:26" ht="15.75" customHeight="1">
      <c r="A98" s="1995" t="str">
        <f t="shared" si="10"/>
        <v>7 meses antes</v>
      </c>
      <c r="B98" s="1991"/>
      <c r="C98" s="1991"/>
      <c r="D98" s="1991"/>
      <c r="E98" s="1991"/>
      <c r="F98" s="1991"/>
      <c r="G98" s="603">
        <f t="array" aca="1" ref="G98" ca="1">SUM(B32:B39*Produção!$G$8:$G$15)</f>
        <v>0</v>
      </c>
      <c r="H98" s="603">
        <f t="array" aca="1" ref="H98" ca="1">SUM(C32:C39*Produção!$G$8:$G$15)</f>
        <v>0</v>
      </c>
      <c r="I98" s="603">
        <f t="array" aca="1" ref="I98" ca="1">SUM(D32:D39*Produção!$G$8:$G$15)</f>
        <v>0</v>
      </c>
      <c r="J98" s="603">
        <f t="array" aca="1" ref="J98" ca="1">SUM(E32:E39*Produção!$G$8:$G$15)</f>
        <v>0</v>
      </c>
      <c r="K98" s="603">
        <f t="array" aca="1" ref="K98" ca="1">SUM(F32:F39*Produção!$G$8:$G$15)</f>
        <v>0</v>
      </c>
      <c r="L98" s="603">
        <f t="array" aca="1" ref="L98" ca="1">SUM(G32:G39*Produção!$G$8:$G$15)</f>
        <v>0</v>
      </c>
      <c r="M98" s="603">
        <f t="array" aca="1" ref="M98" ca="1">SUM(H32:H39*Produção!$G$8:$G$15)</f>
        <v>0</v>
      </c>
      <c r="N98" s="603">
        <f t="array" aca="1" ref="N98" ca="1">SUM(I32:I39*Produção!$G$8:$G$15)</f>
        <v>0</v>
      </c>
      <c r="O98" s="603">
        <f t="array" aca="1" ref="O98" ca="1">SUM(J32:J39*Produção!$G$8:$G$15)</f>
        <v>0</v>
      </c>
      <c r="P98" s="603">
        <f t="array" aca="1" ref="P98" ca="1">SUM(K32:K39*Produção!$G$8:$G$15)</f>
        <v>0</v>
      </c>
      <c r="Q98" s="603">
        <f t="array" aca="1" ref="Q98" ca="1">SUM(L32:L39*Produção!$G$8:$G$15)</f>
        <v>0</v>
      </c>
      <c r="R98" s="603">
        <f t="array" aca="1" ref="R98" ca="1">SUM(M32:M39*Produção!$G$8:$G$15)</f>
        <v>0</v>
      </c>
      <c r="S98" s="1992"/>
      <c r="T98" s="1992"/>
      <c r="U98" s="1992"/>
      <c r="V98" s="1992"/>
      <c r="W98" s="1992"/>
      <c r="X98" s="1992"/>
      <c r="Y98" s="2010"/>
    </row>
    <row r="99" spans="1:26" ht="15.75" customHeight="1">
      <c r="A99" s="1995" t="str">
        <f t="shared" si="10"/>
        <v>8 meses antes</v>
      </c>
      <c r="B99" s="1991"/>
      <c r="C99" s="1991"/>
      <c r="D99" s="1991"/>
      <c r="E99" s="1991"/>
      <c r="F99" s="603">
        <f t="array" aca="1" ref="F99" ca="1">SUM(B32:B39*Produção!$F$8:$F$15)</f>
        <v>0</v>
      </c>
      <c r="G99" s="603">
        <f t="array" aca="1" ref="G99" ca="1">SUM(C32:C39*Produção!$F$8:$F$15)</f>
        <v>0</v>
      </c>
      <c r="H99" s="603">
        <f t="array" aca="1" ref="H99" ca="1">SUM(D32:D39*Produção!$F$8:$F$15)</f>
        <v>0</v>
      </c>
      <c r="I99" s="603">
        <f t="array" aca="1" ref="I99" ca="1">SUM(E32:E39*Produção!$F$8:$F$15)</f>
        <v>0</v>
      </c>
      <c r="J99" s="603">
        <f t="array" aca="1" ref="J99" ca="1">SUM(F32:F39*Produção!$F$8:$F$15)</f>
        <v>0</v>
      </c>
      <c r="K99" s="603">
        <f t="array" aca="1" ref="K99" ca="1">SUM(G32:G39*Produção!$F$8:$F$15)</f>
        <v>0</v>
      </c>
      <c r="L99" s="603">
        <f t="array" aca="1" ref="L99" ca="1">SUM(H32:H39*Produção!$F$8:$F$15)</f>
        <v>0</v>
      </c>
      <c r="M99" s="603">
        <f t="array" aca="1" ref="M99" ca="1">SUM(I32:I39*Produção!$F$8:$F$15)</f>
        <v>0</v>
      </c>
      <c r="N99" s="603">
        <f t="array" aca="1" ref="N99" ca="1">SUM(J32:J39*Produção!$F$8:$F$15)</f>
        <v>0</v>
      </c>
      <c r="O99" s="603">
        <f t="array" aca="1" ref="O99" ca="1">SUM(K32:K39*Produção!$F$8:$F$15)</f>
        <v>0</v>
      </c>
      <c r="P99" s="603">
        <f t="array" aca="1" ref="P99" ca="1">SUM(L32:L39*Produção!$F$8:$F$15)</f>
        <v>0</v>
      </c>
      <c r="Q99" s="603">
        <f t="array" aca="1" ref="Q99" ca="1">SUM(M32:M39*Produção!$F$8:$F$15)</f>
        <v>0</v>
      </c>
      <c r="R99" s="1992"/>
      <c r="S99" s="1992"/>
      <c r="T99" s="1992"/>
      <c r="U99" s="1992"/>
      <c r="V99" s="1992"/>
      <c r="W99" s="1992"/>
      <c r="X99" s="1992"/>
      <c r="Y99" s="2010"/>
    </row>
    <row r="100" spans="1:26" ht="15.75" customHeight="1">
      <c r="A100" s="1995" t="str">
        <f t="shared" si="10"/>
        <v>9 meses antes</v>
      </c>
      <c r="B100" s="1991"/>
      <c r="C100" s="1991"/>
      <c r="D100" s="1991"/>
      <c r="E100" s="603">
        <f t="array" aca="1" ref="E100" ca="1">SUM(B32:B39*Produção!$E$8:$E$15)</f>
        <v>0</v>
      </c>
      <c r="F100" s="603">
        <f t="array" aca="1" ref="F100" ca="1">SUM(C32:C39*Produção!$E$8:$E$15)</f>
        <v>0</v>
      </c>
      <c r="G100" s="603">
        <f t="array" aca="1" ref="G100" ca="1">SUM(D32:D39*Produção!$E$8:$E$15)</f>
        <v>0</v>
      </c>
      <c r="H100" s="603">
        <f t="array" aca="1" ref="H100" ca="1">SUM(E32:E39*Produção!$E$8:$E$15)</f>
        <v>0</v>
      </c>
      <c r="I100" s="603">
        <f t="array" aca="1" ref="I100" ca="1">SUM(F32:F39*Produção!$E$8:$E$15)</f>
        <v>0</v>
      </c>
      <c r="J100" s="603">
        <f t="array" aca="1" ref="J100" ca="1">SUM(G32:G39*Produção!$E$8:$E$15)</f>
        <v>0</v>
      </c>
      <c r="K100" s="603">
        <f t="array" aca="1" ref="K100" ca="1">SUM(H32:H39*Produção!$E$8:$E$15)</f>
        <v>0</v>
      </c>
      <c r="L100" s="603">
        <f t="array" aca="1" ref="L100" ca="1">SUM(I32:I39*Produção!$E$8:$E$15)</f>
        <v>0</v>
      </c>
      <c r="M100" s="603">
        <f t="array" aca="1" ref="M100" ca="1">SUM(J32:J39*Produção!$E$8:$E$15)</f>
        <v>0</v>
      </c>
      <c r="N100" s="603">
        <f t="array" aca="1" ref="N100" ca="1">SUM(K32:K39*Produção!$E$8:$E$15)</f>
        <v>0</v>
      </c>
      <c r="O100" s="603">
        <f t="array" aca="1" ref="O100" ca="1">SUM(L32:L39*Produção!$E$8:$E$15)</f>
        <v>0</v>
      </c>
      <c r="P100" s="603">
        <f t="array" aca="1" ref="P100" ca="1">SUM(M32:M39*Produção!$E$8:$E$15)</f>
        <v>0</v>
      </c>
      <c r="Q100" s="1992"/>
      <c r="R100" s="1992"/>
      <c r="S100" s="1992"/>
      <c r="T100" s="1992"/>
      <c r="U100" s="1992"/>
      <c r="V100" s="1992"/>
      <c r="W100" s="1992"/>
      <c r="X100" s="1992"/>
      <c r="Y100" s="2010"/>
    </row>
    <row r="101" spans="1:26" ht="15.75" customHeight="1">
      <c r="A101" s="1995" t="str">
        <f t="shared" si="10"/>
        <v>10 meses antes</v>
      </c>
      <c r="B101" s="1991"/>
      <c r="C101" s="1991"/>
      <c r="D101" s="602">
        <f t="array" aca="1" ref="D101" ca="1">SUM(B32:B39*Produção!$D$8:$D$15)</f>
        <v>0</v>
      </c>
      <c r="E101" s="602">
        <f t="array" aca="1" ref="E101" ca="1">SUM(C32:C39*Produção!$D$8:$D$15)</f>
        <v>0</v>
      </c>
      <c r="F101" s="602">
        <f t="array" aca="1" ref="F101" ca="1">SUM(D32:D39*Produção!$D$8:$D$15)</f>
        <v>0</v>
      </c>
      <c r="G101" s="602">
        <f t="array" aca="1" ref="G101" ca="1">SUM(E32:E39*Produção!$D$8:$D$15)</f>
        <v>0</v>
      </c>
      <c r="H101" s="602">
        <f t="array" aca="1" ref="H101" ca="1">SUM(F32:F39*Produção!$D$8:$D$15)</f>
        <v>0</v>
      </c>
      <c r="I101" s="602">
        <f t="array" aca="1" ref="I101" ca="1">SUM(G32:G39*Produção!$D$8:$D$15)</f>
        <v>0</v>
      </c>
      <c r="J101" s="602">
        <f t="array" aca="1" ref="J101" ca="1">SUM(H32:H39*Produção!$D$8:$D$15)</f>
        <v>0</v>
      </c>
      <c r="K101" s="602">
        <f t="array" aca="1" ref="K101" ca="1">SUM(I32:I39*Produção!$D$8:$D$15)</f>
        <v>0</v>
      </c>
      <c r="L101" s="602">
        <f t="array" aca="1" ref="L101" ca="1">SUM(J32:J39*Produção!$D$8:$D$15)</f>
        <v>0</v>
      </c>
      <c r="M101" s="602">
        <f t="array" aca="1" ref="M101" ca="1">SUM(K32:K39*Produção!$D$8:$D$15)</f>
        <v>0</v>
      </c>
      <c r="N101" s="602">
        <f t="array" aca="1" ref="N101" ca="1">SUM(L32:L39*Produção!$D$8:$D$15)</f>
        <v>0</v>
      </c>
      <c r="O101" s="602">
        <f t="array" aca="1" ref="O101" ca="1">SUM(M32:M39*Produção!$D$8:$D$15)</f>
        <v>0</v>
      </c>
      <c r="P101" s="1992"/>
      <c r="Q101" s="1992"/>
      <c r="R101" s="1992"/>
      <c r="S101" s="1992"/>
      <c r="T101" s="1992"/>
      <c r="U101" s="1992"/>
      <c r="V101" s="1992"/>
      <c r="W101" s="1992"/>
      <c r="X101" s="1992"/>
      <c r="Y101" s="2010"/>
    </row>
    <row r="102" spans="1:26" ht="15.75" customHeight="1">
      <c r="A102" s="1995" t="str">
        <f t="shared" si="10"/>
        <v>11 meses antes</v>
      </c>
      <c r="B102" s="1991"/>
      <c r="C102" s="603">
        <f t="array" aca="1" ref="C102" ca="1">SUM(B32:B39*Produção!$C$8:$C$15)</f>
        <v>0</v>
      </c>
      <c r="D102" s="603">
        <f t="array" aca="1" ref="D102" ca="1">SUM(C32:C39*Produção!$C$8:$C$15)</f>
        <v>0</v>
      </c>
      <c r="E102" s="603">
        <f t="array" aca="1" ref="E102" ca="1">SUM(D32:D39*Produção!$C$8:$C$15)</f>
        <v>0</v>
      </c>
      <c r="F102" s="603">
        <f t="array" aca="1" ref="F102" ca="1">SUM(E32:E39*Produção!$C$8:$C$15)</f>
        <v>0</v>
      </c>
      <c r="G102" s="603">
        <f t="array" aca="1" ref="G102" ca="1">SUM(F32:F39*Produção!$C$8:$C$15)</f>
        <v>0</v>
      </c>
      <c r="H102" s="603">
        <f t="array" aca="1" ref="H102" ca="1">SUM(G32:G39*Produção!$C$8:$C$15)</f>
        <v>0</v>
      </c>
      <c r="I102" s="603">
        <f t="array" aca="1" ref="I102" ca="1">SUM(H32:H39*Produção!$C$8:$C$15)</f>
        <v>0</v>
      </c>
      <c r="J102" s="603">
        <f t="array" aca="1" ref="J102" ca="1">SUM(I32:I39*Produção!$C$8:$C$15)</f>
        <v>0</v>
      </c>
      <c r="K102" s="603">
        <f t="array" aca="1" ref="K102" ca="1">SUM(J32:J39*Produção!$C$8:$C$15)</f>
        <v>0</v>
      </c>
      <c r="L102" s="603">
        <f t="array" aca="1" ref="L102" ca="1">SUM(K32:K39*Produção!$C$8:$C$15)</f>
        <v>0</v>
      </c>
      <c r="M102" s="603">
        <f t="array" aca="1" ref="M102" ca="1">SUM(L32:L39*Produção!$C$8:$C$15)</f>
        <v>0</v>
      </c>
      <c r="N102" s="603">
        <f t="array" aca="1" ref="N102" ca="1">SUM(M32:M39*Produção!$C$8:$C$15)</f>
        <v>0</v>
      </c>
      <c r="O102" s="1992"/>
      <c r="P102" s="1992"/>
      <c r="Q102" s="1992"/>
      <c r="R102" s="1992"/>
      <c r="S102" s="1992"/>
      <c r="T102" s="1992"/>
      <c r="U102" s="1992"/>
      <c r="V102" s="1992"/>
      <c r="W102" s="1992"/>
      <c r="X102" s="1992"/>
      <c r="Y102" s="2010"/>
    </row>
    <row r="103" spans="1:26" ht="15.75" customHeight="1" thickBot="1">
      <c r="A103" s="1995" t="str">
        <f t="shared" si="10"/>
        <v>12 meses antes</v>
      </c>
      <c r="B103" s="603">
        <f t="array" aca="1" ref="B103" ca="1">SUM(B32:B39*Produção!$B$8:$B$15)</f>
        <v>0</v>
      </c>
      <c r="C103" s="603">
        <f t="array" aca="1" ref="C103" ca="1">SUM(C32:C39*Produção!$B$8:$B$15)</f>
        <v>0</v>
      </c>
      <c r="D103" s="603">
        <f t="array" aca="1" ref="D103" ca="1">SUM(D32:D39*Produção!$B$8:$B$15)</f>
        <v>0</v>
      </c>
      <c r="E103" s="603">
        <f t="array" aca="1" ref="E103" ca="1">SUM(E32:E39*Produção!$B$8:$B$15)</f>
        <v>0</v>
      </c>
      <c r="F103" s="603">
        <f t="array" aca="1" ref="F103" ca="1">SUM(F32:F39*Produção!$B$8:$B$15)</f>
        <v>0</v>
      </c>
      <c r="G103" s="603">
        <f t="array" aca="1" ref="G103" ca="1">SUM(G32:G39*Produção!$B$8:$B$15)</f>
        <v>0</v>
      </c>
      <c r="H103" s="603">
        <f t="array" aca="1" ref="H103" ca="1">SUM(H32:H39*Produção!$B$8:$B$15)</f>
        <v>0</v>
      </c>
      <c r="I103" s="603">
        <f t="array" aca="1" ref="I103" ca="1">SUM(I32:I39*Produção!$B$8:$B$15)</f>
        <v>0</v>
      </c>
      <c r="J103" s="603">
        <f t="array" aca="1" ref="J103" ca="1">SUM(J32:J39*Produção!$B$8:$B$15)</f>
        <v>0</v>
      </c>
      <c r="K103" s="603">
        <f t="array" aca="1" ref="K103" ca="1">SUM(K32:K39*Produção!$B$8:$B$15)</f>
        <v>0</v>
      </c>
      <c r="L103" s="603">
        <f t="array" aca="1" ref="L103" ca="1">SUM(L32:L39*Produção!$B$8:$B$15)</f>
        <v>0</v>
      </c>
      <c r="M103" s="603">
        <f t="array" aca="1" ref="M103" ca="1">SUM(M32:M39*Produção!$B$8:$B$15)</f>
        <v>0</v>
      </c>
      <c r="N103" s="1992"/>
      <c r="O103" s="1992"/>
      <c r="P103" s="1992"/>
      <c r="Q103" s="1992"/>
      <c r="R103" s="1992"/>
      <c r="S103" s="1992"/>
      <c r="T103" s="1992"/>
      <c r="U103" s="1992"/>
      <c r="V103" s="1992"/>
      <c r="W103" s="1992"/>
      <c r="X103" s="1992"/>
      <c r="Y103" s="2010"/>
    </row>
    <row r="104" spans="1:26" ht="15.75" customHeight="1" thickBot="1">
      <c r="A104" s="105" t="str">
        <f>A$28</f>
        <v>Totais</v>
      </c>
      <c r="B104" s="607">
        <f t="shared" ref="B104:Y104" ca="1" si="11">SUM(B91:B103)</f>
        <v>0</v>
      </c>
      <c r="C104" s="607">
        <f t="shared" ca="1" si="11"/>
        <v>0</v>
      </c>
      <c r="D104" s="607">
        <f t="shared" ca="1" si="11"/>
        <v>0</v>
      </c>
      <c r="E104" s="607">
        <f t="shared" ca="1" si="11"/>
        <v>0</v>
      </c>
      <c r="F104" s="607">
        <f t="shared" ca="1" si="11"/>
        <v>0</v>
      </c>
      <c r="G104" s="607">
        <f t="shared" ca="1" si="11"/>
        <v>0</v>
      </c>
      <c r="H104" s="607">
        <f t="shared" ca="1" si="11"/>
        <v>0</v>
      </c>
      <c r="I104" s="607">
        <f t="shared" ca="1" si="11"/>
        <v>0</v>
      </c>
      <c r="J104" s="607">
        <f t="shared" ca="1" si="11"/>
        <v>0</v>
      </c>
      <c r="K104" s="607">
        <f t="shared" ca="1" si="11"/>
        <v>0</v>
      </c>
      <c r="L104" s="607">
        <f t="shared" ca="1" si="11"/>
        <v>0</v>
      </c>
      <c r="M104" s="607">
        <f t="shared" ca="1" si="11"/>
        <v>0</v>
      </c>
      <c r="N104" s="607">
        <f t="shared" ca="1" si="11"/>
        <v>38.318172538211996</v>
      </c>
      <c r="O104" s="607">
        <f t="shared" ca="1" si="11"/>
        <v>38.318172538211996</v>
      </c>
      <c r="P104" s="607">
        <f t="shared" ca="1" si="11"/>
        <v>38.318172538211996</v>
      </c>
      <c r="Q104" s="607">
        <f t="shared" ca="1" si="11"/>
        <v>38.318172538211996</v>
      </c>
      <c r="R104" s="607">
        <f t="shared" ca="1" si="11"/>
        <v>38.318172538211996</v>
      </c>
      <c r="S104" s="607">
        <f t="shared" ca="1" si="11"/>
        <v>38.318172538211996</v>
      </c>
      <c r="T104" s="607">
        <f t="shared" ca="1" si="11"/>
        <v>38.318172538211996</v>
      </c>
      <c r="U104" s="607">
        <f t="shared" ca="1" si="11"/>
        <v>38.318172538211996</v>
      </c>
      <c r="V104" s="607">
        <f t="shared" ca="1" si="11"/>
        <v>38.318172538211996</v>
      </c>
      <c r="W104" s="607">
        <f t="shared" ca="1" si="11"/>
        <v>38.318172538211996</v>
      </c>
      <c r="X104" s="607">
        <f t="shared" ca="1" si="11"/>
        <v>38.318172538211996</v>
      </c>
      <c r="Y104" s="2008">
        <f t="shared" ca="1" si="11"/>
        <v>38.318172538211996</v>
      </c>
    </row>
    <row r="106" spans="1:26">
      <c r="A106" s="239" t="str">
        <f>'Dados Básicos'!A28&amp;" del pendiente anterior"</f>
        <v>IVA del pendiente anterior</v>
      </c>
      <c r="B106" s="62">
        <f ca="1">SUM(B104:M104)</f>
        <v>0</v>
      </c>
    </row>
    <row r="108" spans="1:26">
      <c r="F108" s="62" t="str">
        <f>'Distr CV 0'!F108</f>
        <v>(PARA PODERMOS CALCULAR OS PAGAMENTOS NOS MESES APROPRIADOS)</v>
      </c>
      <c r="K108" s="62" t="str">
        <f>'Distr CV 0'!K108</f>
        <v>Totais custos / compras para a produção do producto 1 pelos meses nos que se produzir os custos</v>
      </c>
    </row>
    <row r="109" spans="1:26" ht="18.75" thickBot="1">
      <c r="A109" s="1993" t="str">
        <f>'Distr CV 0'!A109</f>
        <v>Compras / custos de produção por meses de produto 1</v>
      </c>
      <c r="I109" s="1993" t="str">
        <f>I$44</f>
        <v>IVA NÃO incluido</v>
      </c>
      <c r="K109" s="2005">
        <f>Parametros!$F$24</f>
        <v>0.21</v>
      </c>
    </row>
    <row r="110" spans="1:26" s="456" customFormat="1" ht="30" customHeight="1" thickBot="1">
      <c r="A110" s="457" t="str">
        <f>'Distr CV 0'!A110</f>
        <v>mes de compra / custo</v>
      </c>
      <c r="B110" s="2011" t="str">
        <f t="array" ref="B110:Y110">B$71:Y$71</f>
        <v>janeiro 
2030</v>
      </c>
      <c r="C110" s="2011" t="str">
        <v>fevereiro 
2030</v>
      </c>
      <c r="D110" s="2011" t="str">
        <v>março 
2030</v>
      </c>
      <c r="E110" s="2011" t="str">
        <v>abril 
2030</v>
      </c>
      <c r="F110" s="2011" t="str">
        <v>maio 
2030</v>
      </c>
      <c r="G110" s="2011" t="str">
        <v>junho 
2030</v>
      </c>
      <c r="H110" s="2011" t="str">
        <v>julho 
2030</v>
      </c>
      <c r="I110" s="2011" t="str">
        <v>agosto 
2030</v>
      </c>
      <c r="J110" s="2011" t="str">
        <v>setembro 
2030</v>
      </c>
      <c r="K110" s="2011" t="str">
        <v>outubro 
2030</v>
      </c>
      <c r="L110" s="2011" t="str">
        <v>novembro 
2030</v>
      </c>
      <c r="M110" s="2011" t="str">
        <v>dezembro 
2030</v>
      </c>
      <c r="N110" s="2737" t="str">
        <v>janeiro 
2031</v>
      </c>
      <c r="O110" s="2738" t="str">
        <v>fevereiro 
2031</v>
      </c>
      <c r="P110" s="2738" t="str">
        <v>março 
2031</v>
      </c>
      <c r="Q110" s="2738" t="str">
        <v>abril 
2031</v>
      </c>
      <c r="R110" s="2738" t="str">
        <v>maio 
2031</v>
      </c>
      <c r="S110" s="2738" t="str">
        <v>junho 
2031</v>
      </c>
      <c r="T110" s="2738" t="str">
        <v>julho 
2031</v>
      </c>
      <c r="U110" s="2738" t="str">
        <v>agosto 
2031</v>
      </c>
      <c r="V110" s="2738" t="str">
        <v>setembro 
2031</v>
      </c>
      <c r="W110" s="2738" t="str">
        <v>outubro 
2031</v>
      </c>
      <c r="X110" s="2738" t="str">
        <v>novembro 
2031</v>
      </c>
      <c r="Y110" s="2739" t="str">
        <v>dezembro 
2031</v>
      </c>
      <c r="Z110" s="62"/>
    </row>
    <row r="111" spans="1:26">
      <c r="A111" s="1994" t="str">
        <f>A$72</f>
        <v>mismo mes</v>
      </c>
      <c r="B111" s="1991"/>
      <c r="C111" s="1991"/>
      <c r="D111" s="1991"/>
      <c r="E111" s="1991"/>
      <c r="F111" s="1991"/>
      <c r="G111" s="1991"/>
      <c r="H111" s="1991"/>
      <c r="I111" s="1991"/>
      <c r="J111" s="1991"/>
      <c r="K111" s="1991"/>
      <c r="L111" s="1991"/>
      <c r="M111" s="1991"/>
      <c r="N111" s="603">
        <f t="array" aca="1" ref="N111:Y111" ca="1">B$20:M20*Produção!$N$8</f>
        <v>182.4674882772</v>
      </c>
      <c r="O111" s="603">
        <f ca="1"/>
        <v>182.4674882772</v>
      </c>
      <c r="P111" s="603">
        <f ca="1"/>
        <v>182.4674882772</v>
      </c>
      <c r="Q111" s="603">
        <f ca="1"/>
        <v>182.4674882772</v>
      </c>
      <c r="R111" s="603">
        <f ca="1"/>
        <v>182.4674882772</v>
      </c>
      <c r="S111" s="603">
        <f ca="1"/>
        <v>182.4674882772</v>
      </c>
      <c r="T111" s="603">
        <f ca="1"/>
        <v>182.4674882772</v>
      </c>
      <c r="U111" s="603">
        <f ca="1"/>
        <v>182.4674882772</v>
      </c>
      <c r="V111" s="603">
        <f ca="1"/>
        <v>182.4674882772</v>
      </c>
      <c r="W111" s="603">
        <f ca="1"/>
        <v>182.4674882772</v>
      </c>
      <c r="X111" s="603">
        <f ca="1"/>
        <v>182.4674882772</v>
      </c>
      <c r="Y111" s="2006">
        <f ca="1"/>
        <v>182.4674882772</v>
      </c>
    </row>
    <row r="112" spans="1:26">
      <c r="A112" s="1995" t="str">
        <f>A$73</f>
        <v>1 mes antes</v>
      </c>
      <c r="B112" s="1991"/>
      <c r="C112" s="1991"/>
      <c r="D112" s="1991"/>
      <c r="E112" s="1991"/>
      <c r="F112" s="1991"/>
      <c r="G112" s="1991"/>
      <c r="H112" s="1991"/>
      <c r="I112" s="1991"/>
      <c r="J112" s="1991"/>
      <c r="K112" s="1991"/>
      <c r="L112" s="1991"/>
      <c r="M112" s="603">
        <f t="array" aca="1" ref="M112:X112" ca="1">B$20:M20*Produção!$M$8</f>
        <v>0</v>
      </c>
      <c r="N112" s="603">
        <f ca="1"/>
        <v>0</v>
      </c>
      <c r="O112" s="603">
        <f ca="1"/>
        <v>0</v>
      </c>
      <c r="P112" s="603">
        <f ca="1"/>
        <v>0</v>
      </c>
      <c r="Q112" s="603">
        <f ca="1"/>
        <v>0</v>
      </c>
      <c r="R112" s="603">
        <f ca="1"/>
        <v>0</v>
      </c>
      <c r="S112" s="603">
        <f ca="1"/>
        <v>0</v>
      </c>
      <c r="T112" s="603">
        <f ca="1"/>
        <v>0</v>
      </c>
      <c r="U112" s="603">
        <f ca="1"/>
        <v>0</v>
      </c>
      <c r="V112" s="603">
        <f ca="1"/>
        <v>0</v>
      </c>
      <c r="W112" s="603">
        <f ca="1"/>
        <v>0</v>
      </c>
      <c r="X112" s="603">
        <f ca="1"/>
        <v>0</v>
      </c>
      <c r="Y112" s="2007"/>
    </row>
    <row r="113" spans="1:25">
      <c r="A113" s="1995" t="str">
        <f>A$74</f>
        <v>2 meses antes</v>
      </c>
      <c r="B113" s="1991"/>
      <c r="C113" s="1991"/>
      <c r="D113" s="1991"/>
      <c r="E113" s="1991"/>
      <c r="F113" s="1991"/>
      <c r="G113" s="1991"/>
      <c r="H113" s="1991"/>
      <c r="I113" s="1991"/>
      <c r="J113" s="1991"/>
      <c r="K113" s="1991"/>
      <c r="L113" s="603">
        <f t="array" aca="1" ref="L113:W113" ca="1">B$20:M20*Produção!$L$8</f>
        <v>0</v>
      </c>
      <c r="M113" s="603">
        <f ca="1"/>
        <v>0</v>
      </c>
      <c r="N113" s="603">
        <f ca="1"/>
        <v>0</v>
      </c>
      <c r="O113" s="603">
        <f ca="1"/>
        <v>0</v>
      </c>
      <c r="P113" s="603">
        <f ca="1"/>
        <v>0</v>
      </c>
      <c r="Q113" s="603">
        <f ca="1"/>
        <v>0</v>
      </c>
      <c r="R113" s="603">
        <f ca="1"/>
        <v>0</v>
      </c>
      <c r="S113" s="603">
        <f ca="1"/>
        <v>0</v>
      </c>
      <c r="T113" s="603">
        <f ca="1"/>
        <v>0</v>
      </c>
      <c r="U113" s="603">
        <f ca="1"/>
        <v>0</v>
      </c>
      <c r="V113" s="603">
        <f ca="1"/>
        <v>0</v>
      </c>
      <c r="W113" s="603">
        <f ca="1"/>
        <v>0</v>
      </c>
      <c r="X113" s="1991"/>
      <c r="Y113" s="2007"/>
    </row>
    <row r="114" spans="1:25">
      <c r="A114" s="1995" t="str">
        <f>A$75</f>
        <v>3 meses antes</v>
      </c>
      <c r="B114" s="1991"/>
      <c r="C114" s="1991"/>
      <c r="D114" s="1991"/>
      <c r="E114" s="1991"/>
      <c r="F114" s="1991"/>
      <c r="G114" s="1991"/>
      <c r="H114" s="1991"/>
      <c r="I114" s="1991"/>
      <c r="J114" s="1991"/>
      <c r="K114" s="603">
        <f t="array" aca="1" ref="K114:V114" ca="1">B$20:M20*Produção!$K$8</f>
        <v>0</v>
      </c>
      <c r="L114" s="603">
        <f ca="1"/>
        <v>0</v>
      </c>
      <c r="M114" s="603">
        <f ca="1"/>
        <v>0</v>
      </c>
      <c r="N114" s="603">
        <f ca="1"/>
        <v>0</v>
      </c>
      <c r="O114" s="603">
        <f ca="1"/>
        <v>0</v>
      </c>
      <c r="P114" s="603">
        <f ca="1"/>
        <v>0</v>
      </c>
      <c r="Q114" s="603">
        <f ca="1"/>
        <v>0</v>
      </c>
      <c r="R114" s="603">
        <f ca="1"/>
        <v>0</v>
      </c>
      <c r="S114" s="603">
        <f ca="1"/>
        <v>0</v>
      </c>
      <c r="T114" s="603">
        <f ca="1"/>
        <v>0</v>
      </c>
      <c r="U114" s="603">
        <f ca="1"/>
        <v>0</v>
      </c>
      <c r="V114" s="603">
        <f ca="1"/>
        <v>0</v>
      </c>
      <c r="W114" s="1991"/>
      <c r="X114" s="1991"/>
      <c r="Y114" s="2007"/>
    </row>
    <row r="115" spans="1:25">
      <c r="A115" s="1995" t="str">
        <f>A$76</f>
        <v>4 meses antes</v>
      </c>
      <c r="B115" s="1991"/>
      <c r="C115" s="1991"/>
      <c r="D115" s="1991"/>
      <c r="E115" s="1991"/>
      <c r="F115" s="1991"/>
      <c r="G115" s="1991"/>
      <c r="H115" s="1991"/>
      <c r="I115" s="1991"/>
      <c r="J115" s="603">
        <f t="array" aca="1" ref="J115:U115" ca="1">B$20:M20*Produção!$J$8</f>
        <v>0</v>
      </c>
      <c r="K115" s="603">
        <f ca="1"/>
        <v>0</v>
      </c>
      <c r="L115" s="603">
        <f ca="1"/>
        <v>0</v>
      </c>
      <c r="M115" s="603">
        <f ca="1"/>
        <v>0</v>
      </c>
      <c r="N115" s="603">
        <f ca="1"/>
        <v>0</v>
      </c>
      <c r="O115" s="603">
        <f ca="1"/>
        <v>0</v>
      </c>
      <c r="P115" s="603">
        <f ca="1"/>
        <v>0</v>
      </c>
      <c r="Q115" s="603">
        <f ca="1"/>
        <v>0</v>
      </c>
      <c r="R115" s="603">
        <f ca="1"/>
        <v>0</v>
      </c>
      <c r="S115" s="603">
        <f ca="1"/>
        <v>0</v>
      </c>
      <c r="T115" s="603">
        <f ca="1"/>
        <v>0</v>
      </c>
      <c r="U115" s="603">
        <f ca="1"/>
        <v>0</v>
      </c>
      <c r="V115" s="1991"/>
      <c r="W115" s="1991"/>
      <c r="X115" s="1991"/>
      <c r="Y115" s="2007"/>
    </row>
    <row r="116" spans="1:25">
      <c r="A116" s="1995" t="str">
        <f>A$77</f>
        <v>5 meses antes</v>
      </c>
      <c r="B116" s="1991"/>
      <c r="C116" s="1991"/>
      <c r="D116" s="1991"/>
      <c r="E116" s="1991"/>
      <c r="F116" s="1991"/>
      <c r="G116" s="1991"/>
      <c r="H116" s="1991"/>
      <c r="I116" s="603">
        <f t="array" aca="1" ref="I116:T116" ca="1">B$20:M20*Produção!$I$8</f>
        <v>0</v>
      </c>
      <c r="J116" s="603">
        <f ca="1"/>
        <v>0</v>
      </c>
      <c r="K116" s="603">
        <f ca="1"/>
        <v>0</v>
      </c>
      <c r="L116" s="603">
        <f ca="1"/>
        <v>0</v>
      </c>
      <c r="M116" s="603">
        <f ca="1"/>
        <v>0</v>
      </c>
      <c r="N116" s="603">
        <f ca="1"/>
        <v>0</v>
      </c>
      <c r="O116" s="603">
        <f ca="1"/>
        <v>0</v>
      </c>
      <c r="P116" s="603">
        <f ca="1"/>
        <v>0</v>
      </c>
      <c r="Q116" s="603">
        <f ca="1"/>
        <v>0</v>
      </c>
      <c r="R116" s="603">
        <f ca="1"/>
        <v>0</v>
      </c>
      <c r="S116" s="603">
        <f ca="1"/>
        <v>0</v>
      </c>
      <c r="T116" s="603">
        <f ca="1"/>
        <v>0</v>
      </c>
      <c r="U116" s="1991"/>
      <c r="V116" s="1991"/>
      <c r="W116" s="1991"/>
      <c r="X116" s="1991"/>
      <c r="Y116" s="2007"/>
    </row>
    <row r="117" spans="1:25">
      <c r="A117" s="1995" t="str">
        <f>A$78</f>
        <v>6 meses antes</v>
      </c>
      <c r="B117" s="1991"/>
      <c r="C117" s="1991"/>
      <c r="D117" s="1991"/>
      <c r="E117" s="1991"/>
      <c r="F117" s="1991"/>
      <c r="G117" s="1991"/>
      <c r="H117" s="603">
        <f t="array" aca="1" ref="H117:S117" ca="1">B$20:M20*Produção!$H$8</f>
        <v>0</v>
      </c>
      <c r="I117" s="603">
        <f ca="1"/>
        <v>0</v>
      </c>
      <c r="J117" s="603">
        <f ca="1"/>
        <v>0</v>
      </c>
      <c r="K117" s="603">
        <f ca="1"/>
        <v>0</v>
      </c>
      <c r="L117" s="603">
        <f ca="1"/>
        <v>0</v>
      </c>
      <c r="M117" s="603">
        <f ca="1"/>
        <v>0</v>
      </c>
      <c r="N117" s="603">
        <f ca="1"/>
        <v>0</v>
      </c>
      <c r="O117" s="603">
        <f ca="1"/>
        <v>0</v>
      </c>
      <c r="P117" s="603">
        <f ca="1"/>
        <v>0</v>
      </c>
      <c r="Q117" s="603">
        <f ca="1"/>
        <v>0</v>
      </c>
      <c r="R117" s="603">
        <f ca="1"/>
        <v>0</v>
      </c>
      <c r="S117" s="603">
        <f ca="1"/>
        <v>0</v>
      </c>
      <c r="T117" s="1991"/>
      <c r="U117" s="1991"/>
      <c r="V117" s="1991"/>
      <c r="W117" s="1991"/>
      <c r="X117" s="1991"/>
      <c r="Y117" s="2007"/>
    </row>
    <row r="118" spans="1:25">
      <c r="A118" s="1995" t="str">
        <f>A$79</f>
        <v>7 meses antes</v>
      </c>
      <c r="B118" s="1991"/>
      <c r="C118" s="1991"/>
      <c r="D118" s="1991"/>
      <c r="E118" s="1991"/>
      <c r="F118" s="1991"/>
      <c r="G118" s="603">
        <f t="array" aca="1" ref="G118:R118" ca="1">B$20:M20*Produção!$G$8</f>
        <v>0</v>
      </c>
      <c r="H118" s="603">
        <f ca="1"/>
        <v>0</v>
      </c>
      <c r="I118" s="603">
        <f ca="1"/>
        <v>0</v>
      </c>
      <c r="J118" s="603">
        <f ca="1"/>
        <v>0</v>
      </c>
      <c r="K118" s="603">
        <f ca="1"/>
        <v>0</v>
      </c>
      <c r="L118" s="603">
        <f ca="1"/>
        <v>0</v>
      </c>
      <c r="M118" s="603">
        <f ca="1"/>
        <v>0</v>
      </c>
      <c r="N118" s="603">
        <f ca="1"/>
        <v>0</v>
      </c>
      <c r="O118" s="603">
        <f ca="1"/>
        <v>0</v>
      </c>
      <c r="P118" s="603">
        <f ca="1"/>
        <v>0</v>
      </c>
      <c r="Q118" s="603">
        <f ca="1"/>
        <v>0</v>
      </c>
      <c r="R118" s="603">
        <f ca="1"/>
        <v>0</v>
      </c>
      <c r="S118" s="1991"/>
      <c r="T118" s="1991"/>
      <c r="U118" s="1991"/>
      <c r="V118" s="1991"/>
      <c r="W118" s="1991"/>
      <c r="X118" s="1991"/>
      <c r="Y118" s="2007"/>
    </row>
    <row r="119" spans="1:25">
      <c r="A119" s="1995" t="str">
        <f>A$80</f>
        <v>8 meses antes</v>
      </c>
      <c r="B119" s="1991"/>
      <c r="C119" s="1991"/>
      <c r="D119" s="1991"/>
      <c r="E119" s="1991"/>
      <c r="F119" s="603">
        <f t="array" aca="1" ref="F119:Q119" ca="1">B$20:M20*Produção!$F$8</f>
        <v>0</v>
      </c>
      <c r="G119" s="603">
        <f ca="1"/>
        <v>0</v>
      </c>
      <c r="H119" s="603">
        <f ca="1"/>
        <v>0</v>
      </c>
      <c r="I119" s="603">
        <f ca="1"/>
        <v>0</v>
      </c>
      <c r="J119" s="603">
        <f ca="1"/>
        <v>0</v>
      </c>
      <c r="K119" s="603">
        <f ca="1"/>
        <v>0</v>
      </c>
      <c r="L119" s="603">
        <f ca="1"/>
        <v>0</v>
      </c>
      <c r="M119" s="603">
        <f ca="1"/>
        <v>0</v>
      </c>
      <c r="N119" s="603">
        <f ca="1"/>
        <v>0</v>
      </c>
      <c r="O119" s="603">
        <f ca="1"/>
        <v>0</v>
      </c>
      <c r="P119" s="603">
        <f ca="1"/>
        <v>0</v>
      </c>
      <c r="Q119" s="603">
        <f ca="1"/>
        <v>0</v>
      </c>
      <c r="R119" s="1991"/>
      <c r="S119" s="1991"/>
      <c r="T119" s="1991"/>
      <c r="U119" s="1991"/>
      <c r="V119" s="1991"/>
      <c r="W119" s="1991"/>
      <c r="X119" s="1991"/>
      <c r="Y119" s="2007"/>
    </row>
    <row r="120" spans="1:25">
      <c r="A120" s="1995" t="str">
        <f>A$81</f>
        <v>9 meses antes</v>
      </c>
      <c r="B120" s="1991"/>
      <c r="C120" s="1991"/>
      <c r="D120" s="1991"/>
      <c r="E120" s="603">
        <f t="array" aca="1" ref="E120:P120" ca="1">B$20:M20*Produção!$E$8</f>
        <v>0</v>
      </c>
      <c r="F120" s="603">
        <f ca="1"/>
        <v>0</v>
      </c>
      <c r="G120" s="603">
        <f ca="1"/>
        <v>0</v>
      </c>
      <c r="H120" s="603">
        <f ca="1"/>
        <v>0</v>
      </c>
      <c r="I120" s="603">
        <f ca="1"/>
        <v>0</v>
      </c>
      <c r="J120" s="603">
        <f ca="1"/>
        <v>0</v>
      </c>
      <c r="K120" s="603">
        <f ca="1"/>
        <v>0</v>
      </c>
      <c r="L120" s="603">
        <f ca="1"/>
        <v>0</v>
      </c>
      <c r="M120" s="603">
        <f ca="1"/>
        <v>0</v>
      </c>
      <c r="N120" s="603">
        <f ca="1"/>
        <v>0</v>
      </c>
      <c r="O120" s="603">
        <f ca="1"/>
        <v>0</v>
      </c>
      <c r="P120" s="603">
        <f ca="1"/>
        <v>0</v>
      </c>
      <c r="Q120" s="1991"/>
      <c r="R120" s="1991"/>
      <c r="S120" s="1991"/>
      <c r="T120" s="1991"/>
      <c r="U120" s="1991"/>
      <c r="V120" s="1991"/>
      <c r="W120" s="1991"/>
      <c r="X120" s="1991"/>
      <c r="Y120" s="2007"/>
    </row>
    <row r="121" spans="1:25">
      <c r="A121" s="1995" t="str">
        <f>A$82</f>
        <v>10 meses antes</v>
      </c>
      <c r="B121" s="1991"/>
      <c r="C121" s="1991"/>
      <c r="D121" s="603">
        <f t="array" aca="1" ref="D121:O121" ca="1">B$20:M20*Produção!$D$8</f>
        <v>0</v>
      </c>
      <c r="E121" s="603">
        <f ca="1"/>
        <v>0</v>
      </c>
      <c r="F121" s="603">
        <f ca="1"/>
        <v>0</v>
      </c>
      <c r="G121" s="603">
        <f ca="1"/>
        <v>0</v>
      </c>
      <c r="H121" s="603">
        <f ca="1"/>
        <v>0</v>
      </c>
      <c r="I121" s="603">
        <f ca="1"/>
        <v>0</v>
      </c>
      <c r="J121" s="603">
        <f ca="1"/>
        <v>0</v>
      </c>
      <c r="K121" s="603">
        <f ca="1"/>
        <v>0</v>
      </c>
      <c r="L121" s="603">
        <f ca="1"/>
        <v>0</v>
      </c>
      <c r="M121" s="603">
        <f ca="1"/>
        <v>0</v>
      </c>
      <c r="N121" s="603">
        <f ca="1"/>
        <v>0</v>
      </c>
      <c r="O121" s="603">
        <f ca="1"/>
        <v>0</v>
      </c>
      <c r="P121" s="1991"/>
      <c r="Q121" s="1991"/>
      <c r="R121" s="1991"/>
      <c r="S121" s="1991"/>
      <c r="T121" s="1991"/>
      <c r="U121" s="1991"/>
      <c r="V121" s="1991"/>
      <c r="W121" s="1991"/>
      <c r="X121" s="1991"/>
      <c r="Y121" s="2007"/>
    </row>
    <row r="122" spans="1:25">
      <c r="A122" s="1995" t="str">
        <f>A$83</f>
        <v>11 meses antes</v>
      </c>
      <c r="B122" s="1991"/>
      <c r="C122" s="603">
        <f t="array" aca="1" ref="C122:N122" ca="1">B$20:M20*Produção!$C$8</f>
        <v>0</v>
      </c>
      <c r="D122" s="603">
        <f ca="1"/>
        <v>0</v>
      </c>
      <c r="E122" s="603">
        <f ca="1"/>
        <v>0</v>
      </c>
      <c r="F122" s="603">
        <f ca="1"/>
        <v>0</v>
      </c>
      <c r="G122" s="603">
        <f ca="1"/>
        <v>0</v>
      </c>
      <c r="H122" s="603">
        <f ca="1"/>
        <v>0</v>
      </c>
      <c r="I122" s="603">
        <f ca="1"/>
        <v>0</v>
      </c>
      <c r="J122" s="603">
        <f ca="1"/>
        <v>0</v>
      </c>
      <c r="K122" s="603">
        <f ca="1"/>
        <v>0</v>
      </c>
      <c r="L122" s="603">
        <f ca="1"/>
        <v>0</v>
      </c>
      <c r="M122" s="603">
        <f ca="1"/>
        <v>0</v>
      </c>
      <c r="N122" s="603">
        <f ca="1"/>
        <v>0</v>
      </c>
      <c r="O122" s="1991"/>
      <c r="P122" s="1991"/>
      <c r="Q122" s="1991"/>
      <c r="R122" s="1991"/>
      <c r="S122" s="1991"/>
      <c r="T122" s="1991"/>
      <c r="U122" s="1991"/>
      <c r="V122" s="1991"/>
      <c r="W122" s="1991"/>
      <c r="X122" s="1991"/>
      <c r="Y122" s="2007"/>
    </row>
    <row r="123" spans="1:25" ht="13.5" thickBot="1">
      <c r="A123" s="1995" t="str">
        <f>A$84</f>
        <v>12 meses antes</v>
      </c>
      <c r="B123" s="603">
        <f t="array" aca="1" ref="B123:M123" ca="1">B$20:M20*Produção!$B$8</f>
        <v>0</v>
      </c>
      <c r="C123" s="603">
        <f ca="1"/>
        <v>0</v>
      </c>
      <c r="D123" s="603">
        <f ca="1"/>
        <v>0</v>
      </c>
      <c r="E123" s="603">
        <f ca="1"/>
        <v>0</v>
      </c>
      <c r="F123" s="603">
        <f ca="1"/>
        <v>0</v>
      </c>
      <c r="G123" s="603">
        <f ca="1"/>
        <v>0</v>
      </c>
      <c r="H123" s="603">
        <f ca="1"/>
        <v>0</v>
      </c>
      <c r="I123" s="603">
        <f ca="1"/>
        <v>0</v>
      </c>
      <c r="J123" s="603">
        <f ca="1"/>
        <v>0</v>
      </c>
      <c r="K123" s="603">
        <f ca="1"/>
        <v>0</v>
      </c>
      <c r="L123" s="603">
        <f ca="1"/>
        <v>0</v>
      </c>
      <c r="M123" s="603">
        <f ca="1"/>
        <v>0</v>
      </c>
      <c r="N123" s="1992"/>
      <c r="O123" s="1991"/>
      <c r="P123" s="1991"/>
      <c r="Q123" s="1991"/>
      <c r="R123" s="1991"/>
      <c r="S123" s="1991"/>
      <c r="T123" s="1991"/>
      <c r="U123" s="1991"/>
      <c r="V123" s="1991"/>
      <c r="W123" s="1991"/>
      <c r="X123" s="1991"/>
      <c r="Y123" s="2007"/>
    </row>
    <row r="124" spans="1:25" ht="15.75" customHeight="1" thickBot="1">
      <c r="A124" s="105" t="str">
        <f>"Totales CV "&amp;A$8</f>
        <v>Totales CV produto 1</v>
      </c>
      <c r="B124" s="607">
        <f t="shared" ref="B124:Y124" ca="1" si="12">SUM(B111:B123)</f>
        <v>0</v>
      </c>
      <c r="C124" s="607">
        <f t="shared" ca="1" si="12"/>
        <v>0</v>
      </c>
      <c r="D124" s="607">
        <f t="shared" ca="1" si="12"/>
        <v>0</v>
      </c>
      <c r="E124" s="607">
        <f t="shared" ca="1" si="12"/>
        <v>0</v>
      </c>
      <c r="F124" s="607">
        <f t="shared" ca="1" si="12"/>
        <v>0</v>
      </c>
      <c r="G124" s="607">
        <f t="shared" ca="1" si="12"/>
        <v>0</v>
      </c>
      <c r="H124" s="607">
        <f t="shared" ca="1" si="12"/>
        <v>0</v>
      </c>
      <c r="I124" s="607">
        <f t="shared" ca="1" si="12"/>
        <v>0</v>
      </c>
      <c r="J124" s="607">
        <f t="shared" ca="1" si="12"/>
        <v>0</v>
      </c>
      <c r="K124" s="607">
        <f t="shared" ca="1" si="12"/>
        <v>0</v>
      </c>
      <c r="L124" s="607">
        <f t="shared" ca="1" si="12"/>
        <v>0</v>
      </c>
      <c r="M124" s="607">
        <f t="shared" ca="1" si="12"/>
        <v>0</v>
      </c>
      <c r="N124" s="607">
        <f t="shared" ca="1" si="12"/>
        <v>182.4674882772</v>
      </c>
      <c r="O124" s="607">
        <f t="shared" ca="1" si="12"/>
        <v>182.4674882772</v>
      </c>
      <c r="P124" s="607">
        <f t="shared" ca="1" si="12"/>
        <v>182.4674882772</v>
      </c>
      <c r="Q124" s="607">
        <f t="shared" ca="1" si="12"/>
        <v>182.4674882772</v>
      </c>
      <c r="R124" s="607">
        <f t="shared" ca="1" si="12"/>
        <v>182.4674882772</v>
      </c>
      <c r="S124" s="607">
        <f t="shared" ca="1" si="12"/>
        <v>182.4674882772</v>
      </c>
      <c r="T124" s="607">
        <f t="shared" ca="1" si="12"/>
        <v>182.4674882772</v>
      </c>
      <c r="U124" s="607">
        <f t="shared" ca="1" si="12"/>
        <v>182.4674882772</v>
      </c>
      <c r="V124" s="607">
        <f t="shared" ca="1" si="12"/>
        <v>182.4674882772</v>
      </c>
      <c r="W124" s="607">
        <f t="shared" ca="1" si="12"/>
        <v>182.4674882772</v>
      </c>
      <c r="X124" s="607">
        <f t="shared" ca="1" si="12"/>
        <v>182.4674882772</v>
      </c>
      <c r="Y124" s="2008">
        <f t="shared" ca="1" si="12"/>
        <v>182.4674882772</v>
      </c>
    </row>
    <row r="125" spans="1:25" ht="15.75" customHeight="1" thickBot="1">
      <c r="A125" s="105" t="str">
        <f>'Dados Básicos'!A28&amp;" sop. CV "&amp;$A$8</f>
        <v>IVA sop. CV produto 1</v>
      </c>
      <c r="B125" s="607">
        <f t="array" aca="1" ref="B125:Y125" ca="1">$K$109*B124:Y124</f>
        <v>0</v>
      </c>
      <c r="C125" s="607">
        <f ca="1"/>
        <v>0</v>
      </c>
      <c r="D125" s="607">
        <f ca="1"/>
        <v>0</v>
      </c>
      <c r="E125" s="607">
        <f ca="1"/>
        <v>0</v>
      </c>
      <c r="F125" s="607">
        <f ca="1"/>
        <v>0</v>
      </c>
      <c r="G125" s="607">
        <f ca="1"/>
        <v>0</v>
      </c>
      <c r="H125" s="607">
        <f ca="1"/>
        <v>0</v>
      </c>
      <c r="I125" s="607">
        <f ca="1"/>
        <v>0</v>
      </c>
      <c r="J125" s="607">
        <f ca="1"/>
        <v>0</v>
      </c>
      <c r="K125" s="607">
        <f ca="1"/>
        <v>0</v>
      </c>
      <c r="L125" s="607">
        <f ca="1"/>
        <v>0</v>
      </c>
      <c r="M125" s="607">
        <f ca="1"/>
        <v>0</v>
      </c>
      <c r="N125" s="607">
        <f ca="1"/>
        <v>38.318172538211996</v>
      </c>
      <c r="O125" s="607">
        <f ca="1"/>
        <v>38.318172538211996</v>
      </c>
      <c r="P125" s="607">
        <f ca="1"/>
        <v>38.318172538211996</v>
      </c>
      <c r="Q125" s="607">
        <f ca="1"/>
        <v>38.318172538211996</v>
      </c>
      <c r="R125" s="607">
        <f ca="1"/>
        <v>38.318172538211996</v>
      </c>
      <c r="S125" s="607">
        <f ca="1"/>
        <v>38.318172538211996</v>
      </c>
      <c r="T125" s="607">
        <f ca="1"/>
        <v>38.318172538211996</v>
      </c>
      <c r="U125" s="607">
        <f ca="1"/>
        <v>38.318172538211996</v>
      </c>
      <c r="V125" s="607">
        <f ca="1"/>
        <v>38.318172538211996</v>
      </c>
      <c r="W125" s="607">
        <f ca="1"/>
        <v>38.318172538211996</v>
      </c>
      <c r="X125" s="607">
        <f ca="1"/>
        <v>38.318172538211996</v>
      </c>
      <c r="Y125" s="2008">
        <f ca="1"/>
        <v>38.318172538211996</v>
      </c>
    </row>
    <row r="127" spans="1:25" ht="18.75" thickBot="1">
      <c r="A127" s="1993" t="str">
        <f>'Distr CV 0'!A127</f>
        <v xml:space="preserve">Compras / custos de producción por meses de </v>
      </c>
      <c r="I127" s="1993" t="str">
        <f>$I$109</f>
        <v>IVA NÃO incluido</v>
      </c>
      <c r="K127" s="2005">
        <f>Parametros!$F$25</f>
        <v>0.21</v>
      </c>
    </row>
    <row r="128" spans="1:25" ht="30" customHeight="1" thickBot="1">
      <c r="A128" s="457" t="str">
        <f>'Distr CV 0'!A128</f>
        <v>mes de compra / custo</v>
      </c>
      <c r="B128" s="2011" t="str">
        <f t="array" ref="B128:Y128">B$71:Y$71</f>
        <v>janeiro 
2030</v>
      </c>
      <c r="C128" s="2011" t="str">
        <v>fevereiro 
2030</v>
      </c>
      <c r="D128" s="2011" t="str">
        <v>março 
2030</v>
      </c>
      <c r="E128" s="2011" t="str">
        <v>abril 
2030</v>
      </c>
      <c r="F128" s="2011" t="str">
        <v>maio 
2030</v>
      </c>
      <c r="G128" s="2011" t="str">
        <v>junho 
2030</v>
      </c>
      <c r="H128" s="2011" t="str">
        <v>julho 
2030</v>
      </c>
      <c r="I128" s="2011" t="str">
        <v>agosto 
2030</v>
      </c>
      <c r="J128" s="2011" t="str">
        <v>setembro 
2030</v>
      </c>
      <c r="K128" s="2011" t="str">
        <v>outubro 
2030</v>
      </c>
      <c r="L128" s="2011" t="str">
        <v>novembro 
2030</v>
      </c>
      <c r="M128" s="2011" t="str">
        <v>dezembro 
2030</v>
      </c>
      <c r="N128" s="2737" t="str">
        <v>janeiro 
2031</v>
      </c>
      <c r="O128" s="2738" t="str">
        <v>fevereiro 
2031</v>
      </c>
      <c r="P128" s="2738" t="str">
        <v>março 
2031</v>
      </c>
      <c r="Q128" s="2738" t="str">
        <v>abril 
2031</v>
      </c>
      <c r="R128" s="2738" t="str">
        <v>maio 
2031</v>
      </c>
      <c r="S128" s="2738" t="str">
        <v>junho 
2031</v>
      </c>
      <c r="T128" s="2738" t="str">
        <v>julho 
2031</v>
      </c>
      <c r="U128" s="2738" t="str">
        <v>agosto 
2031</v>
      </c>
      <c r="V128" s="2738" t="str">
        <v>setembro 
2031</v>
      </c>
      <c r="W128" s="2738" t="str">
        <v>outubro 
2031</v>
      </c>
      <c r="X128" s="2738" t="str">
        <v>novembro 
2031</v>
      </c>
      <c r="Y128" s="2739" t="str">
        <v>dezembro 
2031</v>
      </c>
    </row>
    <row r="129" spans="1:25">
      <c r="A129" s="1994" t="str">
        <f>A$72</f>
        <v>mismo mes</v>
      </c>
      <c r="B129" s="1991"/>
      <c r="C129" s="1991"/>
      <c r="D129" s="1991"/>
      <c r="E129" s="1991"/>
      <c r="F129" s="1991"/>
      <c r="G129" s="1991"/>
      <c r="H129" s="1991"/>
      <c r="I129" s="1991"/>
      <c r="J129" s="1991"/>
      <c r="K129" s="1991"/>
      <c r="L129" s="1991"/>
      <c r="M129" s="1991"/>
      <c r="N129" s="603">
        <f t="array" aca="1" ref="N129:Y129" ca="1">B21:M21*Produção!$N$9</f>
        <v>0</v>
      </c>
      <c r="O129" s="603">
        <f ca="1"/>
        <v>0</v>
      </c>
      <c r="P129" s="603">
        <f ca="1"/>
        <v>0</v>
      </c>
      <c r="Q129" s="603">
        <f ca="1"/>
        <v>0</v>
      </c>
      <c r="R129" s="603">
        <f ca="1"/>
        <v>0</v>
      </c>
      <c r="S129" s="603">
        <f ca="1"/>
        <v>0</v>
      </c>
      <c r="T129" s="603">
        <f ca="1"/>
        <v>0</v>
      </c>
      <c r="U129" s="603">
        <f ca="1"/>
        <v>0</v>
      </c>
      <c r="V129" s="603">
        <f ca="1"/>
        <v>0</v>
      </c>
      <c r="W129" s="603">
        <f ca="1"/>
        <v>0</v>
      </c>
      <c r="X129" s="603">
        <f ca="1"/>
        <v>0</v>
      </c>
      <c r="Y129" s="2006">
        <f ca="1"/>
        <v>0</v>
      </c>
    </row>
    <row r="130" spans="1:25">
      <c r="A130" s="1995" t="str">
        <f>A$73</f>
        <v>1 mes antes</v>
      </c>
      <c r="B130" s="1991"/>
      <c r="C130" s="1991"/>
      <c r="D130" s="1991"/>
      <c r="E130" s="1991"/>
      <c r="F130" s="1991"/>
      <c r="G130" s="1991"/>
      <c r="H130" s="1991"/>
      <c r="I130" s="1991"/>
      <c r="J130" s="1991"/>
      <c r="K130" s="1991"/>
      <c r="L130" s="1991"/>
      <c r="M130" s="603">
        <f t="array" aca="1" ref="M130:X130" ca="1">B21:M21*Produção!$M$9</f>
        <v>0</v>
      </c>
      <c r="N130" s="603">
        <f ca="1"/>
        <v>0</v>
      </c>
      <c r="O130" s="603">
        <f ca="1"/>
        <v>0</v>
      </c>
      <c r="P130" s="603">
        <f ca="1"/>
        <v>0</v>
      </c>
      <c r="Q130" s="603">
        <f ca="1"/>
        <v>0</v>
      </c>
      <c r="R130" s="603">
        <f ca="1"/>
        <v>0</v>
      </c>
      <c r="S130" s="603">
        <f ca="1"/>
        <v>0</v>
      </c>
      <c r="T130" s="603">
        <f ca="1"/>
        <v>0</v>
      </c>
      <c r="U130" s="603">
        <f ca="1"/>
        <v>0</v>
      </c>
      <c r="V130" s="603">
        <f ca="1"/>
        <v>0</v>
      </c>
      <c r="W130" s="603">
        <f ca="1"/>
        <v>0</v>
      </c>
      <c r="X130" s="603">
        <f ca="1"/>
        <v>0</v>
      </c>
      <c r="Y130" s="2007"/>
    </row>
    <row r="131" spans="1:25">
      <c r="A131" s="1995" t="str">
        <f>A$74</f>
        <v>2 meses antes</v>
      </c>
      <c r="B131" s="1991"/>
      <c r="C131" s="1991"/>
      <c r="D131" s="1991"/>
      <c r="E131" s="1991"/>
      <c r="F131" s="1991"/>
      <c r="G131" s="1991"/>
      <c r="H131" s="1991"/>
      <c r="I131" s="1991"/>
      <c r="J131" s="1991"/>
      <c r="K131" s="1991"/>
      <c r="L131" s="603">
        <f t="array" aca="1" ref="L131:W131" ca="1">B21:M21*Produção!$L$9</f>
        <v>0</v>
      </c>
      <c r="M131" s="603">
        <f ca="1"/>
        <v>0</v>
      </c>
      <c r="N131" s="603">
        <f ca="1"/>
        <v>0</v>
      </c>
      <c r="O131" s="603">
        <f ca="1"/>
        <v>0</v>
      </c>
      <c r="P131" s="603">
        <f ca="1"/>
        <v>0</v>
      </c>
      <c r="Q131" s="603">
        <f ca="1"/>
        <v>0</v>
      </c>
      <c r="R131" s="603">
        <f ca="1"/>
        <v>0</v>
      </c>
      <c r="S131" s="603">
        <f ca="1"/>
        <v>0</v>
      </c>
      <c r="T131" s="603">
        <f ca="1"/>
        <v>0</v>
      </c>
      <c r="U131" s="603">
        <f ca="1"/>
        <v>0</v>
      </c>
      <c r="V131" s="603">
        <f ca="1"/>
        <v>0</v>
      </c>
      <c r="W131" s="603">
        <f ca="1"/>
        <v>0</v>
      </c>
      <c r="X131" s="1991"/>
      <c r="Y131" s="2007"/>
    </row>
    <row r="132" spans="1:25">
      <c r="A132" s="1995" t="str">
        <f>A$75</f>
        <v>3 meses antes</v>
      </c>
      <c r="B132" s="1991"/>
      <c r="C132" s="1991"/>
      <c r="D132" s="1991"/>
      <c r="E132" s="1991"/>
      <c r="F132" s="1991"/>
      <c r="G132" s="1991"/>
      <c r="H132" s="1991"/>
      <c r="I132" s="1991"/>
      <c r="J132" s="1991"/>
      <c r="K132" s="603">
        <f t="array" aca="1" ref="K132:V132" ca="1">B21:M21*Produção!$K$9</f>
        <v>0</v>
      </c>
      <c r="L132" s="603">
        <f ca="1"/>
        <v>0</v>
      </c>
      <c r="M132" s="603">
        <f ca="1"/>
        <v>0</v>
      </c>
      <c r="N132" s="603">
        <f ca="1"/>
        <v>0</v>
      </c>
      <c r="O132" s="603">
        <f ca="1"/>
        <v>0</v>
      </c>
      <c r="P132" s="603">
        <f ca="1"/>
        <v>0</v>
      </c>
      <c r="Q132" s="603">
        <f ca="1"/>
        <v>0</v>
      </c>
      <c r="R132" s="603">
        <f ca="1"/>
        <v>0</v>
      </c>
      <c r="S132" s="603">
        <f ca="1"/>
        <v>0</v>
      </c>
      <c r="T132" s="603">
        <f ca="1"/>
        <v>0</v>
      </c>
      <c r="U132" s="603">
        <f ca="1"/>
        <v>0</v>
      </c>
      <c r="V132" s="603">
        <f ca="1"/>
        <v>0</v>
      </c>
      <c r="W132" s="1991"/>
      <c r="X132" s="1991"/>
      <c r="Y132" s="2007"/>
    </row>
    <row r="133" spans="1:25">
      <c r="A133" s="1995" t="str">
        <f>A$76</f>
        <v>4 meses antes</v>
      </c>
      <c r="B133" s="1991"/>
      <c r="C133" s="1991"/>
      <c r="D133" s="1991"/>
      <c r="E133" s="1991"/>
      <c r="F133" s="1991"/>
      <c r="G133" s="1991"/>
      <c r="H133" s="1991"/>
      <c r="I133" s="1991"/>
      <c r="J133" s="603">
        <f t="array" aca="1" ref="J133:U133" ca="1">B21:M21*Produção!$J$9</f>
        <v>0</v>
      </c>
      <c r="K133" s="603">
        <f ca="1"/>
        <v>0</v>
      </c>
      <c r="L133" s="603">
        <f ca="1"/>
        <v>0</v>
      </c>
      <c r="M133" s="603">
        <f ca="1"/>
        <v>0</v>
      </c>
      <c r="N133" s="603">
        <f ca="1"/>
        <v>0</v>
      </c>
      <c r="O133" s="603">
        <f ca="1"/>
        <v>0</v>
      </c>
      <c r="P133" s="603">
        <f ca="1"/>
        <v>0</v>
      </c>
      <c r="Q133" s="603">
        <f ca="1"/>
        <v>0</v>
      </c>
      <c r="R133" s="603">
        <f ca="1"/>
        <v>0</v>
      </c>
      <c r="S133" s="603">
        <f ca="1"/>
        <v>0</v>
      </c>
      <c r="T133" s="603">
        <f ca="1"/>
        <v>0</v>
      </c>
      <c r="U133" s="603">
        <f ca="1"/>
        <v>0</v>
      </c>
      <c r="V133" s="1991"/>
      <c r="W133" s="1991"/>
      <c r="X133" s="1991"/>
      <c r="Y133" s="2007"/>
    </row>
    <row r="134" spans="1:25">
      <c r="A134" s="1995" t="str">
        <f>A$77</f>
        <v>5 meses antes</v>
      </c>
      <c r="B134" s="1991"/>
      <c r="C134" s="1991"/>
      <c r="D134" s="1991"/>
      <c r="E134" s="1991"/>
      <c r="F134" s="1991"/>
      <c r="G134" s="1991"/>
      <c r="H134" s="1991"/>
      <c r="I134" s="603">
        <f t="array" aca="1" ref="I134:T134" ca="1">B21:M21*Produção!$I$9</f>
        <v>0</v>
      </c>
      <c r="J134" s="603">
        <f ca="1"/>
        <v>0</v>
      </c>
      <c r="K134" s="603">
        <f ca="1"/>
        <v>0</v>
      </c>
      <c r="L134" s="603">
        <f ca="1"/>
        <v>0</v>
      </c>
      <c r="M134" s="603">
        <f ca="1"/>
        <v>0</v>
      </c>
      <c r="N134" s="603">
        <f ca="1"/>
        <v>0</v>
      </c>
      <c r="O134" s="603">
        <f ca="1"/>
        <v>0</v>
      </c>
      <c r="P134" s="603">
        <f ca="1"/>
        <v>0</v>
      </c>
      <c r="Q134" s="603">
        <f ca="1"/>
        <v>0</v>
      </c>
      <c r="R134" s="603">
        <f ca="1"/>
        <v>0</v>
      </c>
      <c r="S134" s="603">
        <f ca="1"/>
        <v>0</v>
      </c>
      <c r="T134" s="603">
        <f ca="1"/>
        <v>0</v>
      </c>
      <c r="U134" s="1991"/>
      <c r="V134" s="1991"/>
      <c r="W134" s="1991"/>
      <c r="X134" s="1991"/>
      <c r="Y134" s="2007"/>
    </row>
    <row r="135" spans="1:25">
      <c r="A135" s="1995" t="str">
        <f>A$78</f>
        <v>6 meses antes</v>
      </c>
      <c r="B135" s="1991"/>
      <c r="C135" s="1991"/>
      <c r="D135" s="1991"/>
      <c r="E135" s="1991"/>
      <c r="F135" s="1991"/>
      <c r="G135" s="1991"/>
      <c r="H135" s="603">
        <f t="array" aca="1" ref="H135:S135" ca="1">B21:M21*Produção!$H$9</f>
        <v>0</v>
      </c>
      <c r="I135" s="603">
        <f ca="1"/>
        <v>0</v>
      </c>
      <c r="J135" s="603">
        <f ca="1"/>
        <v>0</v>
      </c>
      <c r="K135" s="603">
        <f ca="1"/>
        <v>0</v>
      </c>
      <c r="L135" s="603">
        <f ca="1"/>
        <v>0</v>
      </c>
      <c r="M135" s="603">
        <f ca="1"/>
        <v>0</v>
      </c>
      <c r="N135" s="603">
        <f ca="1"/>
        <v>0</v>
      </c>
      <c r="O135" s="603">
        <f ca="1"/>
        <v>0</v>
      </c>
      <c r="P135" s="603">
        <f ca="1"/>
        <v>0</v>
      </c>
      <c r="Q135" s="603">
        <f ca="1"/>
        <v>0</v>
      </c>
      <c r="R135" s="603">
        <f ca="1"/>
        <v>0</v>
      </c>
      <c r="S135" s="603">
        <f ca="1"/>
        <v>0</v>
      </c>
      <c r="T135" s="1991"/>
      <c r="U135" s="1991"/>
      <c r="V135" s="1991"/>
      <c r="W135" s="1991"/>
      <c r="X135" s="1991"/>
      <c r="Y135" s="2007"/>
    </row>
    <row r="136" spans="1:25">
      <c r="A136" s="1995" t="str">
        <f>A$79</f>
        <v>7 meses antes</v>
      </c>
      <c r="B136" s="1991"/>
      <c r="C136" s="1991"/>
      <c r="D136" s="1991"/>
      <c r="E136" s="1991"/>
      <c r="F136" s="1991"/>
      <c r="G136" s="603">
        <f t="array" aca="1" ref="G136:R136" ca="1">B21:M21*Produção!$G$9</f>
        <v>0</v>
      </c>
      <c r="H136" s="603">
        <f ca="1"/>
        <v>0</v>
      </c>
      <c r="I136" s="603">
        <f ca="1"/>
        <v>0</v>
      </c>
      <c r="J136" s="603">
        <f ca="1"/>
        <v>0</v>
      </c>
      <c r="K136" s="603">
        <f ca="1"/>
        <v>0</v>
      </c>
      <c r="L136" s="603">
        <f ca="1"/>
        <v>0</v>
      </c>
      <c r="M136" s="603">
        <f ca="1"/>
        <v>0</v>
      </c>
      <c r="N136" s="603">
        <f ca="1"/>
        <v>0</v>
      </c>
      <c r="O136" s="603">
        <f ca="1"/>
        <v>0</v>
      </c>
      <c r="P136" s="603">
        <f ca="1"/>
        <v>0</v>
      </c>
      <c r="Q136" s="603">
        <f ca="1"/>
        <v>0</v>
      </c>
      <c r="R136" s="603">
        <f ca="1"/>
        <v>0</v>
      </c>
      <c r="S136" s="1991"/>
      <c r="T136" s="1991"/>
      <c r="U136" s="1991"/>
      <c r="V136" s="1991"/>
      <c r="W136" s="1991"/>
      <c r="X136" s="1991"/>
      <c r="Y136" s="2007"/>
    </row>
    <row r="137" spans="1:25">
      <c r="A137" s="1995" t="str">
        <f>A$80</f>
        <v>8 meses antes</v>
      </c>
      <c r="B137" s="1991"/>
      <c r="C137" s="1991"/>
      <c r="D137" s="1991"/>
      <c r="E137" s="1991"/>
      <c r="F137" s="603">
        <f t="array" aca="1" ref="F137:Q137" ca="1">B21:M21*Produção!$F$9</f>
        <v>0</v>
      </c>
      <c r="G137" s="603">
        <f ca="1"/>
        <v>0</v>
      </c>
      <c r="H137" s="603">
        <f ca="1"/>
        <v>0</v>
      </c>
      <c r="I137" s="603">
        <f ca="1"/>
        <v>0</v>
      </c>
      <c r="J137" s="603">
        <f ca="1"/>
        <v>0</v>
      </c>
      <c r="K137" s="603">
        <f ca="1"/>
        <v>0</v>
      </c>
      <c r="L137" s="603">
        <f ca="1"/>
        <v>0</v>
      </c>
      <c r="M137" s="603">
        <f ca="1"/>
        <v>0</v>
      </c>
      <c r="N137" s="603">
        <f ca="1"/>
        <v>0</v>
      </c>
      <c r="O137" s="603">
        <f ca="1"/>
        <v>0</v>
      </c>
      <c r="P137" s="603">
        <f ca="1"/>
        <v>0</v>
      </c>
      <c r="Q137" s="603">
        <f ca="1"/>
        <v>0</v>
      </c>
      <c r="R137" s="1991"/>
      <c r="S137" s="1991"/>
      <c r="T137" s="1991"/>
      <c r="U137" s="1991"/>
      <c r="V137" s="1991"/>
      <c r="W137" s="1991"/>
      <c r="X137" s="1991"/>
      <c r="Y137" s="2007"/>
    </row>
    <row r="138" spans="1:25">
      <c r="A138" s="1995" t="str">
        <f>A$81</f>
        <v>9 meses antes</v>
      </c>
      <c r="B138" s="1991"/>
      <c r="C138" s="1991"/>
      <c r="D138" s="1991"/>
      <c r="E138" s="603">
        <f t="array" aca="1" ref="E138:P138" ca="1">B21:M21*Produção!$E$9</f>
        <v>0</v>
      </c>
      <c r="F138" s="603">
        <f ca="1"/>
        <v>0</v>
      </c>
      <c r="G138" s="603">
        <f ca="1"/>
        <v>0</v>
      </c>
      <c r="H138" s="603">
        <f ca="1"/>
        <v>0</v>
      </c>
      <c r="I138" s="603">
        <f ca="1"/>
        <v>0</v>
      </c>
      <c r="J138" s="603">
        <f ca="1"/>
        <v>0</v>
      </c>
      <c r="K138" s="603">
        <f ca="1"/>
        <v>0</v>
      </c>
      <c r="L138" s="603">
        <f ca="1"/>
        <v>0</v>
      </c>
      <c r="M138" s="603">
        <f ca="1"/>
        <v>0</v>
      </c>
      <c r="N138" s="603">
        <f ca="1"/>
        <v>0</v>
      </c>
      <c r="O138" s="603">
        <f ca="1"/>
        <v>0</v>
      </c>
      <c r="P138" s="603">
        <f ca="1"/>
        <v>0</v>
      </c>
      <c r="Q138" s="1991"/>
      <c r="R138" s="1991"/>
      <c r="S138" s="1991"/>
      <c r="T138" s="1991"/>
      <c r="U138" s="1991"/>
      <c r="V138" s="1991"/>
      <c r="W138" s="1991"/>
      <c r="X138" s="1991"/>
      <c r="Y138" s="2007"/>
    </row>
    <row r="139" spans="1:25">
      <c r="A139" s="1995" t="str">
        <f>A$82</f>
        <v>10 meses antes</v>
      </c>
      <c r="B139" s="1991"/>
      <c r="C139" s="1991"/>
      <c r="D139" s="603">
        <f t="array" aca="1" ref="D139:O139" ca="1">B21:M21*Produção!$D$9</f>
        <v>0</v>
      </c>
      <c r="E139" s="603">
        <f ca="1"/>
        <v>0</v>
      </c>
      <c r="F139" s="603">
        <f ca="1"/>
        <v>0</v>
      </c>
      <c r="G139" s="603">
        <f ca="1"/>
        <v>0</v>
      </c>
      <c r="H139" s="603">
        <f ca="1"/>
        <v>0</v>
      </c>
      <c r="I139" s="603">
        <f ca="1"/>
        <v>0</v>
      </c>
      <c r="J139" s="603">
        <f ca="1"/>
        <v>0</v>
      </c>
      <c r="K139" s="603">
        <f ca="1"/>
        <v>0</v>
      </c>
      <c r="L139" s="603">
        <f ca="1"/>
        <v>0</v>
      </c>
      <c r="M139" s="603">
        <f ca="1"/>
        <v>0</v>
      </c>
      <c r="N139" s="603">
        <f ca="1"/>
        <v>0</v>
      </c>
      <c r="O139" s="603">
        <f ca="1"/>
        <v>0</v>
      </c>
      <c r="P139" s="1991"/>
      <c r="Q139" s="1991"/>
      <c r="R139" s="1991"/>
      <c r="S139" s="1991"/>
      <c r="T139" s="1991"/>
      <c r="U139" s="1991"/>
      <c r="V139" s="1991"/>
      <c r="W139" s="1991"/>
      <c r="X139" s="1991"/>
      <c r="Y139" s="2007"/>
    </row>
    <row r="140" spans="1:25">
      <c r="A140" s="1995" t="str">
        <f>A$83</f>
        <v>11 meses antes</v>
      </c>
      <c r="B140" s="1991"/>
      <c r="C140" s="603">
        <f t="array" aca="1" ref="C140:N140" ca="1">B21:M21*Produção!$C$9</f>
        <v>0</v>
      </c>
      <c r="D140" s="603">
        <f ca="1"/>
        <v>0</v>
      </c>
      <c r="E140" s="603">
        <f ca="1"/>
        <v>0</v>
      </c>
      <c r="F140" s="603">
        <f ca="1"/>
        <v>0</v>
      </c>
      <c r="G140" s="603">
        <f ca="1"/>
        <v>0</v>
      </c>
      <c r="H140" s="603">
        <f ca="1"/>
        <v>0</v>
      </c>
      <c r="I140" s="603">
        <f ca="1"/>
        <v>0</v>
      </c>
      <c r="J140" s="603">
        <f ca="1"/>
        <v>0</v>
      </c>
      <c r="K140" s="603">
        <f ca="1"/>
        <v>0</v>
      </c>
      <c r="L140" s="603">
        <f ca="1"/>
        <v>0</v>
      </c>
      <c r="M140" s="603">
        <f ca="1"/>
        <v>0</v>
      </c>
      <c r="N140" s="603">
        <f ca="1"/>
        <v>0</v>
      </c>
      <c r="O140" s="1991"/>
      <c r="P140" s="1991"/>
      <c r="Q140" s="1991"/>
      <c r="R140" s="1991"/>
      <c r="S140" s="1991"/>
      <c r="T140" s="1991"/>
      <c r="U140" s="1991"/>
      <c r="V140" s="1991"/>
      <c r="W140" s="1991"/>
      <c r="X140" s="1991"/>
      <c r="Y140" s="2007"/>
    </row>
    <row r="141" spans="1:25" ht="13.5" thickBot="1">
      <c r="A141" s="1995" t="str">
        <f>A$84</f>
        <v>12 meses antes</v>
      </c>
      <c r="B141" s="603">
        <f t="array" aca="1" ref="B141:M141" ca="1">B21:M21*Produção!$B$9</f>
        <v>0</v>
      </c>
      <c r="C141" s="603">
        <f ca="1"/>
        <v>0</v>
      </c>
      <c r="D141" s="603">
        <f ca="1"/>
        <v>0</v>
      </c>
      <c r="E141" s="603">
        <f ca="1"/>
        <v>0</v>
      </c>
      <c r="F141" s="603">
        <f ca="1"/>
        <v>0</v>
      </c>
      <c r="G141" s="603">
        <f ca="1"/>
        <v>0</v>
      </c>
      <c r="H141" s="603">
        <f ca="1"/>
        <v>0</v>
      </c>
      <c r="I141" s="603">
        <f ca="1"/>
        <v>0</v>
      </c>
      <c r="J141" s="603">
        <f ca="1"/>
        <v>0</v>
      </c>
      <c r="K141" s="603">
        <f ca="1"/>
        <v>0</v>
      </c>
      <c r="L141" s="603">
        <f ca="1"/>
        <v>0</v>
      </c>
      <c r="M141" s="603">
        <f ca="1"/>
        <v>0</v>
      </c>
      <c r="N141" s="1991"/>
      <c r="O141" s="1991"/>
      <c r="P141" s="1991"/>
      <c r="Q141" s="1991"/>
      <c r="R141" s="1991"/>
      <c r="S141" s="1991"/>
      <c r="T141" s="1991"/>
      <c r="U141" s="1991"/>
      <c r="V141" s="1991"/>
      <c r="W141" s="1991"/>
      <c r="X141" s="1991"/>
      <c r="Y141" s="2007"/>
    </row>
    <row r="142" spans="1:25" ht="13.5" thickBot="1">
      <c r="A142" s="105" t="str">
        <f>"Totales CV "&amp;A$9</f>
        <v xml:space="preserve">Totales CV </v>
      </c>
      <c r="B142" s="607">
        <f t="shared" ref="B142:Y142" ca="1" si="13">SUM(B129:B141)</f>
        <v>0</v>
      </c>
      <c r="C142" s="607">
        <f t="shared" ca="1" si="13"/>
        <v>0</v>
      </c>
      <c r="D142" s="607">
        <f t="shared" ca="1" si="13"/>
        <v>0</v>
      </c>
      <c r="E142" s="607">
        <f t="shared" ca="1" si="13"/>
        <v>0</v>
      </c>
      <c r="F142" s="607">
        <f t="shared" ca="1" si="13"/>
        <v>0</v>
      </c>
      <c r="G142" s="607">
        <f t="shared" ca="1" si="13"/>
        <v>0</v>
      </c>
      <c r="H142" s="607">
        <f t="shared" ca="1" si="13"/>
        <v>0</v>
      </c>
      <c r="I142" s="607">
        <f t="shared" ca="1" si="13"/>
        <v>0</v>
      </c>
      <c r="J142" s="607">
        <f t="shared" ca="1" si="13"/>
        <v>0</v>
      </c>
      <c r="K142" s="607">
        <f t="shared" ca="1" si="13"/>
        <v>0</v>
      </c>
      <c r="L142" s="607">
        <f t="shared" ca="1" si="13"/>
        <v>0</v>
      </c>
      <c r="M142" s="607">
        <f t="shared" ca="1" si="13"/>
        <v>0</v>
      </c>
      <c r="N142" s="607">
        <f t="shared" ca="1" si="13"/>
        <v>0</v>
      </c>
      <c r="O142" s="607">
        <f t="shared" ca="1" si="13"/>
        <v>0</v>
      </c>
      <c r="P142" s="607">
        <f t="shared" ca="1" si="13"/>
        <v>0</v>
      </c>
      <c r="Q142" s="607">
        <f t="shared" ca="1" si="13"/>
        <v>0</v>
      </c>
      <c r="R142" s="607">
        <f t="shared" ca="1" si="13"/>
        <v>0</v>
      </c>
      <c r="S142" s="607">
        <f t="shared" ca="1" si="13"/>
        <v>0</v>
      </c>
      <c r="T142" s="607">
        <f t="shared" ca="1" si="13"/>
        <v>0</v>
      </c>
      <c r="U142" s="607">
        <f t="shared" ca="1" si="13"/>
        <v>0</v>
      </c>
      <c r="V142" s="607">
        <f t="shared" ca="1" si="13"/>
        <v>0</v>
      </c>
      <c r="W142" s="607">
        <f t="shared" ca="1" si="13"/>
        <v>0</v>
      </c>
      <c r="X142" s="607">
        <f t="shared" ca="1" si="13"/>
        <v>0</v>
      </c>
      <c r="Y142" s="2008">
        <f t="shared" ca="1" si="13"/>
        <v>0</v>
      </c>
    </row>
    <row r="143" spans="1:25" ht="13.5" thickBot="1">
      <c r="A143" s="105" t="str">
        <f>'Dados Básicos'!A28&amp;" sop. CV "&amp;$A$9</f>
        <v xml:space="preserve">IVA sop. CV </v>
      </c>
      <c r="B143" s="607">
        <f t="array" aca="1" ref="B143:Y143" ca="1">$K$127*B142:Y142</f>
        <v>0</v>
      </c>
      <c r="C143" s="607">
        <f ca="1"/>
        <v>0</v>
      </c>
      <c r="D143" s="607">
        <f ca="1"/>
        <v>0</v>
      </c>
      <c r="E143" s="607">
        <f ca="1"/>
        <v>0</v>
      </c>
      <c r="F143" s="607">
        <f ca="1"/>
        <v>0</v>
      </c>
      <c r="G143" s="607">
        <f ca="1"/>
        <v>0</v>
      </c>
      <c r="H143" s="607">
        <f ca="1"/>
        <v>0</v>
      </c>
      <c r="I143" s="607">
        <f ca="1"/>
        <v>0</v>
      </c>
      <c r="J143" s="607">
        <f ca="1"/>
        <v>0</v>
      </c>
      <c r="K143" s="607">
        <f ca="1"/>
        <v>0</v>
      </c>
      <c r="L143" s="607">
        <f ca="1"/>
        <v>0</v>
      </c>
      <c r="M143" s="607">
        <f ca="1"/>
        <v>0</v>
      </c>
      <c r="N143" s="607">
        <f ca="1"/>
        <v>0</v>
      </c>
      <c r="O143" s="607">
        <f ca="1"/>
        <v>0</v>
      </c>
      <c r="P143" s="607">
        <f ca="1"/>
        <v>0</v>
      </c>
      <c r="Q143" s="607">
        <f ca="1"/>
        <v>0</v>
      </c>
      <c r="R143" s="607">
        <f ca="1"/>
        <v>0</v>
      </c>
      <c r="S143" s="607">
        <f ca="1"/>
        <v>0</v>
      </c>
      <c r="T143" s="607">
        <f ca="1"/>
        <v>0</v>
      </c>
      <c r="U143" s="607">
        <f ca="1"/>
        <v>0</v>
      </c>
      <c r="V143" s="607">
        <f ca="1"/>
        <v>0</v>
      </c>
      <c r="W143" s="607">
        <f ca="1"/>
        <v>0</v>
      </c>
      <c r="X143" s="607">
        <f ca="1"/>
        <v>0</v>
      </c>
      <c r="Y143" s="2008">
        <f ca="1"/>
        <v>0</v>
      </c>
    </row>
    <row r="145" spans="1:25" ht="18.75" thickBot="1">
      <c r="A145" s="1993" t="str">
        <f>'Distr CV 0'!A145</f>
        <v xml:space="preserve">Compras / custos de producción por meses de </v>
      </c>
      <c r="I145" s="1993" t="str">
        <f>$I$109</f>
        <v>IVA NÃO incluido</v>
      </c>
      <c r="K145" s="2005">
        <f>Parametros!$F$26</f>
        <v>0.21</v>
      </c>
    </row>
    <row r="146" spans="1:25" ht="30" customHeight="1" thickBot="1">
      <c r="A146" s="457" t="str">
        <f>'Distr CV 0'!A146</f>
        <v>mes de compra / custo</v>
      </c>
      <c r="B146" s="2011" t="str">
        <f t="array" ref="B146:Y146">B$71:Y$71</f>
        <v>janeiro 
2030</v>
      </c>
      <c r="C146" s="2011" t="str">
        <v>fevereiro 
2030</v>
      </c>
      <c r="D146" s="2011" t="str">
        <v>março 
2030</v>
      </c>
      <c r="E146" s="2011" t="str">
        <v>abril 
2030</v>
      </c>
      <c r="F146" s="2011" t="str">
        <v>maio 
2030</v>
      </c>
      <c r="G146" s="2011" t="str">
        <v>junho 
2030</v>
      </c>
      <c r="H146" s="2011" t="str">
        <v>julho 
2030</v>
      </c>
      <c r="I146" s="2011" t="str">
        <v>agosto 
2030</v>
      </c>
      <c r="J146" s="2011" t="str">
        <v>setembro 
2030</v>
      </c>
      <c r="K146" s="2011" t="str">
        <v>outubro 
2030</v>
      </c>
      <c r="L146" s="2011" t="str">
        <v>novembro 
2030</v>
      </c>
      <c r="M146" s="2011" t="str">
        <v>dezembro 
2030</v>
      </c>
      <c r="N146" s="2737" t="str">
        <v>janeiro 
2031</v>
      </c>
      <c r="O146" s="2738" t="str">
        <v>fevereiro 
2031</v>
      </c>
      <c r="P146" s="2738" t="str">
        <v>março 
2031</v>
      </c>
      <c r="Q146" s="2738" t="str">
        <v>abril 
2031</v>
      </c>
      <c r="R146" s="2738" t="str">
        <v>maio 
2031</v>
      </c>
      <c r="S146" s="2738" t="str">
        <v>junho 
2031</v>
      </c>
      <c r="T146" s="2738" t="str">
        <v>julho 
2031</v>
      </c>
      <c r="U146" s="2738" t="str">
        <v>agosto 
2031</v>
      </c>
      <c r="V146" s="2738" t="str">
        <v>setembro 
2031</v>
      </c>
      <c r="W146" s="2738" t="str">
        <v>outubro 
2031</v>
      </c>
      <c r="X146" s="2738" t="str">
        <v>novembro 
2031</v>
      </c>
      <c r="Y146" s="2739" t="str">
        <v>dezembro 
2031</v>
      </c>
    </row>
    <row r="147" spans="1:25">
      <c r="A147" s="1994" t="str">
        <f>A$72</f>
        <v>mismo mes</v>
      </c>
      <c r="B147" s="1991"/>
      <c r="C147" s="1991"/>
      <c r="D147" s="1991"/>
      <c r="E147" s="1991"/>
      <c r="F147" s="1991"/>
      <c r="G147" s="1991"/>
      <c r="H147" s="1991"/>
      <c r="I147" s="1991"/>
      <c r="J147" s="1991"/>
      <c r="K147" s="1991"/>
      <c r="L147" s="1991"/>
      <c r="M147" s="1991"/>
      <c r="N147" s="603">
        <f t="array" aca="1" ref="N147:Y147" ca="1">B22:M22*Produção!$N$10</f>
        <v>0</v>
      </c>
      <c r="O147" s="603">
        <f ca="1"/>
        <v>0</v>
      </c>
      <c r="P147" s="603">
        <f ca="1"/>
        <v>0</v>
      </c>
      <c r="Q147" s="603">
        <f ca="1"/>
        <v>0</v>
      </c>
      <c r="R147" s="603">
        <f ca="1"/>
        <v>0</v>
      </c>
      <c r="S147" s="603">
        <f ca="1"/>
        <v>0</v>
      </c>
      <c r="T147" s="603">
        <f ca="1"/>
        <v>0</v>
      </c>
      <c r="U147" s="603">
        <f ca="1"/>
        <v>0</v>
      </c>
      <c r="V147" s="603">
        <f ca="1"/>
        <v>0</v>
      </c>
      <c r="W147" s="603">
        <f ca="1"/>
        <v>0</v>
      </c>
      <c r="X147" s="603">
        <f ca="1"/>
        <v>0</v>
      </c>
      <c r="Y147" s="2006">
        <f ca="1"/>
        <v>0</v>
      </c>
    </row>
    <row r="148" spans="1:25">
      <c r="A148" s="1995" t="str">
        <f>A$73</f>
        <v>1 mes antes</v>
      </c>
      <c r="B148" s="1991"/>
      <c r="C148" s="1991"/>
      <c r="D148" s="1991"/>
      <c r="E148" s="1991"/>
      <c r="F148" s="1991"/>
      <c r="G148" s="1991"/>
      <c r="H148" s="1991"/>
      <c r="I148" s="1991"/>
      <c r="J148" s="1991"/>
      <c r="K148" s="1991"/>
      <c r="L148" s="1991"/>
      <c r="M148" s="603">
        <f t="array" aca="1" ref="M148:X148" ca="1">B22:M22*Produção!$M$10</f>
        <v>0</v>
      </c>
      <c r="N148" s="603">
        <f ca="1"/>
        <v>0</v>
      </c>
      <c r="O148" s="603">
        <f ca="1"/>
        <v>0</v>
      </c>
      <c r="P148" s="603">
        <f ca="1"/>
        <v>0</v>
      </c>
      <c r="Q148" s="603">
        <f ca="1"/>
        <v>0</v>
      </c>
      <c r="R148" s="603">
        <f ca="1"/>
        <v>0</v>
      </c>
      <c r="S148" s="603">
        <f ca="1"/>
        <v>0</v>
      </c>
      <c r="T148" s="603">
        <f ca="1"/>
        <v>0</v>
      </c>
      <c r="U148" s="603">
        <f ca="1"/>
        <v>0</v>
      </c>
      <c r="V148" s="603">
        <f ca="1"/>
        <v>0</v>
      </c>
      <c r="W148" s="603">
        <f ca="1"/>
        <v>0</v>
      </c>
      <c r="X148" s="603">
        <f ca="1"/>
        <v>0</v>
      </c>
      <c r="Y148" s="2007"/>
    </row>
    <row r="149" spans="1:25">
      <c r="A149" s="1995" t="str">
        <f>A$74</f>
        <v>2 meses antes</v>
      </c>
      <c r="B149" s="1991"/>
      <c r="C149" s="1991"/>
      <c r="D149" s="1991"/>
      <c r="E149" s="1991"/>
      <c r="F149" s="1991"/>
      <c r="G149" s="1991"/>
      <c r="H149" s="1991"/>
      <c r="I149" s="1991"/>
      <c r="J149" s="1991"/>
      <c r="K149" s="1991"/>
      <c r="L149" s="603">
        <f t="array" aca="1" ref="L149:W149" ca="1">B22:M22*Produção!$L$10</f>
        <v>0</v>
      </c>
      <c r="M149" s="603">
        <f ca="1"/>
        <v>0</v>
      </c>
      <c r="N149" s="603">
        <f ca="1"/>
        <v>0</v>
      </c>
      <c r="O149" s="603">
        <f ca="1"/>
        <v>0</v>
      </c>
      <c r="P149" s="603">
        <f ca="1"/>
        <v>0</v>
      </c>
      <c r="Q149" s="603">
        <f ca="1"/>
        <v>0</v>
      </c>
      <c r="R149" s="603">
        <f ca="1"/>
        <v>0</v>
      </c>
      <c r="S149" s="603">
        <f ca="1"/>
        <v>0</v>
      </c>
      <c r="T149" s="603">
        <f ca="1"/>
        <v>0</v>
      </c>
      <c r="U149" s="603">
        <f ca="1"/>
        <v>0</v>
      </c>
      <c r="V149" s="603">
        <f ca="1"/>
        <v>0</v>
      </c>
      <c r="W149" s="603">
        <f ca="1"/>
        <v>0</v>
      </c>
      <c r="X149" s="1991"/>
      <c r="Y149" s="2007"/>
    </row>
    <row r="150" spans="1:25">
      <c r="A150" s="1995" t="str">
        <f>A$75</f>
        <v>3 meses antes</v>
      </c>
      <c r="B150" s="1991"/>
      <c r="C150" s="1991"/>
      <c r="D150" s="1991"/>
      <c r="E150" s="1991"/>
      <c r="F150" s="1991"/>
      <c r="G150" s="1991"/>
      <c r="H150" s="1991"/>
      <c r="I150" s="1991"/>
      <c r="J150" s="1991"/>
      <c r="K150" s="603">
        <f t="array" aca="1" ref="K150:V150" ca="1">B22:M22*Produção!$K$10</f>
        <v>0</v>
      </c>
      <c r="L150" s="603">
        <f ca="1"/>
        <v>0</v>
      </c>
      <c r="M150" s="603">
        <f ca="1"/>
        <v>0</v>
      </c>
      <c r="N150" s="603">
        <f ca="1"/>
        <v>0</v>
      </c>
      <c r="O150" s="603">
        <f ca="1"/>
        <v>0</v>
      </c>
      <c r="P150" s="603">
        <f ca="1"/>
        <v>0</v>
      </c>
      <c r="Q150" s="603">
        <f ca="1"/>
        <v>0</v>
      </c>
      <c r="R150" s="603">
        <f ca="1"/>
        <v>0</v>
      </c>
      <c r="S150" s="603">
        <f ca="1"/>
        <v>0</v>
      </c>
      <c r="T150" s="603">
        <f ca="1"/>
        <v>0</v>
      </c>
      <c r="U150" s="603">
        <f ca="1"/>
        <v>0</v>
      </c>
      <c r="V150" s="603">
        <f ca="1"/>
        <v>0</v>
      </c>
      <c r="W150" s="1991"/>
      <c r="X150" s="1991"/>
      <c r="Y150" s="2007"/>
    </row>
    <row r="151" spans="1:25">
      <c r="A151" s="1995" t="str">
        <f>A$76</f>
        <v>4 meses antes</v>
      </c>
      <c r="B151" s="1991"/>
      <c r="C151" s="1991"/>
      <c r="D151" s="1991"/>
      <c r="E151" s="1991"/>
      <c r="F151" s="1991"/>
      <c r="G151" s="1991"/>
      <c r="H151" s="1991"/>
      <c r="I151" s="1991"/>
      <c r="J151" s="603">
        <f t="array" aca="1" ref="J151:U151" ca="1">B22:M22*Produção!$J$10</f>
        <v>0</v>
      </c>
      <c r="K151" s="603">
        <f ca="1"/>
        <v>0</v>
      </c>
      <c r="L151" s="603">
        <f ca="1"/>
        <v>0</v>
      </c>
      <c r="M151" s="603">
        <f ca="1"/>
        <v>0</v>
      </c>
      <c r="N151" s="603">
        <f ca="1"/>
        <v>0</v>
      </c>
      <c r="O151" s="603">
        <f ca="1"/>
        <v>0</v>
      </c>
      <c r="P151" s="603">
        <f ca="1"/>
        <v>0</v>
      </c>
      <c r="Q151" s="603">
        <f ca="1"/>
        <v>0</v>
      </c>
      <c r="R151" s="603">
        <f ca="1"/>
        <v>0</v>
      </c>
      <c r="S151" s="603">
        <f ca="1"/>
        <v>0</v>
      </c>
      <c r="T151" s="603">
        <f ca="1"/>
        <v>0</v>
      </c>
      <c r="U151" s="603">
        <f ca="1"/>
        <v>0</v>
      </c>
      <c r="V151" s="1991"/>
      <c r="W151" s="1991"/>
      <c r="X151" s="1991"/>
      <c r="Y151" s="2007"/>
    </row>
    <row r="152" spans="1:25">
      <c r="A152" s="1995" t="str">
        <f>A$77</f>
        <v>5 meses antes</v>
      </c>
      <c r="B152" s="1991"/>
      <c r="C152" s="1991"/>
      <c r="D152" s="1991"/>
      <c r="E152" s="1991"/>
      <c r="F152" s="1991"/>
      <c r="G152" s="1991"/>
      <c r="H152" s="1991"/>
      <c r="I152" s="603">
        <f t="array" aca="1" ref="I152:T152" ca="1">B22:M22*Produção!$I$10</f>
        <v>0</v>
      </c>
      <c r="J152" s="603">
        <f ca="1"/>
        <v>0</v>
      </c>
      <c r="K152" s="603">
        <f ca="1"/>
        <v>0</v>
      </c>
      <c r="L152" s="603">
        <f ca="1"/>
        <v>0</v>
      </c>
      <c r="M152" s="603">
        <f ca="1"/>
        <v>0</v>
      </c>
      <c r="N152" s="603">
        <f ca="1"/>
        <v>0</v>
      </c>
      <c r="O152" s="603">
        <f ca="1"/>
        <v>0</v>
      </c>
      <c r="P152" s="603">
        <f ca="1"/>
        <v>0</v>
      </c>
      <c r="Q152" s="603">
        <f ca="1"/>
        <v>0</v>
      </c>
      <c r="R152" s="603">
        <f ca="1"/>
        <v>0</v>
      </c>
      <c r="S152" s="603">
        <f ca="1"/>
        <v>0</v>
      </c>
      <c r="T152" s="603">
        <f ca="1"/>
        <v>0</v>
      </c>
      <c r="U152" s="1991"/>
      <c r="V152" s="1991"/>
      <c r="W152" s="1991"/>
      <c r="X152" s="1991"/>
      <c r="Y152" s="2007"/>
    </row>
    <row r="153" spans="1:25">
      <c r="A153" s="1995" t="str">
        <f>A$78</f>
        <v>6 meses antes</v>
      </c>
      <c r="B153" s="1991"/>
      <c r="C153" s="1991"/>
      <c r="D153" s="1991"/>
      <c r="E153" s="1991"/>
      <c r="F153" s="1991"/>
      <c r="G153" s="1991"/>
      <c r="H153" s="603">
        <f t="array" aca="1" ref="H153:S153" ca="1">B22:M22*Produção!$H$10</f>
        <v>0</v>
      </c>
      <c r="I153" s="603">
        <f ca="1"/>
        <v>0</v>
      </c>
      <c r="J153" s="603">
        <f ca="1"/>
        <v>0</v>
      </c>
      <c r="K153" s="603">
        <f ca="1"/>
        <v>0</v>
      </c>
      <c r="L153" s="603">
        <f ca="1"/>
        <v>0</v>
      </c>
      <c r="M153" s="603">
        <f ca="1"/>
        <v>0</v>
      </c>
      <c r="N153" s="603">
        <f ca="1"/>
        <v>0</v>
      </c>
      <c r="O153" s="603">
        <f ca="1"/>
        <v>0</v>
      </c>
      <c r="P153" s="603">
        <f ca="1"/>
        <v>0</v>
      </c>
      <c r="Q153" s="603">
        <f ca="1"/>
        <v>0</v>
      </c>
      <c r="R153" s="603">
        <f ca="1"/>
        <v>0</v>
      </c>
      <c r="S153" s="603">
        <f ca="1"/>
        <v>0</v>
      </c>
      <c r="T153" s="1991"/>
      <c r="U153" s="1991"/>
      <c r="V153" s="1991"/>
      <c r="W153" s="1991"/>
      <c r="X153" s="1991"/>
      <c r="Y153" s="2007"/>
    </row>
    <row r="154" spans="1:25">
      <c r="A154" s="1995" t="str">
        <f>A$79</f>
        <v>7 meses antes</v>
      </c>
      <c r="B154" s="1991"/>
      <c r="C154" s="1991"/>
      <c r="D154" s="1991"/>
      <c r="E154" s="1991"/>
      <c r="F154" s="1991"/>
      <c r="G154" s="603">
        <f t="array" aca="1" ref="G154:R154" ca="1">B22:M22*Produção!$G$10</f>
        <v>0</v>
      </c>
      <c r="H154" s="603">
        <f ca="1"/>
        <v>0</v>
      </c>
      <c r="I154" s="603">
        <f ca="1"/>
        <v>0</v>
      </c>
      <c r="J154" s="603">
        <f ca="1"/>
        <v>0</v>
      </c>
      <c r="K154" s="603">
        <f ca="1"/>
        <v>0</v>
      </c>
      <c r="L154" s="603">
        <f ca="1"/>
        <v>0</v>
      </c>
      <c r="M154" s="603">
        <f ca="1"/>
        <v>0</v>
      </c>
      <c r="N154" s="603">
        <f ca="1"/>
        <v>0</v>
      </c>
      <c r="O154" s="603">
        <f ca="1"/>
        <v>0</v>
      </c>
      <c r="P154" s="603">
        <f ca="1"/>
        <v>0</v>
      </c>
      <c r="Q154" s="603">
        <f ca="1"/>
        <v>0</v>
      </c>
      <c r="R154" s="603">
        <f ca="1"/>
        <v>0</v>
      </c>
      <c r="S154" s="1991"/>
      <c r="T154" s="1991"/>
      <c r="U154" s="1991"/>
      <c r="V154" s="1991"/>
      <c r="W154" s="1991"/>
      <c r="X154" s="1991"/>
      <c r="Y154" s="2007"/>
    </row>
    <row r="155" spans="1:25">
      <c r="A155" s="1995" t="str">
        <f>A$80</f>
        <v>8 meses antes</v>
      </c>
      <c r="B155" s="1991"/>
      <c r="C155" s="1991"/>
      <c r="D155" s="1991"/>
      <c r="E155" s="1991"/>
      <c r="F155" s="603">
        <f t="array" aca="1" ref="F155:Q155" ca="1">B22:M22*Produção!$F$10</f>
        <v>0</v>
      </c>
      <c r="G155" s="603">
        <f ca="1"/>
        <v>0</v>
      </c>
      <c r="H155" s="603">
        <f ca="1"/>
        <v>0</v>
      </c>
      <c r="I155" s="603">
        <f ca="1"/>
        <v>0</v>
      </c>
      <c r="J155" s="603">
        <f ca="1"/>
        <v>0</v>
      </c>
      <c r="K155" s="603">
        <f ca="1"/>
        <v>0</v>
      </c>
      <c r="L155" s="603">
        <f ca="1"/>
        <v>0</v>
      </c>
      <c r="M155" s="603">
        <f ca="1"/>
        <v>0</v>
      </c>
      <c r="N155" s="603">
        <f ca="1"/>
        <v>0</v>
      </c>
      <c r="O155" s="603">
        <f ca="1"/>
        <v>0</v>
      </c>
      <c r="P155" s="603">
        <f ca="1"/>
        <v>0</v>
      </c>
      <c r="Q155" s="603">
        <f ca="1"/>
        <v>0</v>
      </c>
      <c r="R155" s="1991"/>
      <c r="S155" s="1991"/>
      <c r="T155" s="1991"/>
      <c r="U155" s="1991"/>
      <c r="V155" s="1991"/>
      <c r="W155" s="1991"/>
      <c r="X155" s="1991"/>
      <c r="Y155" s="2007"/>
    </row>
    <row r="156" spans="1:25">
      <c r="A156" s="1995" t="str">
        <f>A$81</f>
        <v>9 meses antes</v>
      </c>
      <c r="B156" s="1991"/>
      <c r="C156" s="1991"/>
      <c r="D156" s="1991"/>
      <c r="E156" s="603">
        <f t="array" aca="1" ref="E156:P156" ca="1">B22:M22*Produção!$E$10</f>
        <v>0</v>
      </c>
      <c r="F156" s="603">
        <f ca="1"/>
        <v>0</v>
      </c>
      <c r="G156" s="603">
        <f ca="1"/>
        <v>0</v>
      </c>
      <c r="H156" s="603">
        <f ca="1"/>
        <v>0</v>
      </c>
      <c r="I156" s="603">
        <f ca="1"/>
        <v>0</v>
      </c>
      <c r="J156" s="603">
        <f ca="1"/>
        <v>0</v>
      </c>
      <c r="K156" s="603">
        <f ca="1"/>
        <v>0</v>
      </c>
      <c r="L156" s="603">
        <f ca="1"/>
        <v>0</v>
      </c>
      <c r="M156" s="603">
        <f ca="1"/>
        <v>0</v>
      </c>
      <c r="N156" s="603">
        <f ca="1"/>
        <v>0</v>
      </c>
      <c r="O156" s="603">
        <f ca="1"/>
        <v>0</v>
      </c>
      <c r="P156" s="603">
        <f ca="1"/>
        <v>0</v>
      </c>
      <c r="Q156" s="1991"/>
      <c r="R156" s="1991"/>
      <c r="S156" s="1991"/>
      <c r="T156" s="1991"/>
      <c r="U156" s="1991"/>
      <c r="V156" s="1991"/>
      <c r="W156" s="1991"/>
      <c r="X156" s="1991"/>
      <c r="Y156" s="2007"/>
    </row>
    <row r="157" spans="1:25">
      <c r="A157" s="1995" t="str">
        <f>A$82</f>
        <v>10 meses antes</v>
      </c>
      <c r="B157" s="1991"/>
      <c r="C157" s="1991"/>
      <c r="D157" s="603">
        <f t="array" aca="1" ref="D157:O157" ca="1">B22:M22*Produção!$D$10</f>
        <v>0</v>
      </c>
      <c r="E157" s="603">
        <f ca="1"/>
        <v>0</v>
      </c>
      <c r="F157" s="603">
        <f ca="1"/>
        <v>0</v>
      </c>
      <c r="G157" s="603">
        <f ca="1"/>
        <v>0</v>
      </c>
      <c r="H157" s="603">
        <f ca="1"/>
        <v>0</v>
      </c>
      <c r="I157" s="603">
        <f ca="1"/>
        <v>0</v>
      </c>
      <c r="J157" s="603">
        <f ca="1"/>
        <v>0</v>
      </c>
      <c r="K157" s="603">
        <f ca="1"/>
        <v>0</v>
      </c>
      <c r="L157" s="603">
        <f ca="1"/>
        <v>0</v>
      </c>
      <c r="M157" s="603">
        <f ca="1"/>
        <v>0</v>
      </c>
      <c r="N157" s="603">
        <f ca="1"/>
        <v>0</v>
      </c>
      <c r="O157" s="603">
        <f ca="1"/>
        <v>0</v>
      </c>
      <c r="P157" s="1991"/>
      <c r="Q157" s="1991"/>
      <c r="R157" s="1991"/>
      <c r="S157" s="1991"/>
      <c r="T157" s="1991"/>
      <c r="U157" s="1991"/>
      <c r="V157" s="1991"/>
      <c r="W157" s="1991"/>
      <c r="X157" s="1991"/>
      <c r="Y157" s="2007"/>
    </row>
    <row r="158" spans="1:25">
      <c r="A158" s="1995" t="str">
        <f>A$83</f>
        <v>11 meses antes</v>
      </c>
      <c r="B158" s="1991"/>
      <c r="C158" s="603">
        <f t="array" aca="1" ref="C158:N158" ca="1">B22:M22*Produção!$C$10</f>
        <v>0</v>
      </c>
      <c r="D158" s="603">
        <f ca="1"/>
        <v>0</v>
      </c>
      <c r="E158" s="603">
        <f ca="1"/>
        <v>0</v>
      </c>
      <c r="F158" s="603">
        <f ca="1"/>
        <v>0</v>
      </c>
      <c r="G158" s="603">
        <f ca="1"/>
        <v>0</v>
      </c>
      <c r="H158" s="603">
        <f ca="1"/>
        <v>0</v>
      </c>
      <c r="I158" s="603">
        <f ca="1"/>
        <v>0</v>
      </c>
      <c r="J158" s="603">
        <f ca="1"/>
        <v>0</v>
      </c>
      <c r="K158" s="603">
        <f ca="1"/>
        <v>0</v>
      </c>
      <c r="L158" s="603">
        <f ca="1"/>
        <v>0</v>
      </c>
      <c r="M158" s="603">
        <f ca="1"/>
        <v>0</v>
      </c>
      <c r="N158" s="603">
        <f ca="1"/>
        <v>0</v>
      </c>
      <c r="O158" s="1991"/>
      <c r="P158" s="1991"/>
      <c r="Q158" s="1991"/>
      <c r="R158" s="1991"/>
      <c r="S158" s="1991"/>
      <c r="T158" s="1991"/>
      <c r="U158" s="1991"/>
      <c r="V158" s="1991"/>
      <c r="W158" s="1991"/>
      <c r="X158" s="1991"/>
      <c r="Y158" s="2007"/>
    </row>
    <row r="159" spans="1:25" ht="13.5" thickBot="1">
      <c r="A159" s="1995" t="str">
        <f>A$84</f>
        <v>12 meses antes</v>
      </c>
      <c r="B159" s="603">
        <f t="array" aca="1" ref="B159:M159" ca="1">B22:M22*Produção!$B$10</f>
        <v>0</v>
      </c>
      <c r="C159" s="603">
        <f ca="1"/>
        <v>0</v>
      </c>
      <c r="D159" s="603">
        <f ca="1"/>
        <v>0</v>
      </c>
      <c r="E159" s="603">
        <f ca="1"/>
        <v>0</v>
      </c>
      <c r="F159" s="603">
        <f ca="1"/>
        <v>0</v>
      </c>
      <c r="G159" s="603">
        <f ca="1"/>
        <v>0</v>
      </c>
      <c r="H159" s="603">
        <f ca="1"/>
        <v>0</v>
      </c>
      <c r="I159" s="603">
        <f ca="1"/>
        <v>0</v>
      </c>
      <c r="J159" s="603">
        <f ca="1"/>
        <v>0</v>
      </c>
      <c r="K159" s="603">
        <f ca="1"/>
        <v>0</v>
      </c>
      <c r="L159" s="603">
        <f ca="1"/>
        <v>0</v>
      </c>
      <c r="M159" s="603">
        <f ca="1"/>
        <v>0</v>
      </c>
      <c r="N159" s="1991"/>
      <c r="O159" s="1991"/>
      <c r="P159" s="1991"/>
      <c r="Q159" s="1991"/>
      <c r="R159" s="1991"/>
      <c r="S159" s="1991"/>
      <c r="T159" s="1991"/>
      <c r="U159" s="1991"/>
      <c r="V159" s="1991"/>
      <c r="W159" s="1991"/>
      <c r="X159" s="1991"/>
      <c r="Y159" s="2007"/>
    </row>
    <row r="160" spans="1:25" ht="13.5" thickBot="1">
      <c r="A160" s="105" t="str">
        <f>"Totales CV "&amp;A$10</f>
        <v xml:space="preserve">Totales CV </v>
      </c>
      <c r="B160" s="607">
        <f t="shared" ref="B160:Y160" ca="1" si="14">SUM(B147:B159)</f>
        <v>0</v>
      </c>
      <c r="C160" s="607">
        <f t="shared" ca="1" si="14"/>
        <v>0</v>
      </c>
      <c r="D160" s="607">
        <f t="shared" ca="1" si="14"/>
        <v>0</v>
      </c>
      <c r="E160" s="607">
        <f t="shared" ca="1" si="14"/>
        <v>0</v>
      </c>
      <c r="F160" s="607">
        <f t="shared" ca="1" si="14"/>
        <v>0</v>
      </c>
      <c r="G160" s="607">
        <f t="shared" ca="1" si="14"/>
        <v>0</v>
      </c>
      <c r="H160" s="607">
        <f t="shared" ca="1" si="14"/>
        <v>0</v>
      </c>
      <c r="I160" s="607">
        <f t="shared" ca="1" si="14"/>
        <v>0</v>
      </c>
      <c r="J160" s="607">
        <f t="shared" ca="1" si="14"/>
        <v>0</v>
      </c>
      <c r="K160" s="607">
        <f t="shared" ca="1" si="14"/>
        <v>0</v>
      </c>
      <c r="L160" s="607">
        <f t="shared" ca="1" si="14"/>
        <v>0</v>
      </c>
      <c r="M160" s="607">
        <f t="shared" ca="1" si="14"/>
        <v>0</v>
      </c>
      <c r="N160" s="607">
        <f t="shared" ca="1" si="14"/>
        <v>0</v>
      </c>
      <c r="O160" s="607">
        <f t="shared" ca="1" si="14"/>
        <v>0</v>
      </c>
      <c r="P160" s="607">
        <f t="shared" ca="1" si="14"/>
        <v>0</v>
      </c>
      <c r="Q160" s="607">
        <f t="shared" ca="1" si="14"/>
        <v>0</v>
      </c>
      <c r="R160" s="607">
        <f t="shared" ca="1" si="14"/>
        <v>0</v>
      </c>
      <c r="S160" s="607">
        <f t="shared" ca="1" si="14"/>
        <v>0</v>
      </c>
      <c r="T160" s="607">
        <f t="shared" ca="1" si="14"/>
        <v>0</v>
      </c>
      <c r="U160" s="607">
        <f t="shared" ca="1" si="14"/>
        <v>0</v>
      </c>
      <c r="V160" s="607">
        <f t="shared" ca="1" si="14"/>
        <v>0</v>
      </c>
      <c r="W160" s="607">
        <f t="shared" ca="1" si="14"/>
        <v>0</v>
      </c>
      <c r="X160" s="607">
        <f t="shared" ca="1" si="14"/>
        <v>0</v>
      </c>
      <c r="Y160" s="2008">
        <f t="shared" ca="1" si="14"/>
        <v>0</v>
      </c>
    </row>
    <row r="161" spans="1:25" ht="13.5" thickBot="1">
      <c r="A161" s="105" t="str">
        <f>'Dados Básicos'!A28&amp;" sop. CV "&amp;$A$10</f>
        <v xml:space="preserve">IVA sop. CV </v>
      </c>
      <c r="B161" s="607">
        <f t="array" aca="1" ref="B161:Y161" ca="1">$K$145*B160:Y160</f>
        <v>0</v>
      </c>
      <c r="C161" s="607">
        <f ca="1"/>
        <v>0</v>
      </c>
      <c r="D161" s="607">
        <f ca="1"/>
        <v>0</v>
      </c>
      <c r="E161" s="607">
        <f ca="1"/>
        <v>0</v>
      </c>
      <c r="F161" s="607">
        <f ca="1"/>
        <v>0</v>
      </c>
      <c r="G161" s="607">
        <f ca="1"/>
        <v>0</v>
      </c>
      <c r="H161" s="607">
        <f ca="1"/>
        <v>0</v>
      </c>
      <c r="I161" s="607">
        <f ca="1"/>
        <v>0</v>
      </c>
      <c r="J161" s="607">
        <f ca="1"/>
        <v>0</v>
      </c>
      <c r="K161" s="607">
        <f ca="1"/>
        <v>0</v>
      </c>
      <c r="L161" s="607">
        <f ca="1"/>
        <v>0</v>
      </c>
      <c r="M161" s="607">
        <f ca="1"/>
        <v>0</v>
      </c>
      <c r="N161" s="607">
        <f ca="1"/>
        <v>0</v>
      </c>
      <c r="O161" s="607">
        <f ca="1"/>
        <v>0</v>
      </c>
      <c r="P161" s="607">
        <f ca="1"/>
        <v>0</v>
      </c>
      <c r="Q161" s="607">
        <f ca="1"/>
        <v>0</v>
      </c>
      <c r="R161" s="607">
        <f ca="1"/>
        <v>0</v>
      </c>
      <c r="S161" s="607">
        <f ca="1"/>
        <v>0</v>
      </c>
      <c r="T161" s="607">
        <f ca="1"/>
        <v>0</v>
      </c>
      <c r="U161" s="607">
        <f ca="1"/>
        <v>0</v>
      </c>
      <c r="V161" s="607">
        <f ca="1"/>
        <v>0</v>
      </c>
      <c r="W161" s="607">
        <f ca="1"/>
        <v>0</v>
      </c>
      <c r="X161" s="607">
        <f ca="1"/>
        <v>0</v>
      </c>
      <c r="Y161" s="2008">
        <f ca="1"/>
        <v>0</v>
      </c>
    </row>
    <row r="163" spans="1:25" ht="18.75" thickBot="1">
      <c r="A163" s="1993" t="str">
        <f>'Distr CV 0'!A163</f>
        <v xml:space="preserve">Compras / custos de producción por meses de </v>
      </c>
      <c r="I163" s="1993" t="str">
        <f>$I$109</f>
        <v>IVA NÃO incluido</v>
      </c>
      <c r="K163" s="2005">
        <f>Parametros!$F$27</f>
        <v>0.21</v>
      </c>
    </row>
    <row r="164" spans="1:25" ht="30" customHeight="1" thickBot="1">
      <c r="A164" s="457" t="str">
        <f>'Distr CV 0'!A164</f>
        <v>mes de compra / custo</v>
      </c>
      <c r="B164" s="2011" t="str">
        <f t="array" ref="B164:Y164">B$71:Y$71</f>
        <v>janeiro 
2030</v>
      </c>
      <c r="C164" s="2011" t="str">
        <v>fevereiro 
2030</v>
      </c>
      <c r="D164" s="2011" t="str">
        <v>março 
2030</v>
      </c>
      <c r="E164" s="2011" t="str">
        <v>abril 
2030</v>
      </c>
      <c r="F164" s="2011" t="str">
        <v>maio 
2030</v>
      </c>
      <c r="G164" s="2011" t="str">
        <v>junho 
2030</v>
      </c>
      <c r="H164" s="2011" t="str">
        <v>julho 
2030</v>
      </c>
      <c r="I164" s="2011" t="str">
        <v>agosto 
2030</v>
      </c>
      <c r="J164" s="2011" t="str">
        <v>setembro 
2030</v>
      </c>
      <c r="K164" s="2011" t="str">
        <v>outubro 
2030</v>
      </c>
      <c r="L164" s="2011" t="str">
        <v>novembro 
2030</v>
      </c>
      <c r="M164" s="2011" t="str">
        <v>dezembro 
2030</v>
      </c>
      <c r="N164" s="2737" t="str">
        <v>janeiro 
2031</v>
      </c>
      <c r="O164" s="2738" t="str">
        <v>fevereiro 
2031</v>
      </c>
      <c r="P164" s="2738" t="str">
        <v>março 
2031</v>
      </c>
      <c r="Q164" s="2738" t="str">
        <v>abril 
2031</v>
      </c>
      <c r="R164" s="2738" t="str">
        <v>maio 
2031</v>
      </c>
      <c r="S164" s="2738" t="str">
        <v>junho 
2031</v>
      </c>
      <c r="T164" s="2738" t="str">
        <v>julho 
2031</v>
      </c>
      <c r="U164" s="2738" t="str">
        <v>agosto 
2031</v>
      </c>
      <c r="V164" s="2738" t="str">
        <v>setembro 
2031</v>
      </c>
      <c r="W164" s="2738" t="str">
        <v>outubro 
2031</v>
      </c>
      <c r="X164" s="2738" t="str">
        <v>novembro 
2031</v>
      </c>
      <c r="Y164" s="2739" t="str">
        <v>dezembro 
2031</v>
      </c>
    </row>
    <row r="165" spans="1:25">
      <c r="A165" s="1994" t="str">
        <f>A$72</f>
        <v>mismo mes</v>
      </c>
      <c r="B165" s="1991"/>
      <c r="C165" s="1991"/>
      <c r="D165" s="1991"/>
      <c r="E165" s="1991"/>
      <c r="F165" s="1991"/>
      <c r="G165" s="1991"/>
      <c r="H165" s="1991"/>
      <c r="I165" s="1991"/>
      <c r="J165" s="1991"/>
      <c r="K165" s="1991"/>
      <c r="L165" s="1991"/>
      <c r="M165" s="1991"/>
      <c r="N165" s="603">
        <f t="array" aca="1" ref="N165:Y165" ca="1">B23:M23*Produção!$N$11</f>
        <v>0</v>
      </c>
      <c r="O165" s="603">
        <f ca="1"/>
        <v>0</v>
      </c>
      <c r="P165" s="603">
        <f ca="1"/>
        <v>0</v>
      </c>
      <c r="Q165" s="603">
        <f ca="1"/>
        <v>0</v>
      </c>
      <c r="R165" s="603">
        <f ca="1"/>
        <v>0</v>
      </c>
      <c r="S165" s="603">
        <f ca="1"/>
        <v>0</v>
      </c>
      <c r="T165" s="603">
        <f ca="1"/>
        <v>0</v>
      </c>
      <c r="U165" s="603">
        <f ca="1"/>
        <v>0</v>
      </c>
      <c r="V165" s="603">
        <f ca="1"/>
        <v>0</v>
      </c>
      <c r="W165" s="603">
        <f ca="1"/>
        <v>0</v>
      </c>
      <c r="X165" s="603">
        <f ca="1"/>
        <v>0</v>
      </c>
      <c r="Y165" s="2006">
        <f ca="1"/>
        <v>0</v>
      </c>
    </row>
    <row r="166" spans="1:25">
      <c r="A166" s="1995" t="str">
        <f>A$73</f>
        <v>1 mes antes</v>
      </c>
      <c r="B166" s="1991"/>
      <c r="C166" s="1991"/>
      <c r="D166" s="1991"/>
      <c r="E166" s="1991"/>
      <c r="F166" s="1991"/>
      <c r="G166" s="1991"/>
      <c r="H166" s="1991"/>
      <c r="I166" s="1991"/>
      <c r="J166" s="1991"/>
      <c r="K166" s="1991"/>
      <c r="L166" s="1991"/>
      <c r="M166" s="603">
        <f t="array" aca="1" ref="M166:X166" ca="1">B23:M23*Produção!$M$11</f>
        <v>0</v>
      </c>
      <c r="N166" s="603">
        <f ca="1"/>
        <v>0</v>
      </c>
      <c r="O166" s="603">
        <f ca="1"/>
        <v>0</v>
      </c>
      <c r="P166" s="603">
        <f ca="1"/>
        <v>0</v>
      </c>
      <c r="Q166" s="603">
        <f ca="1"/>
        <v>0</v>
      </c>
      <c r="R166" s="603">
        <f ca="1"/>
        <v>0</v>
      </c>
      <c r="S166" s="603">
        <f ca="1"/>
        <v>0</v>
      </c>
      <c r="T166" s="603">
        <f ca="1"/>
        <v>0</v>
      </c>
      <c r="U166" s="603">
        <f ca="1"/>
        <v>0</v>
      </c>
      <c r="V166" s="603">
        <f ca="1"/>
        <v>0</v>
      </c>
      <c r="W166" s="603">
        <f ca="1"/>
        <v>0</v>
      </c>
      <c r="X166" s="603">
        <f ca="1"/>
        <v>0</v>
      </c>
      <c r="Y166" s="2007"/>
    </row>
    <row r="167" spans="1:25">
      <c r="A167" s="1995" t="str">
        <f>A$74</f>
        <v>2 meses antes</v>
      </c>
      <c r="B167" s="1991"/>
      <c r="C167" s="1991"/>
      <c r="D167" s="1991"/>
      <c r="E167" s="1991"/>
      <c r="F167" s="1991"/>
      <c r="G167" s="1991"/>
      <c r="H167" s="1991"/>
      <c r="I167" s="1991"/>
      <c r="J167" s="1991"/>
      <c r="K167" s="1991"/>
      <c r="L167" s="603">
        <f t="array" aca="1" ref="L167:W167" ca="1">B23:M23*Produção!$L$11</f>
        <v>0</v>
      </c>
      <c r="M167" s="603">
        <f ca="1"/>
        <v>0</v>
      </c>
      <c r="N167" s="603">
        <f ca="1"/>
        <v>0</v>
      </c>
      <c r="O167" s="603">
        <f ca="1"/>
        <v>0</v>
      </c>
      <c r="P167" s="603">
        <f ca="1"/>
        <v>0</v>
      </c>
      <c r="Q167" s="603">
        <f ca="1"/>
        <v>0</v>
      </c>
      <c r="R167" s="603">
        <f ca="1"/>
        <v>0</v>
      </c>
      <c r="S167" s="603">
        <f ca="1"/>
        <v>0</v>
      </c>
      <c r="T167" s="603">
        <f ca="1"/>
        <v>0</v>
      </c>
      <c r="U167" s="603">
        <f ca="1"/>
        <v>0</v>
      </c>
      <c r="V167" s="603">
        <f ca="1"/>
        <v>0</v>
      </c>
      <c r="W167" s="603">
        <f ca="1"/>
        <v>0</v>
      </c>
      <c r="X167" s="1991"/>
      <c r="Y167" s="2007"/>
    </row>
    <row r="168" spans="1:25">
      <c r="A168" s="1995" t="str">
        <f>A$75</f>
        <v>3 meses antes</v>
      </c>
      <c r="B168" s="1991"/>
      <c r="C168" s="1991"/>
      <c r="D168" s="1991"/>
      <c r="E168" s="1991"/>
      <c r="F168" s="1991"/>
      <c r="G168" s="1991"/>
      <c r="H168" s="1991"/>
      <c r="I168" s="1991"/>
      <c r="J168" s="1991"/>
      <c r="K168" s="603">
        <f t="array" aca="1" ref="K168:V168" ca="1">B23:M23*Produção!$K$11</f>
        <v>0</v>
      </c>
      <c r="L168" s="603">
        <f ca="1"/>
        <v>0</v>
      </c>
      <c r="M168" s="603">
        <f ca="1"/>
        <v>0</v>
      </c>
      <c r="N168" s="603">
        <f ca="1"/>
        <v>0</v>
      </c>
      <c r="O168" s="603">
        <f ca="1"/>
        <v>0</v>
      </c>
      <c r="P168" s="603">
        <f ca="1"/>
        <v>0</v>
      </c>
      <c r="Q168" s="603">
        <f ca="1"/>
        <v>0</v>
      </c>
      <c r="R168" s="603">
        <f ca="1"/>
        <v>0</v>
      </c>
      <c r="S168" s="603">
        <f ca="1"/>
        <v>0</v>
      </c>
      <c r="T168" s="603">
        <f ca="1"/>
        <v>0</v>
      </c>
      <c r="U168" s="603">
        <f ca="1"/>
        <v>0</v>
      </c>
      <c r="V168" s="603">
        <f ca="1"/>
        <v>0</v>
      </c>
      <c r="W168" s="1991"/>
      <c r="X168" s="1991"/>
      <c r="Y168" s="2007"/>
    </row>
    <row r="169" spans="1:25">
      <c r="A169" s="1995" t="str">
        <f>A$76</f>
        <v>4 meses antes</v>
      </c>
      <c r="B169" s="1991"/>
      <c r="C169" s="1991"/>
      <c r="D169" s="1991"/>
      <c r="E169" s="1991"/>
      <c r="F169" s="1991"/>
      <c r="G169" s="1991"/>
      <c r="H169" s="1991"/>
      <c r="I169" s="1991"/>
      <c r="J169" s="603">
        <f t="array" aca="1" ref="J169:U169" ca="1">B23:M23*Produção!$J$11</f>
        <v>0</v>
      </c>
      <c r="K169" s="603">
        <f ca="1"/>
        <v>0</v>
      </c>
      <c r="L169" s="603">
        <f ca="1"/>
        <v>0</v>
      </c>
      <c r="M169" s="603">
        <f ca="1"/>
        <v>0</v>
      </c>
      <c r="N169" s="603">
        <f ca="1"/>
        <v>0</v>
      </c>
      <c r="O169" s="603">
        <f ca="1"/>
        <v>0</v>
      </c>
      <c r="P169" s="603">
        <f ca="1"/>
        <v>0</v>
      </c>
      <c r="Q169" s="603">
        <f ca="1"/>
        <v>0</v>
      </c>
      <c r="R169" s="603">
        <f ca="1"/>
        <v>0</v>
      </c>
      <c r="S169" s="603">
        <f ca="1"/>
        <v>0</v>
      </c>
      <c r="T169" s="603">
        <f ca="1"/>
        <v>0</v>
      </c>
      <c r="U169" s="603">
        <f ca="1"/>
        <v>0</v>
      </c>
      <c r="V169" s="1991"/>
      <c r="W169" s="1991"/>
      <c r="X169" s="1991"/>
      <c r="Y169" s="2007"/>
    </row>
    <row r="170" spans="1:25">
      <c r="A170" s="1995" t="str">
        <f>A$77</f>
        <v>5 meses antes</v>
      </c>
      <c r="B170" s="1991"/>
      <c r="C170" s="1991"/>
      <c r="D170" s="1991"/>
      <c r="E170" s="1991"/>
      <c r="F170" s="1991"/>
      <c r="G170" s="1991"/>
      <c r="H170" s="1991"/>
      <c r="I170" s="603">
        <f t="array" aca="1" ref="I170:T170" ca="1">B23:M23*Produção!$I$11</f>
        <v>0</v>
      </c>
      <c r="J170" s="603">
        <f ca="1"/>
        <v>0</v>
      </c>
      <c r="K170" s="603">
        <f ca="1"/>
        <v>0</v>
      </c>
      <c r="L170" s="603">
        <f ca="1"/>
        <v>0</v>
      </c>
      <c r="M170" s="603">
        <f ca="1"/>
        <v>0</v>
      </c>
      <c r="N170" s="603">
        <f ca="1"/>
        <v>0</v>
      </c>
      <c r="O170" s="603">
        <f ca="1"/>
        <v>0</v>
      </c>
      <c r="P170" s="603">
        <f ca="1"/>
        <v>0</v>
      </c>
      <c r="Q170" s="603">
        <f ca="1"/>
        <v>0</v>
      </c>
      <c r="R170" s="603">
        <f ca="1"/>
        <v>0</v>
      </c>
      <c r="S170" s="603">
        <f ca="1"/>
        <v>0</v>
      </c>
      <c r="T170" s="603">
        <f ca="1"/>
        <v>0</v>
      </c>
      <c r="U170" s="1991"/>
      <c r="V170" s="1991"/>
      <c r="W170" s="1991"/>
      <c r="X170" s="1991"/>
      <c r="Y170" s="2007"/>
    </row>
    <row r="171" spans="1:25">
      <c r="A171" s="1995" t="str">
        <f>A$78</f>
        <v>6 meses antes</v>
      </c>
      <c r="B171" s="1991"/>
      <c r="C171" s="1991"/>
      <c r="D171" s="1991"/>
      <c r="E171" s="1991"/>
      <c r="F171" s="1991"/>
      <c r="G171" s="1991"/>
      <c r="H171" s="603">
        <f t="array" aca="1" ref="H171:S171" ca="1">B23:M23*Produção!$H$11</f>
        <v>0</v>
      </c>
      <c r="I171" s="603">
        <f ca="1"/>
        <v>0</v>
      </c>
      <c r="J171" s="603">
        <f ca="1"/>
        <v>0</v>
      </c>
      <c r="K171" s="603">
        <f ca="1"/>
        <v>0</v>
      </c>
      <c r="L171" s="603">
        <f ca="1"/>
        <v>0</v>
      </c>
      <c r="M171" s="603">
        <f ca="1"/>
        <v>0</v>
      </c>
      <c r="N171" s="603">
        <f ca="1"/>
        <v>0</v>
      </c>
      <c r="O171" s="603">
        <f ca="1"/>
        <v>0</v>
      </c>
      <c r="P171" s="603">
        <f ca="1"/>
        <v>0</v>
      </c>
      <c r="Q171" s="603">
        <f ca="1"/>
        <v>0</v>
      </c>
      <c r="R171" s="603">
        <f ca="1"/>
        <v>0</v>
      </c>
      <c r="S171" s="603">
        <f ca="1"/>
        <v>0</v>
      </c>
      <c r="T171" s="1991"/>
      <c r="U171" s="1991"/>
      <c r="V171" s="1991"/>
      <c r="W171" s="1991"/>
      <c r="X171" s="1991"/>
      <c r="Y171" s="2007"/>
    </row>
    <row r="172" spans="1:25">
      <c r="A172" s="1995" t="str">
        <f>A$79</f>
        <v>7 meses antes</v>
      </c>
      <c r="B172" s="1991"/>
      <c r="C172" s="1991"/>
      <c r="D172" s="1991"/>
      <c r="E172" s="1991"/>
      <c r="F172" s="1991"/>
      <c r="G172" s="603">
        <f t="array" aca="1" ref="G172:R172" ca="1">B23:M23*Produção!$G$11</f>
        <v>0</v>
      </c>
      <c r="H172" s="603">
        <f ca="1"/>
        <v>0</v>
      </c>
      <c r="I172" s="603">
        <f ca="1"/>
        <v>0</v>
      </c>
      <c r="J172" s="603">
        <f ca="1"/>
        <v>0</v>
      </c>
      <c r="K172" s="603">
        <f ca="1"/>
        <v>0</v>
      </c>
      <c r="L172" s="603">
        <f ca="1"/>
        <v>0</v>
      </c>
      <c r="M172" s="603">
        <f ca="1"/>
        <v>0</v>
      </c>
      <c r="N172" s="603">
        <f ca="1"/>
        <v>0</v>
      </c>
      <c r="O172" s="603">
        <f ca="1"/>
        <v>0</v>
      </c>
      <c r="P172" s="603">
        <f ca="1"/>
        <v>0</v>
      </c>
      <c r="Q172" s="603">
        <f ca="1"/>
        <v>0</v>
      </c>
      <c r="R172" s="603">
        <f ca="1"/>
        <v>0</v>
      </c>
      <c r="S172" s="1991"/>
      <c r="T172" s="1991"/>
      <c r="U172" s="1991"/>
      <c r="V172" s="1991"/>
      <c r="W172" s="1991"/>
      <c r="X172" s="1991"/>
      <c r="Y172" s="2007"/>
    </row>
    <row r="173" spans="1:25">
      <c r="A173" s="1995" t="str">
        <f>A$80</f>
        <v>8 meses antes</v>
      </c>
      <c r="B173" s="1991"/>
      <c r="C173" s="1991"/>
      <c r="D173" s="1991"/>
      <c r="E173" s="1991"/>
      <c r="F173" s="603">
        <f t="array" aca="1" ref="F173:Q173" ca="1">B23:M23*Produção!$F$11</f>
        <v>0</v>
      </c>
      <c r="G173" s="603">
        <f ca="1"/>
        <v>0</v>
      </c>
      <c r="H173" s="603">
        <f ca="1"/>
        <v>0</v>
      </c>
      <c r="I173" s="603">
        <f ca="1"/>
        <v>0</v>
      </c>
      <c r="J173" s="603">
        <f ca="1"/>
        <v>0</v>
      </c>
      <c r="K173" s="603">
        <f ca="1"/>
        <v>0</v>
      </c>
      <c r="L173" s="603">
        <f ca="1"/>
        <v>0</v>
      </c>
      <c r="M173" s="603">
        <f ca="1"/>
        <v>0</v>
      </c>
      <c r="N173" s="603">
        <f ca="1"/>
        <v>0</v>
      </c>
      <c r="O173" s="603">
        <f ca="1"/>
        <v>0</v>
      </c>
      <c r="P173" s="603">
        <f ca="1"/>
        <v>0</v>
      </c>
      <c r="Q173" s="603">
        <f ca="1"/>
        <v>0</v>
      </c>
      <c r="R173" s="1991"/>
      <c r="S173" s="1991"/>
      <c r="T173" s="1991"/>
      <c r="U173" s="1991"/>
      <c r="V173" s="1991"/>
      <c r="W173" s="1991"/>
      <c r="X173" s="1991"/>
      <c r="Y173" s="2007"/>
    </row>
    <row r="174" spans="1:25">
      <c r="A174" s="1995" t="str">
        <f>A$81</f>
        <v>9 meses antes</v>
      </c>
      <c r="B174" s="1991"/>
      <c r="C174" s="1991"/>
      <c r="D174" s="1991"/>
      <c r="E174" s="603">
        <f t="array" aca="1" ref="E174:P174" ca="1">B23:M23*Produção!$E$11</f>
        <v>0</v>
      </c>
      <c r="F174" s="603">
        <f ca="1"/>
        <v>0</v>
      </c>
      <c r="G174" s="603">
        <f ca="1"/>
        <v>0</v>
      </c>
      <c r="H174" s="603">
        <f ca="1"/>
        <v>0</v>
      </c>
      <c r="I174" s="603">
        <f ca="1"/>
        <v>0</v>
      </c>
      <c r="J174" s="603">
        <f ca="1"/>
        <v>0</v>
      </c>
      <c r="K174" s="603">
        <f ca="1"/>
        <v>0</v>
      </c>
      <c r="L174" s="603">
        <f ca="1"/>
        <v>0</v>
      </c>
      <c r="M174" s="603">
        <f ca="1"/>
        <v>0</v>
      </c>
      <c r="N174" s="603">
        <f ca="1"/>
        <v>0</v>
      </c>
      <c r="O174" s="603">
        <f ca="1"/>
        <v>0</v>
      </c>
      <c r="P174" s="603">
        <f ca="1"/>
        <v>0</v>
      </c>
      <c r="Q174" s="1991"/>
      <c r="R174" s="1991"/>
      <c r="S174" s="1991"/>
      <c r="T174" s="1991"/>
      <c r="U174" s="1991"/>
      <c r="V174" s="1991"/>
      <c r="W174" s="1991"/>
      <c r="X174" s="1991"/>
      <c r="Y174" s="2007"/>
    </row>
    <row r="175" spans="1:25">
      <c r="A175" s="1995" t="str">
        <f>A$82</f>
        <v>10 meses antes</v>
      </c>
      <c r="B175" s="1991"/>
      <c r="C175" s="1991"/>
      <c r="D175" s="603">
        <f t="array" aca="1" ref="D175:O175" ca="1">B23:M23*Produção!$D$11</f>
        <v>0</v>
      </c>
      <c r="E175" s="603">
        <f ca="1"/>
        <v>0</v>
      </c>
      <c r="F175" s="603">
        <f ca="1"/>
        <v>0</v>
      </c>
      <c r="G175" s="603">
        <f ca="1"/>
        <v>0</v>
      </c>
      <c r="H175" s="603">
        <f ca="1"/>
        <v>0</v>
      </c>
      <c r="I175" s="603">
        <f ca="1"/>
        <v>0</v>
      </c>
      <c r="J175" s="603">
        <f ca="1"/>
        <v>0</v>
      </c>
      <c r="K175" s="603">
        <f ca="1"/>
        <v>0</v>
      </c>
      <c r="L175" s="603">
        <f ca="1"/>
        <v>0</v>
      </c>
      <c r="M175" s="603">
        <f ca="1"/>
        <v>0</v>
      </c>
      <c r="N175" s="603">
        <f ca="1"/>
        <v>0</v>
      </c>
      <c r="O175" s="603">
        <f ca="1"/>
        <v>0</v>
      </c>
      <c r="P175" s="1991"/>
      <c r="Q175" s="1991"/>
      <c r="R175" s="1991"/>
      <c r="S175" s="1991"/>
      <c r="T175" s="1991"/>
      <c r="U175" s="1991"/>
      <c r="V175" s="1991"/>
      <c r="W175" s="1991"/>
      <c r="X175" s="1991"/>
      <c r="Y175" s="2007"/>
    </row>
    <row r="176" spans="1:25">
      <c r="A176" s="1995" t="str">
        <f>A$83</f>
        <v>11 meses antes</v>
      </c>
      <c r="B176" s="1991"/>
      <c r="C176" s="603">
        <f t="array" aca="1" ref="C176:N176" ca="1">B23:M23*Produção!$C$11</f>
        <v>0</v>
      </c>
      <c r="D176" s="603">
        <f ca="1"/>
        <v>0</v>
      </c>
      <c r="E176" s="603">
        <f ca="1"/>
        <v>0</v>
      </c>
      <c r="F176" s="603">
        <f ca="1"/>
        <v>0</v>
      </c>
      <c r="G176" s="603">
        <f ca="1"/>
        <v>0</v>
      </c>
      <c r="H176" s="603">
        <f ca="1"/>
        <v>0</v>
      </c>
      <c r="I176" s="603">
        <f ca="1"/>
        <v>0</v>
      </c>
      <c r="J176" s="603">
        <f ca="1"/>
        <v>0</v>
      </c>
      <c r="K176" s="603">
        <f ca="1"/>
        <v>0</v>
      </c>
      <c r="L176" s="603">
        <f ca="1"/>
        <v>0</v>
      </c>
      <c r="M176" s="603">
        <f ca="1"/>
        <v>0</v>
      </c>
      <c r="N176" s="603">
        <f ca="1"/>
        <v>0</v>
      </c>
      <c r="O176" s="1991"/>
      <c r="P176" s="1991"/>
      <c r="Q176" s="1991"/>
      <c r="R176" s="1991"/>
      <c r="S176" s="1991"/>
      <c r="T176" s="1991"/>
      <c r="U176" s="1991"/>
      <c r="V176" s="1991"/>
      <c r="W176" s="1991"/>
      <c r="X176" s="1991"/>
      <c r="Y176" s="2007"/>
    </row>
    <row r="177" spans="1:25" ht="13.5" thickBot="1">
      <c r="A177" s="1995" t="str">
        <f>A$84</f>
        <v>12 meses antes</v>
      </c>
      <c r="B177" s="603">
        <f t="array" aca="1" ref="B177:M177" ca="1">B23:M23*Produção!$B$11</f>
        <v>0</v>
      </c>
      <c r="C177" s="603">
        <f ca="1"/>
        <v>0</v>
      </c>
      <c r="D177" s="603">
        <f ca="1"/>
        <v>0</v>
      </c>
      <c r="E177" s="603">
        <f ca="1"/>
        <v>0</v>
      </c>
      <c r="F177" s="603">
        <f ca="1"/>
        <v>0</v>
      </c>
      <c r="G177" s="603">
        <f ca="1"/>
        <v>0</v>
      </c>
      <c r="H177" s="603">
        <f ca="1"/>
        <v>0</v>
      </c>
      <c r="I177" s="603">
        <f ca="1"/>
        <v>0</v>
      </c>
      <c r="J177" s="603">
        <f ca="1"/>
        <v>0</v>
      </c>
      <c r="K177" s="603">
        <f ca="1"/>
        <v>0</v>
      </c>
      <c r="L177" s="603">
        <f ca="1"/>
        <v>0</v>
      </c>
      <c r="M177" s="603">
        <f ca="1"/>
        <v>0</v>
      </c>
      <c r="N177" s="1991"/>
      <c r="O177" s="1991"/>
      <c r="P177" s="1991"/>
      <c r="Q177" s="1991"/>
      <c r="R177" s="1991"/>
      <c r="S177" s="1991"/>
      <c r="T177" s="1991"/>
      <c r="U177" s="1991"/>
      <c r="V177" s="1991"/>
      <c r="W177" s="1991"/>
      <c r="X177" s="1991"/>
      <c r="Y177" s="2007"/>
    </row>
    <row r="178" spans="1:25" ht="13.5" thickBot="1">
      <c r="A178" s="105" t="str">
        <f>"Totales CV "&amp;A$11</f>
        <v xml:space="preserve">Totales CV </v>
      </c>
      <c r="B178" s="607">
        <f t="shared" ref="B178:Y178" ca="1" si="15">SUM(B165:B177)</f>
        <v>0</v>
      </c>
      <c r="C178" s="607">
        <f t="shared" ca="1" si="15"/>
        <v>0</v>
      </c>
      <c r="D178" s="607">
        <f t="shared" ca="1" si="15"/>
        <v>0</v>
      </c>
      <c r="E178" s="607">
        <f t="shared" ca="1" si="15"/>
        <v>0</v>
      </c>
      <c r="F178" s="607">
        <f t="shared" ca="1" si="15"/>
        <v>0</v>
      </c>
      <c r="G178" s="607">
        <f t="shared" ca="1" si="15"/>
        <v>0</v>
      </c>
      <c r="H178" s="607">
        <f t="shared" ca="1" si="15"/>
        <v>0</v>
      </c>
      <c r="I178" s="607">
        <f t="shared" ca="1" si="15"/>
        <v>0</v>
      </c>
      <c r="J178" s="607">
        <f t="shared" ca="1" si="15"/>
        <v>0</v>
      </c>
      <c r="K178" s="607">
        <f t="shared" ca="1" si="15"/>
        <v>0</v>
      </c>
      <c r="L178" s="607">
        <f t="shared" ca="1" si="15"/>
        <v>0</v>
      </c>
      <c r="M178" s="607">
        <f t="shared" ca="1" si="15"/>
        <v>0</v>
      </c>
      <c r="N178" s="607">
        <f t="shared" ca="1" si="15"/>
        <v>0</v>
      </c>
      <c r="O178" s="607">
        <f t="shared" ca="1" si="15"/>
        <v>0</v>
      </c>
      <c r="P178" s="607">
        <f t="shared" ca="1" si="15"/>
        <v>0</v>
      </c>
      <c r="Q178" s="607">
        <f t="shared" ca="1" si="15"/>
        <v>0</v>
      </c>
      <c r="R178" s="607">
        <f t="shared" ca="1" si="15"/>
        <v>0</v>
      </c>
      <c r="S178" s="607">
        <f t="shared" ca="1" si="15"/>
        <v>0</v>
      </c>
      <c r="T178" s="607">
        <f t="shared" ca="1" si="15"/>
        <v>0</v>
      </c>
      <c r="U178" s="607">
        <f t="shared" ca="1" si="15"/>
        <v>0</v>
      </c>
      <c r="V178" s="607">
        <f t="shared" ca="1" si="15"/>
        <v>0</v>
      </c>
      <c r="W178" s="607">
        <f t="shared" ca="1" si="15"/>
        <v>0</v>
      </c>
      <c r="X178" s="607">
        <f t="shared" ca="1" si="15"/>
        <v>0</v>
      </c>
      <c r="Y178" s="2008">
        <f t="shared" ca="1" si="15"/>
        <v>0</v>
      </c>
    </row>
    <row r="179" spans="1:25" ht="13.5" thickBot="1">
      <c r="A179" s="105" t="str">
        <f>'Dados Básicos'!A28&amp;" sop. CV "&amp;$A$11</f>
        <v xml:space="preserve">IVA sop. CV </v>
      </c>
      <c r="B179" s="607">
        <f t="array" aca="1" ref="B179:Y179" ca="1">$K$163*B178:Y178</f>
        <v>0</v>
      </c>
      <c r="C179" s="607">
        <f ca="1"/>
        <v>0</v>
      </c>
      <c r="D179" s="607">
        <f ca="1"/>
        <v>0</v>
      </c>
      <c r="E179" s="607">
        <f ca="1"/>
        <v>0</v>
      </c>
      <c r="F179" s="607">
        <f ca="1"/>
        <v>0</v>
      </c>
      <c r="G179" s="607">
        <f ca="1"/>
        <v>0</v>
      </c>
      <c r="H179" s="607">
        <f ca="1"/>
        <v>0</v>
      </c>
      <c r="I179" s="607">
        <f ca="1"/>
        <v>0</v>
      </c>
      <c r="J179" s="607">
        <f ca="1"/>
        <v>0</v>
      </c>
      <c r="K179" s="607">
        <f ca="1"/>
        <v>0</v>
      </c>
      <c r="L179" s="607">
        <f ca="1"/>
        <v>0</v>
      </c>
      <c r="M179" s="607">
        <f ca="1"/>
        <v>0</v>
      </c>
      <c r="N179" s="607">
        <f ca="1"/>
        <v>0</v>
      </c>
      <c r="O179" s="607">
        <f ca="1"/>
        <v>0</v>
      </c>
      <c r="P179" s="607">
        <f ca="1"/>
        <v>0</v>
      </c>
      <c r="Q179" s="607">
        <f ca="1"/>
        <v>0</v>
      </c>
      <c r="R179" s="607">
        <f ca="1"/>
        <v>0</v>
      </c>
      <c r="S179" s="607">
        <f ca="1"/>
        <v>0</v>
      </c>
      <c r="T179" s="607">
        <f ca="1"/>
        <v>0</v>
      </c>
      <c r="U179" s="607">
        <f ca="1"/>
        <v>0</v>
      </c>
      <c r="V179" s="607">
        <f ca="1"/>
        <v>0</v>
      </c>
      <c r="W179" s="607">
        <f ca="1"/>
        <v>0</v>
      </c>
      <c r="X179" s="607">
        <f ca="1"/>
        <v>0</v>
      </c>
      <c r="Y179" s="2008">
        <f ca="1"/>
        <v>0</v>
      </c>
    </row>
    <row r="181" spans="1:25" ht="18.75" thickBot="1">
      <c r="A181" s="1993" t="str">
        <f>'Distr CV 0'!A181</f>
        <v xml:space="preserve">Compras / custos de producción por meses de </v>
      </c>
      <c r="I181" s="1993" t="str">
        <f>$I$109</f>
        <v>IVA NÃO incluido</v>
      </c>
      <c r="K181" s="2005">
        <f>Parametros!$F$28</f>
        <v>0.21</v>
      </c>
    </row>
    <row r="182" spans="1:25" ht="31.5" customHeight="1" thickBot="1">
      <c r="A182" s="457" t="str">
        <f>'Distr CV 0'!A182</f>
        <v>mes de compra / custo</v>
      </c>
      <c r="B182" s="2011" t="str">
        <f t="array" ref="B182:Y182">B$71:Y$71</f>
        <v>janeiro 
2030</v>
      </c>
      <c r="C182" s="2011" t="str">
        <v>fevereiro 
2030</v>
      </c>
      <c r="D182" s="2011" t="str">
        <v>março 
2030</v>
      </c>
      <c r="E182" s="2011" t="str">
        <v>abril 
2030</v>
      </c>
      <c r="F182" s="2011" t="str">
        <v>maio 
2030</v>
      </c>
      <c r="G182" s="2011" t="str">
        <v>junho 
2030</v>
      </c>
      <c r="H182" s="2011" t="str">
        <v>julho 
2030</v>
      </c>
      <c r="I182" s="2011" t="str">
        <v>agosto 
2030</v>
      </c>
      <c r="J182" s="2011" t="str">
        <v>setembro 
2030</v>
      </c>
      <c r="K182" s="2011" t="str">
        <v>outubro 
2030</v>
      </c>
      <c r="L182" s="2011" t="str">
        <v>novembro 
2030</v>
      </c>
      <c r="M182" s="2011" t="str">
        <v>dezembro 
2030</v>
      </c>
      <c r="N182" s="2737" t="str">
        <v>janeiro 
2031</v>
      </c>
      <c r="O182" s="2738" t="str">
        <v>fevereiro 
2031</v>
      </c>
      <c r="P182" s="2738" t="str">
        <v>março 
2031</v>
      </c>
      <c r="Q182" s="2738" t="str">
        <v>abril 
2031</v>
      </c>
      <c r="R182" s="2738" t="str">
        <v>maio 
2031</v>
      </c>
      <c r="S182" s="2738" t="str">
        <v>junho 
2031</v>
      </c>
      <c r="T182" s="2738" t="str">
        <v>julho 
2031</v>
      </c>
      <c r="U182" s="2738" t="str">
        <v>agosto 
2031</v>
      </c>
      <c r="V182" s="2738" t="str">
        <v>setembro 
2031</v>
      </c>
      <c r="W182" s="2738" t="str">
        <v>outubro 
2031</v>
      </c>
      <c r="X182" s="2738" t="str">
        <v>novembro 
2031</v>
      </c>
      <c r="Y182" s="2739" t="str">
        <v>dezembro 
2031</v>
      </c>
    </row>
    <row r="183" spans="1:25">
      <c r="A183" s="1994" t="str">
        <f>A$72</f>
        <v>mismo mes</v>
      </c>
      <c r="B183" s="1991"/>
      <c r="C183" s="1991"/>
      <c r="D183" s="1991"/>
      <c r="E183" s="1991"/>
      <c r="F183" s="1991"/>
      <c r="G183" s="1991"/>
      <c r="H183" s="1991"/>
      <c r="I183" s="1991"/>
      <c r="J183" s="1991"/>
      <c r="K183" s="1991"/>
      <c r="L183" s="1991"/>
      <c r="M183" s="1991"/>
      <c r="N183" s="603">
        <f t="array" aca="1" ref="N183:Y183" ca="1">B24:M24*Produção!$N$12</f>
        <v>0</v>
      </c>
      <c r="O183" s="603">
        <f ca="1"/>
        <v>0</v>
      </c>
      <c r="P183" s="603">
        <f ca="1"/>
        <v>0</v>
      </c>
      <c r="Q183" s="603">
        <f ca="1"/>
        <v>0</v>
      </c>
      <c r="R183" s="603">
        <f ca="1"/>
        <v>0</v>
      </c>
      <c r="S183" s="603">
        <f ca="1"/>
        <v>0</v>
      </c>
      <c r="T183" s="603">
        <f ca="1"/>
        <v>0</v>
      </c>
      <c r="U183" s="603">
        <f ca="1"/>
        <v>0</v>
      </c>
      <c r="V183" s="603">
        <f ca="1"/>
        <v>0</v>
      </c>
      <c r="W183" s="603">
        <f ca="1"/>
        <v>0</v>
      </c>
      <c r="X183" s="603">
        <f ca="1"/>
        <v>0</v>
      </c>
      <c r="Y183" s="2006">
        <f ca="1"/>
        <v>0</v>
      </c>
    </row>
    <row r="184" spans="1:25">
      <c r="A184" s="1995" t="str">
        <f>A$73</f>
        <v>1 mes antes</v>
      </c>
      <c r="B184" s="1991"/>
      <c r="C184" s="1991"/>
      <c r="D184" s="1991"/>
      <c r="E184" s="1991"/>
      <c r="F184" s="1991"/>
      <c r="G184" s="1991"/>
      <c r="H184" s="1991"/>
      <c r="I184" s="1991"/>
      <c r="J184" s="1991"/>
      <c r="K184" s="1991"/>
      <c r="L184" s="1991"/>
      <c r="M184" s="603">
        <f t="array" aca="1" ref="M184:X184" ca="1">B24:M24*Produção!$M$12</f>
        <v>0</v>
      </c>
      <c r="N184" s="603">
        <f ca="1"/>
        <v>0</v>
      </c>
      <c r="O184" s="603">
        <f ca="1"/>
        <v>0</v>
      </c>
      <c r="P184" s="603">
        <f ca="1"/>
        <v>0</v>
      </c>
      <c r="Q184" s="603">
        <f ca="1"/>
        <v>0</v>
      </c>
      <c r="R184" s="603">
        <f ca="1"/>
        <v>0</v>
      </c>
      <c r="S184" s="603">
        <f ca="1"/>
        <v>0</v>
      </c>
      <c r="T184" s="603">
        <f ca="1"/>
        <v>0</v>
      </c>
      <c r="U184" s="603">
        <f ca="1"/>
        <v>0</v>
      </c>
      <c r="V184" s="603">
        <f ca="1"/>
        <v>0</v>
      </c>
      <c r="W184" s="603">
        <f ca="1"/>
        <v>0</v>
      </c>
      <c r="X184" s="603">
        <f ca="1"/>
        <v>0</v>
      </c>
      <c r="Y184" s="2007"/>
    </row>
    <row r="185" spans="1:25">
      <c r="A185" s="1995" t="str">
        <f>A$74</f>
        <v>2 meses antes</v>
      </c>
      <c r="B185" s="1991"/>
      <c r="C185" s="1991"/>
      <c r="D185" s="1991"/>
      <c r="E185" s="1991"/>
      <c r="F185" s="1991"/>
      <c r="G185" s="1991"/>
      <c r="H185" s="1991"/>
      <c r="I185" s="1991"/>
      <c r="J185" s="1991"/>
      <c r="K185" s="1991"/>
      <c r="L185" s="603">
        <f t="array" aca="1" ref="L185:W185" ca="1">B24:M24*Produção!$L$12</f>
        <v>0</v>
      </c>
      <c r="M185" s="603">
        <f ca="1"/>
        <v>0</v>
      </c>
      <c r="N185" s="603">
        <f ca="1"/>
        <v>0</v>
      </c>
      <c r="O185" s="603">
        <f ca="1"/>
        <v>0</v>
      </c>
      <c r="P185" s="603">
        <f ca="1"/>
        <v>0</v>
      </c>
      <c r="Q185" s="603">
        <f ca="1"/>
        <v>0</v>
      </c>
      <c r="R185" s="603">
        <f ca="1"/>
        <v>0</v>
      </c>
      <c r="S185" s="603">
        <f ca="1"/>
        <v>0</v>
      </c>
      <c r="T185" s="603">
        <f ca="1"/>
        <v>0</v>
      </c>
      <c r="U185" s="603">
        <f ca="1"/>
        <v>0</v>
      </c>
      <c r="V185" s="603">
        <f ca="1"/>
        <v>0</v>
      </c>
      <c r="W185" s="603">
        <f ca="1"/>
        <v>0</v>
      </c>
      <c r="X185" s="1991"/>
      <c r="Y185" s="2007"/>
    </row>
    <row r="186" spans="1:25">
      <c r="A186" s="1995" t="str">
        <f>A$75</f>
        <v>3 meses antes</v>
      </c>
      <c r="B186" s="1991"/>
      <c r="C186" s="1991"/>
      <c r="D186" s="1991"/>
      <c r="E186" s="1991"/>
      <c r="F186" s="1991"/>
      <c r="G186" s="1991"/>
      <c r="H186" s="1991"/>
      <c r="I186" s="1991"/>
      <c r="J186" s="1991"/>
      <c r="K186" s="603">
        <f t="array" aca="1" ref="K186:V186" ca="1">B24:M24*Produção!$K$12</f>
        <v>0</v>
      </c>
      <c r="L186" s="603">
        <f ca="1"/>
        <v>0</v>
      </c>
      <c r="M186" s="603">
        <f ca="1"/>
        <v>0</v>
      </c>
      <c r="N186" s="603">
        <f ca="1"/>
        <v>0</v>
      </c>
      <c r="O186" s="603">
        <f ca="1"/>
        <v>0</v>
      </c>
      <c r="P186" s="603">
        <f ca="1"/>
        <v>0</v>
      </c>
      <c r="Q186" s="603">
        <f ca="1"/>
        <v>0</v>
      </c>
      <c r="R186" s="603">
        <f ca="1"/>
        <v>0</v>
      </c>
      <c r="S186" s="603">
        <f ca="1"/>
        <v>0</v>
      </c>
      <c r="T186" s="603">
        <f ca="1"/>
        <v>0</v>
      </c>
      <c r="U186" s="603">
        <f ca="1"/>
        <v>0</v>
      </c>
      <c r="V186" s="603">
        <f ca="1"/>
        <v>0</v>
      </c>
      <c r="W186" s="1991"/>
      <c r="X186" s="1991"/>
      <c r="Y186" s="2007"/>
    </row>
    <row r="187" spans="1:25">
      <c r="A187" s="1995" t="str">
        <f>A$76</f>
        <v>4 meses antes</v>
      </c>
      <c r="B187" s="1991"/>
      <c r="C187" s="1991"/>
      <c r="D187" s="1991"/>
      <c r="E187" s="1991"/>
      <c r="F187" s="1991"/>
      <c r="G187" s="1991"/>
      <c r="H187" s="1991"/>
      <c r="I187" s="1991"/>
      <c r="J187" s="603">
        <f t="array" aca="1" ref="J187:U187" ca="1">B24:M24*Produção!$J$12</f>
        <v>0</v>
      </c>
      <c r="K187" s="603">
        <f ca="1"/>
        <v>0</v>
      </c>
      <c r="L187" s="603">
        <f ca="1"/>
        <v>0</v>
      </c>
      <c r="M187" s="603">
        <f ca="1"/>
        <v>0</v>
      </c>
      <c r="N187" s="603">
        <f ca="1"/>
        <v>0</v>
      </c>
      <c r="O187" s="603">
        <f ca="1"/>
        <v>0</v>
      </c>
      <c r="P187" s="603">
        <f ca="1"/>
        <v>0</v>
      </c>
      <c r="Q187" s="603">
        <f ca="1"/>
        <v>0</v>
      </c>
      <c r="R187" s="603">
        <f ca="1"/>
        <v>0</v>
      </c>
      <c r="S187" s="603">
        <f ca="1"/>
        <v>0</v>
      </c>
      <c r="T187" s="603">
        <f ca="1"/>
        <v>0</v>
      </c>
      <c r="U187" s="603">
        <f ca="1"/>
        <v>0</v>
      </c>
      <c r="V187" s="1991"/>
      <c r="W187" s="1991"/>
      <c r="X187" s="1991"/>
      <c r="Y187" s="2007"/>
    </row>
    <row r="188" spans="1:25">
      <c r="A188" s="1995" t="str">
        <f>A$77</f>
        <v>5 meses antes</v>
      </c>
      <c r="B188" s="1991"/>
      <c r="C188" s="1991"/>
      <c r="D188" s="1991"/>
      <c r="E188" s="1991"/>
      <c r="F188" s="1991"/>
      <c r="G188" s="1991"/>
      <c r="H188" s="1991"/>
      <c r="I188" s="603">
        <f t="array" aca="1" ref="I188:T188" ca="1">B24:M24*Produção!$I$12</f>
        <v>0</v>
      </c>
      <c r="J188" s="603">
        <f ca="1"/>
        <v>0</v>
      </c>
      <c r="K188" s="603">
        <f ca="1"/>
        <v>0</v>
      </c>
      <c r="L188" s="603">
        <f ca="1"/>
        <v>0</v>
      </c>
      <c r="M188" s="603">
        <f ca="1"/>
        <v>0</v>
      </c>
      <c r="N188" s="603">
        <f ca="1"/>
        <v>0</v>
      </c>
      <c r="O188" s="603">
        <f ca="1"/>
        <v>0</v>
      </c>
      <c r="P188" s="603">
        <f ca="1"/>
        <v>0</v>
      </c>
      <c r="Q188" s="603">
        <f ca="1"/>
        <v>0</v>
      </c>
      <c r="R188" s="603">
        <f ca="1"/>
        <v>0</v>
      </c>
      <c r="S188" s="603">
        <f ca="1"/>
        <v>0</v>
      </c>
      <c r="T188" s="603">
        <f ca="1"/>
        <v>0</v>
      </c>
      <c r="U188" s="1991"/>
      <c r="V188" s="1991"/>
      <c r="W188" s="1991"/>
      <c r="X188" s="1991"/>
      <c r="Y188" s="2007"/>
    </row>
    <row r="189" spans="1:25">
      <c r="A189" s="1995" t="str">
        <f>A$78</f>
        <v>6 meses antes</v>
      </c>
      <c r="B189" s="1991"/>
      <c r="C189" s="1991"/>
      <c r="D189" s="1991"/>
      <c r="E189" s="1991"/>
      <c r="F189" s="1991"/>
      <c r="G189" s="1991"/>
      <c r="H189" s="603">
        <f t="array" aca="1" ref="H189:S189" ca="1">B24:M24*Produção!$H$12</f>
        <v>0</v>
      </c>
      <c r="I189" s="603">
        <f ca="1"/>
        <v>0</v>
      </c>
      <c r="J189" s="603">
        <f ca="1"/>
        <v>0</v>
      </c>
      <c r="K189" s="603">
        <f ca="1"/>
        <v>0</v>
      </c>
      <c r="L189" s="603">
        <f ca="1"/>
        <v>0</v>
      </c>
      <c r="M189" s="603">
        <f ca="1"/>
        <v>0</v>
      </c>
      <c r="N189" s="603">
        <f ca="1"/>
        <v>0</v>
      </c>
      <c r="O189" s="603">
        <f ca="1"/>
        <v>0</v>
      </c>
      <c r="P189" s="603">
        <f ca="1"/>
        <v>0</v>
      </c>
      <c r="Q189" s="603">
        <f ca="1"/>
        <v>0</v>
      </c>
      <c r="R189" s="603">
        <f ca="1"/>
        <v>0</v>
      </c>
      <c r="S189" s="603">
        <f ca="1"/>
        <v>0</v>
      </c>
      <c r="T189" s="1991"/>
      <c r="U189" s="1991"/>
      <c r="V189" s="1991"/>
      <c r="W189" s="1991"/>
      <c r="X189" s="1991"/>
      <c r="Y189" s="2007"/>
    </row>
    <row r="190" spans="1:25">
      <c r="A190" s="1995" t="str">
        <f>A$79</f>
        <v>7 meses antes</v>
      </c>
      <c r="B190" s="1991"/>
      <c r="C190" s="1991"/>
      <c r="D190" s="1991"/>
      <c r="E190" s="1991"/>
      <c r="F190" s="1991"/>
      <c r="G190" s="603">
        <f t="array" aca="1" ref="G190:R190" ca="1">B24:M24*Produção!$G$12</f>
        <v>0</v>
      </c>
      <c r="H190" s="603">
        <f ca="1"/>
        <v>0</v>
      </c>
      <c r="I190" s="603">
        <f ca="1"/>
        <v>0</v>
      </c>
      <c r="J190" s="603">
        <f ca="1"/>
        <v>0</v>
      </c>
      <c r="K190" s="603">
        <f ca="1"/>
        <v>0</v>
      </c>
      <c r="L190" s="603">
        <f ca="1"/>
        <v>0</v>
      </c>
      <c r="M190" s="603">
        <f ca="1"/>
        <v>0</v>
      </c>
      <c r="N190" s="603">
        <f ca="1"/>
        <v>0</v>
      </c>
      <c r="O190" s="603">
        <f ca="1"/>
        <v>0</v>
      </c>
      <c r="P190" s="603">
        <f ca="1"/>
        <v>0</v>
      </c>
      <c r="Q190" s="603">
        <f ca="1"/>
        <v>0</v>
      </c>
      <c r="R190" s="603">
        <f ca="1"/>
        <v>0</v>
      </c>
      <c r="S190" s="1991"/>
      <c r="T190" s="1991"/>
      <c r="U190" s="1991"/>
      <c r="V190" s="1991"/>
      <c r="W190" s="1991"/>
      <c r="X190" s="1991"/>
      <c r="Y190" s="2007"/>
    </row>
    <row r="191" spans="1:25">
      <c r="A191" s="1995" t="str">
        <f>A$80</f>
        <v>8 meses antes</v>
      </c>
      <c r="B191" s="1991"/>
      <c r="C191" s="1991"/>
      <c r="D191" s="1991"/>
      <c r="E191" s="1991"/>
      <c r="F191" s="603">
        <f t="array" aca="1" ref="F191:Q191" ca="1">B24:M24*Produção!$F$12</f>
        <v>0</v>
      </c>
      <c r="G191" s="603">
        <f ca="1"/>
        <v>0</v>
      </c>
      <c r="H191" s="603">
        <f ca="1"/>
        <v>0</v>
      </c>
      <c r="I191" s="603">
        <f ca="1"/>
        <v>0</v>
      </c>
      <c r="J191" s="603">
        <f ca="1"/>
        <v>0</v>
      </c>
      <c r="K191" s="603">
        <f ca="1"/>
        <v>0</v>
      </c>
      <c r="L191" s="603">
        <f ca="1"/>
        <v>0</v>
      </c>
      <c r="M191" s="603">
        <f ca="1"/>
        <v>0</v>
      </c>
      <c r="N191" s="603">
        <f ca="1"/>
        <v>0</v>
      </c>
      <c r="O191" s="603">
        <f ca="1"/>
        <v>0</v>
      </c>
      <c r="P191" s="603">
        <f ca="1"/>
        <v>0</v>
      </c>
      <c r="Q191" s="603">
        <f ca="1"/>
        <v>0</v>
      </c>
      <c r="R191" s="1991"/>
      <c r="S191" s="1991"/>
      <c r="T191" s="1991"/>
      <c r="U191" s="1991"/>
      <c r="V191" s="1991"/>
      <c r="W191" s="1991"/>
      <c r="X191" s="1991"/>
      <c r="Y191" s="2007"/>
    </row>
    <row r="192" spans="1:25">
      <c r="A192" s="1995" t="str">
        <f>A$81</f>
        <v>9 meses antes</v>
      </c>
      <c r="B192" s="1991"/>
      <c r="C192" s="1991"/>
      <c r="D192" s="1991"/>
      <c r="E192" s="603">
        <f t="array" aca="1" ref="E192:P192" ca="1">B24:M24*Produção!$E$12</f>
        <v>0</v>
      </c>
      <c r="F192" s="603">
        <f ca="1"/>
        <v>0</v>
      </c>
      <c r="G192" s="603">
        <f ca="1"/>
        <v>0</v>
      </c>
      <c r="H192" s="603">
        <f ca="1"/>
        <v>0</v>
      </c>
      <c r="I192" s="603">
        <f ca="1"/>
        <v>0</v>
      </c>
      <c r="J192" s="603">
        <f ca="1"/>
        <v>0</v>
      </c>
      <c r="K192" s="603">
        <f ca="1"/>
        <v>0</v>
      </c>
      <c r="L192" s="603">
        <f ca="1"/>
        <v>0</v>
      </c>
      <c r="M192" s="603">
        <f ca="1"/>
        <v>0</v>
      </c>
      <c r="N192" s="603">
        <f ca="1"/>
        <v>0</v>
      </c>
      <c r="O192" s="603">
        <f ca="1"/>
        <v>0</v>
      </c>
      <c r="P192" s="603">
        <f ca="1"/>
        <v>0</v>
      </c>
      <c r="Q192" s="1991"/>
      <c r="R192" s="1991"/>
      <c r="S192" s="1991"/>
      <c r="T192" s="1991"/>
      <c r="U192" s="1991"/>
      <c r="V192" s="1991"/>
      <c r="W192" s="1991"/>
      <c r="X192" s="1991"/>
      <c r="Y192" s="2007"/>
    </row>
    <row r="193" spans="1:25">
      <c r="A193" s="1995" t="str">
        <f>A$82</f>
        <v>10 meses antes</v>
      </c>
      <c r="B193" s="1991"/>
      <c r="C193" s="1991"/>
      <c r="D193" s="603">
        <f t="array" aca="1" ref="D193:O193" ca="1">B24:M24*Produção!$D$12</f>
        <v>0</v>
      </c>
      <c r="E193" s="603">
        <f ca="1"/>
        <v>0</v>
      </c>
      <c r="F193" s="603">
        <f ca="1"/>
        <v>0</v>
      </c>
      <c r="G193" s="603">
        <f ca="1"/>
        <v>0</v>
      </c>
      <c r="H193" s="603">
        <f ca="1"/>
        <v>0</v>
      </c>
      <c r="I193" s="603">
        <f ca="1"/>
        <v>0</v>
      </c>
      <c r="J193" s="603">
        <f ca="1"/>
        <v>0</v>
      </c>
      <c r="K193" s="603">
        <f ca="1"/>
        <v>0</v>
      </c>
      <c r="L193" s="603">
        <f ca="1"/>
        <v>0</v>
      </c>
      <c r="M193" s="603">
        <f ca="1"/>
        <v>0</v>
      </c>
      <c r="N193" s="603">
        <f ca="1"/>
        <v>0</v>
      </c>
      <c r="O193" s="603">
        <f ca="1"/>
        <v>0</v>
      </c>
      <c r="P193" s="1991"/>
      <c r="Q193" s="1991"/>
      <c r="R193" s="1991"/>
      <c r="S193" s="1991"/>
      <c r="T193" s="1991"/>
      <c r="U193" s="1991"/>
      <c r="V193" s="1991"/>
      <c r="W193" s="1991"/>
      <c r="X193" s="1991"/>
      <c r="Y193" s="2007"/>
    </row>
    <row r="194" spans="1:25">
      <c r="A194" s="1995" t="str">
        <f>A$83</f>
        <v>11 meses antes</v>
      </c>
      <c r="B194" s="1991"/>
      <c r="C194" s="603">
        <f t="array" aca="1" ref="C194:N194" ca="1">B24:M24*Produção!$C$12</f>
        <v>0</v>
      </c>
      <c r="D194" s="603">
        <f ca="1"/>
        <v>0</v>
      </c>
      <c r="E194" s="603">
        <f ca="1"/>
        <v>0</v>
      </c>
      <c r="F194" s="603">
        <f ca="1"/>
        <v>0</v>
      </c>
      <c r="G194" s="603">
        <f ca="1"/>
        <v>0</v>
      </c>
      <c r="H194" s="603">
        <f ca="1"/>
        <v>0</v>
      </c>
      <c r="I194" s="603">
        <f ca="1"/>
        <v>0</v>
      </c>
      <c r="J194" s="603">
        <f ca="1"/>
        <v>0</v>
      </c>
      <c r="K194" s="603">
        <f ca="1"/>
        <v>0</v>
      </c>
      <c r="L194" s="603">
        <f ca="1"/>
        <v>0</v>
      </c>
      <c r="M194" s="603">
        <f ca="1"/>
        <v>0</v>
      </c>
      <c r="N194" s="603">
        <f ca="1"/>
        <v>0</v>
      </c>
      <c r="O194" s="1991"/>
      <c r="P194" s="1991"/>
      <c r="Q194" s="1991"/>
      <c r="R194" s="1991"/>
      <c r="S194" s="1991"/>
      <c r="T194" s="1991"/>
      <c r="U194" s="1991"/>
      <c r="V194" s="1991"/>
      <c r="W194" s="1991"/>
      <c r="X194" s="1991"/>
      <c r="Y194" s="2007"/>
    </row>
    <row r="195" spans="1:25" ht="13.5" thickBot="1">
      <c r="A195" s="1995" t="str">
        <f>A$84</f>
        <v>12 meses antes</v>
      </c>
      <c r="B195" s="603">
        <f t="array" aca="1" ref="B195:M195" ca="1">B24:M24*Produção!$B$12</f>
        <v>0</v>
      </c>
      <c r="C195" s="603">
        <f ca="1"/>
        <v>0</v>
      </c>
      <c r="D195" s="603">
        <f ca="1"/>
        <v>0</v>
      </c>
      <c r="E195" s="603">
        <f ca="1"/>
        <v>0</v>
      </c>
      <c r="F195" s="603">
        <f ca="1"/>
        <v>0</v>
      </c>
      <c r="G195" s="603">
        <f ca="1"/>
        <v>0</v>
      </c>
      <c r="H195" s="603">
        <f ca="1"/>
        <v>0</v>
      </c>
      <c r="I195" s="603">
        <f ca="1"/>
        <v>0</v>
      </c>
      <c r="J195" s="603">
        <f ca="1"/>
        <v>0</v>
      </c>
      <c r="K195" s="603">
        <f ca="1"/>
        <v>0</v>
      </c>
      <c r="L195" s="603">
        <f ca="1"/>
        <v>0</v>
      </c>
      <c r="M195" s="603">
        <f ca="1"/>
        <v>0</v>
      </c>
      <c r="N195" s="1991"/>
      <c r="O195" s="1991"/>
      <c r="P195" s="1991"/>
      <c r="Q195" s="1991"/>
      <c r="R195" s="1991"/>
      <c r="S195" s="1991"/>
      <c r="T195" s="1991"/>
      <c r="U195" s="1991"/>
      <c r="V195" s="1991"/>
      <c r="W195" s="1991"/>
      <c r="X195" s="1991"/>
      <c r="Y195" s="2007"/>
    </row>
    <row r="196" spans="1:25" ht="13.5" thickBot="1">
      <c r="A196" s="105" t="str">
        <f>"Totales CV "&amp;A$12</f>
        <v xml:space="preserve">Totales CV </v>
      </c>
      <c r="B196" s="607">
        <f t="shared" ref="B196:Y196" ca="1" si="16">SUM(B183:B195)</f>
        <v>0</v>
      </c>
      <c r="C196" s="607">
        <f t="shared" ca="1" si="16"/>
        <v>0</v>
      </c>
      <c r="D196" s="607">
        <f t="shared" ca="1" si="16"/>
        <v>0</v>
      </c>
      <c r="E196" s="607">
        <f t="shared" ca="1" si="16"/>
        <v>0</v>
      </c>
      <c r="F196" s="607">
        <f t="shared" ca="1" si="16"/>
        <v>0</v>
      </c>
      <c r="G196" s="607">
        <f t="shared" ca="1" si="16"/>
        <v>0</v>
      </c>
      <c r="H196" s="607">
        <f t="shared" ca="1" si="16"/>
        <v>0</v>
      </c>
      <c r="I196" s="607">
        <f t="shared" ca="1" si="16"/>
        <v>0</v>
      </c>
      <c r="J196" s="607">
        <f t="shared" ca="1" si="16"/>
        <v>0</v>
      </c>
      <c r="K196" s="607">
        <f t="shared" ca="1" si="16"/>
        <v>0</v>
      </c>
      <c r="L196" s="607">
        <f t="shared" ca="1" si="16"/>
        <v>0</v>
      </c>
      <c r="M196" s="607">
        <f t="shared" ca="1" si="16"/>
        <v>0</v>
      </c>
      <c r="N196" s="607">
        <f t="shared" ca="1" si="16"/>
        <v>0</v>
      </c>
      <c r="O196" s="607">
        <f t="shared" ca="1" si="16"/>
        <v>0</v>
      </c>
      <c r="P196" s="607">
        <f t="shared" ca="1" si="16"/>
        <v>0</v>
      </c>
      <c r="Q196" s="607">
        <f t="shared" ca="1" si="16"/>
        <v>0</v>
      </c>
      <c r="R196" s="607">
        <f t="shared" ca="1" si="16"/>
        <v>0</v>
      </c>
      <c r="S196" s="607">
        <f t="shared" ca="1" si="16"/>
        <v>0</v>
      </c>
      <c r="T196" s="607">
        <f t="shared" ca="1" si="16"/>
        <v>0</v>
      </c>
      <c r="U196" s="607">
        <f t="shared" ca="1" si="16"/>
        <v>0</v>
      </c>
      <c r="V196" s="607">
        <f t="shared" ca="1" si="16"/>
        <v>0</v>
      </c>
      <c r="W196" s="607">
        <f t="shared" ca="1" si="16"/>
        <v>0</v>
      </c>
      <c r="X196" s="607">
        <f t="shared" ca="1" si="16"/>
        <v>0</v>
      </c>
      <c r="Y196" s="2008">
        <f t="shared" ca="1" si="16"/>
        <v>0</v>
      </c>
    </row>
    <row r="197" spans="1:25" ht="13.5" thickBot="1">
      <c r="A197" s="105" t="str">
        <f>'Dados Básicos'!A28&amp;" sop. CV "&amp;$A$12</f>
        <v xml:space="preserve">IVA sop. CV </v>
      </c>
      <c r="B197" s="607">
        <f t="array" aca="1" ref="B197:Y197" ca="1">$K$181*B196:Y196</f>
        <v>0</v>
      </c>
      <c r="C197" s="607">
        <f ca="1"/>
        <v>0</v>
      </c>
      <c r="D197" s="607">
        <f ca="1"/>
        <v>0</v>
      </c>
      <c r="E197" s="607">
        <f ca="1"/>
        <v>0</v>
      </c>
      <c r="F197" s="607">
        <f ca="1"/>
        <v>0</v>
      </c>
      <c r="G197" s="607">
        <f ca="1"/>
        <v>0</v>
      </c>
      <c r="H197" s="607">
        <f ca="1"/>
        <v>0</v>
      </c>
      <c r="I197" s="607">
        <f ca="1"/>
        <v>0</v>
      </c>
      <c r="J197" s="607">
        <f ca="1"/>
        <v>0</v>
      </c>
      <c r="K197" s="607">
        <f ca="1"/>
        <v>0</v>
      </c>
      <c r="L197" s="607">
        <f ca="1"/>
        <v>0</v>
      </c>
      <c r="M197" s="607">
        <f ca="1"/>
        <v>0</v>
      </c>
      <c r="N197" s="607">
        <f ca="1"/>
        <v>0</v>
      </c>
      <c r="O197" s="607">
        <f ca="1"/>
        <v>0</v>
      </c>
      <c r="P197" s="607">
        <f ca="1"/>
        <v>0</v>
      </c>
      <c r="Q197" s="607">
        <f ca="1"/>
        <v>0</v>
      </c>
      <c r="R197" s="607">
        <f ca="1"/>
        <v>0</v>
      </c>
      <c r="S197" s="607">
        <f ca="1"/>
        <v>0</v>
      </c>
      <c r="T197" s="607">
        <f ca="1"/>
        <v>0</v>
      </c>
      <c r="U197" s="607">
        <f ca="1"/>
        <v>0</v>
      </c>
      <c r="V197" s="607">
        <f ca="1"/>
        <v>0</v>
      </c>
      <c r="W197" s="607">
        <f ca="1"/>
        <v>0</v>
      </c>
      <c r="X197" s="607">
        <f ca="1"/>
        <v>0</v>
      </c>
      <c r="Y197" s="2008">
        <f ca="1"/>
        <v>0</v>
      </c>
    </row>
    <row r="199" spans="1:25" ht="18.75" thickBot="1">
      <c r="A199" s="1993" t="str">
        <f>'Distr CV 0'!A199</f>
        <v xml:space="preserve">Compras / custos de producción por meses de </v>
      </c>
      <c r="I199" s="1993" t="str">
        <f>$I$109</f>
        <v>IVA NÃO incluido</v>
      </c>
      <c r="K199" s="2005">
        <f>Parametros!$F$29</f>
        <v>0.21</v>
      </c>
    </row>
    <row r="200" spans="1:25" ht="33" customHeight="1" thickBot="1">
      <c r="A200" s="457" t="str">
        <f>'Distr CV 0'!A200</f>
        <v>mes de compra / custo</v>
      </c>
      <c r="B200" s="2011" t="str">
        <f t="array" ref="B200:Y200">B$71:Y$71</f>
        <v>janeiro 
2030</v>
      </c>
      <c r="C200" s="2011" t="str">
        <v>fevereiro 
2030</v>
      </c>
      <c r="D200" s="2011" t="str">
        <v>março 
2030</v>
      </c>
      <c r="E200" s="2011" t="str">
        <v>abril 
2030</v>
      </c>
      <c r="F200" s="2011" t="str">
        <v>maio 
2030</v>
      </c>
      <c r="G200" s="2011" t="str">
        <v>junho 
2030</v>
      </c>
      <c r="H200" s="2011" t="str">
        <v>julho 
2030</v>
      </c>
      <c r="I200" s="2011" t="str">
        <v>agosto 
2030</v>
      </c>
      <c r="J200" s="2011" t="str">
        <v>setembro 
2030</v>
      </c>
      <c r="K200" s="2011" t="str">
        <v>outubro 
2030</v>
      </c>
      <c r="L200" s="2011" t="str">
        <v>novembro 
2030</v>
      </c>
      <c r="M200" s="2011" t="str">
        <v>dezembro 
2030</v>
      </c>
      <c r="N200" s="2737" t="str">
        <v>janeiro 
2031</v>
      </c>
      <c r="O200" s="2738" t="str">
        <v>fevereiro 
2031</v>
      </c>
      <c r="P200" s="2738" t="str">
        <v>março 
2031</v>
      </c>
      <c r="Q200" s="2738" t="str">
        <v>abril 
2031</v>
      </c>
      <c r="R200" s="2738" t="str">
        <v>maio 
2031</v>
      </c>
      <c r="S200" s="2738" t="str">
        <v>junho 
2031</v>
      </c>
      <c r="T200" s="2738" t="str">
        <v>julho 
2031</v>
      </c>
      <c r="U200" s="2738" t="str">
        <v>agosto 
2031</v>
      </c>
      <c r="V200" s="2738" t="str">
        <v>setembro 
2031</v>
      </c>
      <c r="W200" s="2738" t="str">
        <v>outubro 
2031</v>
      </c>
      <c r="X200" s="2738" t="str">
        <v>novembro 
2031</v>
      </c>
      <c r="Y200" s="2739" t="str">
        <v>dezembro 
2031</v>
      </c>
    </row>
    <row r="201" spans="1:25">
      <c r="A201" s="1994" t="str">
        <f>A$72</f>
        <v>mismo mes</v>
      </c>
      <c r="B201" s="1991"/>
      <c r="C201" s="1991"/>
      <c r="D201" s="1991"/>
      <c r="E201" s="1991"/>
      <c r="F201" s="1991"/>
      <c r="G201" s="1991"/>
      <c r="H201" s="1991"/>
      <c r="I201" s="1991"/>
      <c r="J201" s="1991"/>
      <c r="K201" s="1991"/>
      <c r="L201" s="1991"/>
      <c r="M201" s="1991"/>
      <c r="N201" s="603">
        <f t="array" aca="1" ref="N201:Y201" ca="1">B25:M25*Produção!$N$13</f>
        <v>0</v>
      </c>
      <c r="O201" s="603">
        <f ca="1"/>
        <v>0</v>
      </c>
      <c r="P201" s="603">
        <f ca="1"/>
        <v>0</v>
      </c>
      <c r="Q201" s="603">
        <f ca="1"/>
        <v>0</v>
      </c>
      <c r="R201" s="603">
        <f ca="1"/>
        <v>0</v>
      </c>
      <c r="S201" s="603">
        <f ca="1"/>
        <v>0</v>
      </c>
      <c r="T201" s="603">
        <f ca="1"/>
        <v>0</v>
      </c>
      <c r="U201" s="603">
        <f ca="1"/>
        <v>0</v>
      </c>
      <c r="V201" s="603">
        <f ca="1"/>
        <v>0</v>
      </c>
      <c r="W201" s="603">
        <f ca="1"/>
        <v>0</v>
      </c>
      <c r="X201" s="603">
        <f ca="1"/>
        <v>0</v>
      </c>
      <c r="Y201" s="2006">
        <f ca="1"/>
        <v>0</v>
      </c>
    </row>
    <row r="202" spans="1:25">
      <c r="A202" s="1995" t="str">
        <f>A$73</f>
        <v>1 mes antes</v>
      </c>
      <c r="B202" s="1991"/>
      <c r="C202" s="1991"/>
      <c r="D202" s="1991"/>
      <c r="E202" s="1991"/>
      <c r="F202" s="1991"/>
      <c r="G202" s="1991"/>
      <c r="H202" s="1991"/>
      <c r="I202" s="1991"/>
      <c r="J202" s="1991"/>
      <c r="K202" s="1991"/>
      <c r="L202" s="1991"/>
      <c r="M202" s="603">
        <f t="array" aca="1" ref="M202:X202" ca="1">B25:M25*Produção!$M$13</f>
        <v>0</v>
      </c>
      <c r="N202" s="603">
        <f ca="1"/>
        <v>0</v>
      </c>
      <c r="O202" s="603">
        <f ca="1"/>
        <v>0</v>
      </c>
      <c r="P202" s="603">
        <f ca="1"/>
        <v>0</v>
      </c>
      <c r="Q202" s="603">
        <f ca="1"/>
        <v>0</v>
      </c>
      <c r="R202" s="603">
        <f ca="1"/>
        <v>0</v>
      </c>
      <c r="S202" s="603">
        <f ca="1"/>
        <v>0</v>
      </c>
      <c r="T202" s="603">
        <f ca="1"/>
        <v>0</v>
      </c>
      <c r="U202" s="603">
        <f ca="1"/>
        <v>0</v>
      </c>
      <c r="V202" s="603">
        <f ca="1"/>
        <v>0</v>
      </c>
      <c r="W202" s="603">
        <f ca="1"/>
        <v>0</v>
      </c>
      <c r="X202" s="603">
        <f ca="1"/>
        <v>0</v>
      </c>
      <c r="Y202" s="2007"/>
    </row>
    <row r="203" spans="1:25">
      <c r="A203" s="1995" t="str">
        <f>A$74</f>
        <v>2 meses antes</v>
      </c>
      <c r="B203" s="1991"/>
      <c r="C203" s="1991"/>
      <c r="D203" s="1991"/>
      <c r="E203" s="1991"/>
      <c r="F203" s="1991"/>
      <c r="G203" s="1991"/>
      <c r="H203" s="1991"/>
      <c r="I203" s="1991"/>
      <c r="J203" s="1991"/>
      <c r="K203" s="1991"/>
      <c r="L203" s="603">
        <f t="array" aca="1" ref="L203:W203" ca="1">B25:M25*Produção!$L$13</f>
        <v>0</v>
      </c>
      <c r="M203" s="603">
        <f ca="1"/>
        <v>0</v>
      </c>
      <c r="N203" s="603">
        <f ca="1"/>
        <v>0</v>
      </c>
      <c r="O203" s="603">
        <f ca="1"/>
        <v>0</v>
      </c>
      <c r="P203" s="603">
        <f ca="1"/>
        <v>0</v>
      </c>
      <c r="Q203" s="603">
        <f ca="1"/>
        <v>0</v>
      </c>
      <c r="R203" s="603">
        <f ca="1"/>
        <v>0</v>
      </c>
      <c r="S203" s="603">
        <f ca="1"/>
        <v>0</v>
      </c>
      <c r="T203" s="603">
        <f ca="1"/>
        <v>0</v>
      </c>
      <c r="U203" s="603">
        <f ca="1"/>
        <v>0</v>
      </c>
      <c r="V203" s="603">
        <f ca="1"/>
        <v>0</v>
      </c>
      <c r="W203" s="603">
        <f ca="1"/>
        <v>0</v>
      </c>
      <c r="X203" s="1991"/>
      <c r="Y203" s="2007"/>
    </row>
    <row r="204" spans="1:25">
      <c r="A204" s="1995" t="str">
        <f>A$75</f>
        <v>3 meses antes</v>
      </c>
      <c r="B204" s="1991"/>
      <c r="C204" s="1991"/>
      <c r="D204" s="1991"/>
      <c r="E204" s="1991"/>
      <c r="F204" s="1991"/>
      <c r="G204" s="1991"/>
      <c r="H204" s="1991"/>
      <c r="I204" s="1991"/>
      <c r="J204" s="1991"/>
      <c r="K204" s="603">
        <f t="array" aca="1" ref="K204:V204" ca="1">B25:M25*Produção!$K$13</f>
        <v>0</v>
      </c>
      <c r="L204" s="603">
        <f ca="1"/>
        <v>0</v>
      </c>
      <c r="M204" s="603">
        <f ca="1"/>
        <v>0</v>
      </c>
      <c r="N204" s="603">
        <f ca="1"/>
        <v>0</v>
      </c>
      <c r="O204" s="603">
        <f ca="1"/>
        <v>0</v>
      </c>
      <c r="P204" s="603">
        <f ca="1"/>
        <v>0</v>
      </c>
      <c r="Q204" s="603">
        <f ca="1"/>
        <v>0</v>
      </c>
      <c r="R204" s="603">
        <f ca="1"/>
        <v>0</v>
      </c>
      <c r="S204" s="603">
        <f ca="1"/>
        <v>0</v>
      </c>
      <c r="T204" s="603">
        <f ca="1"/>
        <v>0</v>
      </c>
      <c r="U204" s="603">
        <f ca="1"/>
        <v>0</v>
      </c>
      <c r="V204" s="603">
        <f ca="1"/>
        <v>0</v>
      </c>
      <c r="W204" s="1991"/>
      <c r="X204" s="1991"/>
      <c r="Y204" s="2007"/>
    </row>
    <row r="205" spans="1:25">
      <c r="A205" s="1995" t="str">
        <f>A$76</f>
        <v>4 meses antes</v>
      </c>
      <c r="B205" s="1991"/>
      <c r="C205" s="1991"/>
      <c r="D205" s="1991"/>
      <c r="E205" s="1991"/>
      <c r="F205" s="1991"/>
      <c r="G205" s="1991"/>
      <c r="H205" s="1991"/>
      <c r="I205" s="1991"/>
      <c r="J205" s="603">
        <f t="array" aca="1" ref="J205:U205" ca="1">B25:M25*Produção!$J$13</f>
        <v>0</v>
      </c>
      <c r="K205" s="603">
        <f ca="1"/>
        <v>0</v>
      </c>
      <c r="L205" s="603">
        <f ca="1"/>
        <v>0</v>
      </c>
      <c r="M205" s="603">
        <f ca="1"/>
        <v>0</v>
      </c>
      <c r="N205" s="603">
        <f ca="1"/>
        <v>0</v>
      </c>
      <c r="O205" s="603">
        <f ca="1"/>
        <v>0</v>
      </c>
      <c r="P205" s="603">
        <f ca="1"/>
        <v>0</v>
      </c>
      <c r="Q205" s="603">
        <f ca="1"/>
        <v>0</v>
      </c>
      <c r="R205" s="603">
        <f ca="1"/>
        <v>0</v>
      </c>
      <c r="S205" s="603">
        <f ca="1"/>
        <v>0</v>
      </c>
      <c r="T205" s="603">
        <f ca="1"/>
        <v>0</v>
      </c>
      <c r="U205" s="603">
        <f ca="1"/>
        <v>0</v>
      </c>
      <c r="V205" s="1991"/>
      <c r="W205" s="1991"/>
      <c r="X205" s="1991"/>
      <c r="Y205" s="2007"/>
    </row>
    <row r="206" spans="1:25">
      <c r="A206" s="1995" t="str">
        <f>A$77</f>
        <v>5 meses antes</v>
      </c>
      <c r="B206" s="1991"/>
      <c r="C206" s="1991"/>
      <c r="D206" s="1991"/>
      <c r="E206" s="1991"/>
      <c r="F206" s="1991"/>
      <c r="G206" s="1991"/>
      <c r="H206" s="1991"/>
      <c r="I206" s="603">
        <f t="array" aca="1" ref="I206:T206" ca="1">B25:M25*Produção!$I$13</f>
        <v>0</v>
      </c>
      <c r="J206" s="603">
        <f ca="1"/>
        <v>0</v>
      </c>
      <c r="K206" s="603">
        <f ca="1"/>
        <v>0</v>
      </c>
      <c r="L206" s="603">
        <f ca="1"/>
        <v>0</v>
      </c>
      <c r="M206" s="603">
        <f ca="1"/>
        <v>0</v>
      </c>
      <c r="N206" s="603">
        <f ca="1"/>
        <v>0</v>
      </c>
      <c r="O206" s="603">
        <f ca="1"/>
        <v>0</v>
      </c>
      <c r="P206" s="603">
        <f ca="1"/>
        <v>0</v>
      </c>
      <c r="Q206" s="603">
        <f ca="1"/>
        <v>0</v>
      </c>
      <c r="R206" s="603">
        <f ca="1"/>
        <v>0</v>
      </c>
      <c r="S206" s="603">
        <f ca="1"/>
        <v>0</v>
      </c>
      <c r="T206" s="603">
        <f ca="1"/>
        <v>0</v>
      </c>
      <c r="U206" s="1991"/>
      <c r="V206" s="1991"/>
      <c r="W206" s="1991"/>
      <c r="X206" s="1991"/>
      <c r="Y206" s="2007"/>
    </row>
    <row r="207" spans="1:25">
      <c r="A207" s="1995" t="str">
        <f>A$78</f>
        <v>6 meses antes</v>
      </c>
      <c r="B207" s="1991"/>
      <c r="C207" s="1991"/>
      <c r="D207" s="1991"/>
      <c r="E207" s="1991"/>
      <c r="F207" s="1991"/>
      <c r="G207" s="1991"/>
      <c r="H207" s="603">
        <f t="array" aca="1" ref="H207:S207" ca="1">B25:M25*Produção!$H$13</f>
        <v>0</v>
      </c>
      <c r="I207" s="603">
        <f ca="1"/>
        <v>0</v>
      </c>
      <c r="J207" s="603">
        <f ca="1"/>
        <v>0</v>
      </c>
      <c r="K207" s="603">
        <f ca="1"/>
        <v>0</v>
      </c>
      <c r="L207" s="603">
        <f ca="1"/>
        <v>0</v>
      </c>
      <c r="M207" s="603">
        <f ca="1"/>
        <v>0</v>
      </c>
      <c r="N207" s="603">
        <f ca="1"/>
        <v>0</v>
      </c>
      <c r="O207" s="603">
        <f ca="1"/>
        <v>0</v>
      </c>
      <c r="P207" s="603">
        <f ca="1"/>
        <v>0</v>
      </c>
      <c r="Q207" s="603">
        <f ca="1"/>
        <v>0</v>
      </c>
      <c r="R207" s="603">
        <f ca="1"/>
        <v>0</v>
      </c>
      <c r="S207" s="603">
        <f ca="1"/>
        <v>0</v>
      </c>
      <c r="T207" s="1991"/>
      <c r="U207" s="1991"/>
      <c r="V207" s="1991"/>
      <c r="W207" s="1991"/>
      <c r="X207" s="1991"/>
      <c r="Y207" s="2007"/>
    </row>
    <row r="208" spans="1:25">
      <c r="A208" s="1995" t="str">
        <f>A$79</f>
        <v>7 meses antes</v>
      </c>
      <c r="B208" s="1991"/>
      <c r="C208" s="1991"/>
      <c r="D208" s="1991"/>
      <c r="E208" s="1991"/>
      <c r="F208" s="1991"/>
      <c r="G208" s="603">
        <f t="array" aca="1" ref="G208:R208" ca="1">B25:M25*Produção!$G$13</f>
        <v>0</v>
      </c>
      <c r="H208" s="603">
        <f ca="1"/>
        <v>0</v>
      </c>
      <c r="I208" s="603">
        <f ca="1"/>
        <v>0</v>
      </c>
      <c r="J208" s="603">
        <f ca="1"/>
        <v>0</v>
      </c>
      <c r="K208" s="603">
        <f ca="1"/>
        <v>0</v>
      </c>
      <c r="L208" s="603">
        <f ca="1"/>
        <v>0</v>
      </c>
      <c r="M208" s="603">
        <f ca="1"/>
        <v>0</v>
      </c>
      <c r="N208" s="603">
        <f ca="1"/>
        <v>0</v>
      </c>
      <c r="O208" s="603">
        <f ca="1"/>
        <v>0</v>
      </c>
      <c r="P208" s="603">
        <f ca="1"/>
        <v>0</v>
      </c>
      <c r="Q208" s="603">
        <f ca="1"/>
        <v>0</v>
      </c>
      <c r="R208" s="603">
        <f ca="1"/>
        <v>0</v>
      </c>
      <c r="S208" s="1991"/>
      <c r="T208" s="1991"/>
      <c r="U208" s="1991"/>
      <c r="V208" s="1991"/>
      <c r="W208" s="1991"/>
      <c r="X208" s="1991"/>
      <c r="Y208" s="2007"/>
    </row>
    <row r="209" spans="1:25">
      <c r="A209" s="1995" t="str">
        <f>A$80</f>
        <v>8 meses antes</v>
      </c>
      <c r="B209" s="1991"/>
      <c r="C209" s="1991"/>
      <c r="D209" s="1991"/>
      <c r="E209" s="1991"/>
      <c r="F209" s="603">
        <f t="array" aca="1" ref="F209:Q209" ca="1">B25:M25*Produção!$F$13</f>
        <v>0</v>
      </c>
      <c r="G209" s="603">
        <f ca="1"/>
        <v>0</v>
      </c>
      <c r="H209" s="603">
        <f ca="1"/>
        <v>0</v>
      </c>
      <c r="I209" s="603">
        <f ca="1"/>
        <v>0</v>
      </c>
      <c r="J209" s="603">
        <f ca="1"/>
        <v>0</v>
      </c>
      <c r="K209" s="603">
        <f ca="1"/>
        <v>0</v>
      </c>
      <c r="L209" s="603">
        <f ca="1"/>
        <v>0</v>
      </c>
      <c r="M209" s="603">
        <f ca="1"/>
        <v>0</v>
      </c>
      <c r="N209" s="603">
        <f ca="1"/>
        <v>0</v>
      </c>
      <c r="O209" s="603">
        <f ca="1"/>
        <v>0</v>
      </c>
      <c r="P209" s="603">
        <f ca="1"/>
        <v>0</v>
      </c>
      <c r="Q209" s="603">
        <f ca="1"/>
        <v>0</v>
      </c>
      <c r="R209" s="1991"/>
      <c r="S209" s="1991"/>
      <c r="T209" s="1991"/>
      <c r="U209" s="1991"/>
      <c r="V209" s="1991"/>
      <c r="W209" s="1991"/>
      <c r="X209" s="1991"/>
      <c r="Y209" s="2007"/>
    </row>
    <row r="210" spans="1:25">
      <c r="A210" s="1995" t="str">
        <f>A$81</f>
        <v>9 meses antes</v>
      </c>
      <c r="B210" s="1991"/>
      <c r="C210" s="1991"/>
      <c r="D210" s="1991"/>
      <c r="E210" s="603">
        <f t="array" aca="1" ref="E210:P210" ca="1">B25:M25*Produção!$E$13</f>
        <v>0</v>
      </c>
      <c r="F210" s="603">
        <f ca="1"/>
        <v>0</v>
      </c>
      <c r="G210" s="603">
        <f ca="1"/>
        <v>0</v>
      </c>
      <c r="H210" s="603">
        <f ca="1"/>
        <v>0</v>
      </c>
      <c r="I210" s="603">
        <f ca="1"/>
        <v>0</v>
      </c>
      <c r="J210" s="603">
        <f ca="1"/>
        <v>0</v>
      </c>
      <c r="K210" s="603">
        <f ca="1"/>
        <v>0</v>
      </c>
      <c r="L210" s="603">
        <f ca="1"/>
        <v>0</v>
      </c>
      <c r="M210" s="603">
        <f ca="1"/>
        <v>0</v>
      </c>
      <c r="N210" s="603">
        <f ca="1"/>
        <v>0</v>
      </c>
      <c r="O210" s="603">
        <f ca="1"/>
        <v>0</v>
      </c>
      <c r="P210" s="603">
        <f ca="1"/>
        <v>0</v>
      </c>
      <c r="Q210" s="1991"/>
      <c r="R210" s="1991"/>
      <c r="S210" s="1991"/>
      <c r="T210" s="1991"/>
      <c r="U210" s="1991"/>
      <c r="V210" s="1991"/>
      <c r="W210" s="1991"/>
      <c r="X210" s="1991"/>
      <c r="Y210" s="2007"/>
    </row>
    <row r="211" spans="1:25">
      <c r="A211" s="1995" t="str">
        <f>A$82</f>
        <v>10 meses antes</v>
      </c>
      <c r="B211" s="1991"/>
      <c r="C211" s="1991"/>
      <c r="D211" s="603">
        <f t="array" aca="1" ref="D211:O211" ca="1">B25:M25*Produção!$D$13</f>
        <v>0</v>
      </c>
      <c r="E211" s="603">
        <f ca="1"/>
        <v>0</v>
      </c>
      <c r="F211" s="603">
        <f ca="1"/>
        <v>0</v>
      </c>
      <c r="G211" s="603">
        <f ca="1"/>
        <v>0</v>
      </c>
      <c r="H211" s="603">
        <f ca="1"/>
        <v>0</v>
      </c>
      <c r="I211" s="603">
        <f ca="1"/>
        <v>0</v>
      </c>
      <c r="J211" s="603">
        <f ca="1"/>
        <v>0</v>
      </c>
      <c r="K211" s="603">
        <f ca="1"/>
        <v>0</v>
      </c>
      <c r="L211" s="603">
        <f ca="1"/>
        <v>0</v>
      </c>
      <c r="M211" s="603">
        <f ca="1"/>
        <v>0</v>
      </c>
      <c r="N211" s="603">
        <f ca="1"/>
        <v>0</v>
      </c>
      <c r="O211" s="603">
        <f ca="1"/>
        <v>0</v>
      </c>
      <c r="P211" s="1991"/>
      <c r="Q211" s="1991"/>
      <c r="R211" s="1991"/>
      <c r="S211" s="1991"/>
      <c r="T211" s="1991"/>
      <c r="U211" s="1991"/>
      <c r="V211" s="1991"/>
      <c r="W211" s="1991"/>
      <c r="X211" s="1991"/>
      <c r="Y211" s="2007"/>
    </row>
    <row r="212" spans="1:25">
      <c r="A212" s="1995" t="str">
        <f>A$83</f>
        <v>11 meses antes</v>
      </c>
      <c r="B212" s="1991"/>
      <c r="C212" s="603">
        <f t="array" aca="1" ref="C212:N212" ca="1">B25:M25*Produção!$C$13</f>
        <v>0</v>
      </c>
      <c r="D212" s="603">
        <f ca="1"/>
        <v>0</v>
      </c>
      <c r="E212" s="603">
        <f ca="1"/>
        <v>0</v>
      </c>
      <c r="F212" s="603">
        <f ca="1"/>
        <v>0</v>
      </c>
      <c r="G212" s="603">
        <f ca="1"/>
        <v>0</v>
      </c>
      <c r="H212" s="603">
        <f ca="1"/>
        <v>0</v>
      </c>
      <c r="I212" s="603">
        <f ca="1"/>
        <v>0</v>
      </c>
      <c r="J212" s="603">
        <f ca="1"/>
        <v>0</v>
      </c>
      <c r="K212" s="603">
        <f ca="1"/>
        <v>0</v>
      </c>
      <c r="L212" s="603">
        <f ca="1"/>
        <v>0</v>
      </c>
      <c r="M212" s="603">
        <f ca="1"/>
        <v>0</v>
      </c>
      <c r="N212" s="603">
        <f ca="1"/>
        <v>0</v>
      </c>
      <c r="O212" s="1991"/>
      <c r="P212" s="1991"/>
      <c r="Q212" s="1991"/>
      <c r="R212" s="1991"/>
      <c r="S212" s="1991"/>
      <c r="T212" s="1991"/>
      <c r="U212" s="1991"/>
      <c r="V212" s="1991"/>
      <c r="W212" s="1991"/>
      <c r="X212" s="1991"/>
      <c r="Y212" s="2007"/>
    </row>
    <row r="213" spans="1:25" ht="13.5" thickBot="1">
      <c r="A213" s="1995" t="str">
        <f>A$84</f>
        <v>12 meses antes</v>
      </c>
      <c r="B213" s="603">
        <f t="array" aca="1" ref="B213:M213" ca="1">B25:M25*Produção!$B$13</f>
        <v>0</v>
      </c>
      <c r="C213" s="603">
        <f ca="1"/>
        <v>0</v>
      </c>
      <c r="D213" s="603">
        <f ca="1"/>
        <v>0</v>
      </c>
      <c r="E213" s="603">
        <f ca="1"/>
        <v>0</v>
      </c>
      <c r="F213" s="603">
        <f ca="1"/>
        <v>0</v>
      </c>
      <c r="G213" s="603">
        <f ca="1"/>
        <v>0</v>
      </c>
      <c r="H213" s="603">
        <f ca="1"/>
        <v>0</v>
      </c>
      <c r="I213" s="603">
        <f ca="1"/>
        <v>0</v>
      </c>
      <c r="J213" s="603">
        <f ca="1"/>
        <v>0</v>
      </c>
      <c r="K213" s="603">
        <f ca="1"/>
        <v>0</v>
      </c>
      <c r="L213" s="603">
        <f ca="1"/>
        <v>0</v>
      </c>
      <c r="M213" s="603">
        <f ca="1"/>
        <v>0</v>
      </c>
      <c r="N213" s="1991"/>
      <c r="O213" s="1991"/>
      <c r="P213" s="1991"/>
      <c r="Q213" s="1991"/>
      <c r="R213" s="1991"/>
      <c r="S213" s="1991"/>
      <c r="T213" s="1991"/>
      <c r="U213" s="1991"/>
      <c r="V213" s="1991"/>
      <c r="W213" s="1991"/>
      <c r="X213" s="1991"/>
      <c r="Y213" s="2007"/>
    </row>
    <row r="214" spans="1:25" ht="13.5" thickBot="1">
      <c r="A214" s="105" t="str">
        <f>"Totales CV "&amp;A$13</f>
        <v xml:space="preserve">Totales CV </v>
      </c>
      <c r="B214" s="607">
        <f t="shared" ref="B214:Y214" ca="1" si="17">SUM(B201:B213)</f>
        <v>0</v>
      </c>
      <c r="C214" s="607">
        <f t="shared" ca="1" si="17"/>
        <v>0</v>
      </c>
      <c r="D214" s="607">
        <f t="shared" ca="1" si="17"/>
        <v>0</v>
      </c>
      <c r="E214" s="607">
        <f t="shared" ca="1" si="17"/>
        <v>0</v>
      </c>
      <c r="F214" s="607">
        <f t="shared" ca="1" si="17"/>
        <v>0</v>
      </c>
      <c r="G214" s="607">
        <f t="shared" ca="1" si="17"/>
        <v>0</v>
      </c>
      <c r="H214" s="607">
        <f t="shared" ca="1" si="17"/>
        <v>0</v>
      </c>
      <c r="I214" s="607">
        <f t="shared" ca="1" si="17"/>
        <v>0</v>
      </c>
      <c r="J214" s="607">
        <f t="shared" ca="1" si="17"/>
        <v>0</v>
      </c>
      <c r="K214" s="607">
        <f t="shared" ca="1" si="17"/>
        <v>0</v>
      </c>
      <c r="L214" s="607">
        <f t="shared" ca="1" si="17"/>
        <v>0</v>
      </c>
      <c r="M214" s="607">
        <f t="shared" ca="1" si="17"/>
        <v>0</v>
      </c>
      <c r="N214" s="607">
        <f t="shared" ca="1" si="17"/>
        <v>0</v>
      </c>
      <c r="O214" s="607">
        <f t="shared" ca="1" si="17"/>
        <v>0</v>
      </c>
      <c r="P214" s="607">
        <f t="shared" ca="1" si="17"/>
        <v>0</v>
      </c>
      <c r="Q214" s="607">
        <f t="shared" ca="1" si="17"/>
        <v>0</v>
      </c>
      <c r="R214" s="607">
        <f t="shared" ca="1" si="17"/>
        <v>0</v>
      </c>
      <c r="S214" s="607">
        <f t="shared" ca="1" si="17"/>
        <v>0</v>
      </c>
      <c r="T214" s="607">
        <f t="shared" ca="1" si="17"/>
        <v>0</v>
      </c>
      <c r="U214" s="607">
        <f t="shared" ca="1" si="17"/>
        <v>0</v>
      </c>
      <c r="V214" s="607">
        <f t="shared" ca="1" si="17"/>
        <v>0</v>
      </c>
      <c r="W214" s="607">
        <f t="shared" ca="1" si="17"/>
        <v>0</v>
      </c>
      <c r="X214" s="607">
        <f t="shared" ca="1" si="17"/>
        <v>0</v>
      </c>
      <c r="Y214" s="2008">
        <f t="shared" ca="1" si="17"/>
        <v>0</v>
      </c>
    </row>
    <row r="215" spans="1:25" ht="13.5" thickBot="1">
      <c r="A215" s="105" t="str">
        <f>'Dados Básicos'!A28&amp;" sop. CV "&amp;$A$13</f>
        <v xml:space="preserve">IVA sop. CV </v>
      </c>
      <c r="B215" s="607">
        <f t="array" aca="1" ref="B215:Y215" ca="1">$K$199*B214:Y214</f>
        <v>0</v>
      </c>
      <c r="C215" s="607">
        <f ca="1"/>
        <v>0</v>
      </c>
      <c r="D215" s="607">
        <f ca="1"/>
        <v>0</v>
      </c>
      <c r="E215" s="607">
        <f ca="1"/>
        <v>0</v>
      </c>
      <c r="F215" s="607">
        <f ca="1"/>
        <v>0</v>
      </c>
      <c r="G215" s="607">
        <f ca="1"/>
        <v>0</v>
      </c>
      <c r="H215" s="607">
        <f ca="1"/>
        <v>0</v>
      </c>
      <c r="I215" s="607">
        <f ca="1"/>
        <v>0</v>
      </c>
      <c r="J215" s="607">
        <f ca="1"/>
        <v>0</v>
      </c>
      <c r="K215" s="607">
        <f ca="1"/>
        <v>0</v>
      </c>
      <c r="L215" s="607">
        <f ca="1"/>
        <v>0</v>
      </c>
      <c r="M215" s="607">
        <f ca="1"/>
        <v>0</v>
      </c>
      <c r="N215" s="607">
        <f ca="1"/>
        <v>0</v>
      </c>
      <c r="O215" s="607">
        <f ca="1"/>
        <v>0</v>
      </c>
      <c r="P215" s="607">
        <f ca="1"/>
        <v>0</v>
      </c>
      <c r="Q215" s="607">
        <f ca="1"/>
        <v>0</v>
      </c>
      <c r="R215" s="607">
        <f ca="1"/>
        <v>0</v>
      </c>
      <c r="S215" s="607">
        <f ca="1"/>
        <v>0</v>
      </c>
      <c r="T215" s="607">
        <f ca="1"/>
        <v>0</v>
      </c>
      <c r="U215" s="607">
        <f ca="1"/>
        <v>0</v>
      </c>
      <c r="V215" s="607">
        <f ca="1"/>
        <v>0</v>
      </c>
      <c r="W215" s="607">
        <f ca="1"/>
        <v>0</v>
      </c>
      <c r="X215" s="607">
        <f ca="1"/>
        <v>0</v>
      </c>
      <c r="Y215" s="2008">
        <f ca="1"/>
        <v>0</v>
      </c>
    </row>
    <row r="217" spans="1:25" ht="18.75" thickBot="1">
      <c r="A217" s="1993" t="str">
        <f>'Distr CV 0'!A217</f>
        <v xml:space="preserve">Compras / custos de producción por meses de </v>
      </c>
      <c r="I217" s="1993" t="str">
        <f>$I$109</f>
        <v>IVA NÃO incluido</v>
      </c>
      <c r="K217" s="2005">
        <f>Parametros!$F$30</f>
        <v>0.21</v>
      </c>
    </row>
    <row r="218" spans="1:25" ht="33" customHeight="1" thickBot="1">
      <c r="A218" s="457" t="str">
        <f>'Distr CV 0'!A218</f>
        <v>mes de compra / custo</v>
      </c>
      <c r="B218" s="2011" t="str">
        <f t="array" ref="B218:Y218">B$71:Y$71</f>
        <v>janeiro 
2030</v>
      </c>
      <c r="C218" s="2011" t="str">
        <v>fevereiro 
2030</v>
      </c>
      <c r="D218" s="2011" t="str">
        <v>março 
2030</v>
      </c>
      <c r="E218" s="2011" t="str">
        <v>abril 
2030</v>
      </c>
      <c r="F218" s="2011" t="str">
        <v>maio 
2030</v>
      </c>
      <c r="G218" s="2011" t="str">
        <v>junho 
2030</v>
      </c>
      <c r="H218" s="2011" t="str">
        <v>julho 
2030</v>
      </c>
      <c r="I218" s="2011" t="str">
        <v>agosto 
2030</v>
      </c>
      <c r="J218" s="2011" t="str">
        <v>setembro 
2030</v>
      </c>
      <c r="K218" s="2011" t="str">
        <v>outubro 
2030</v>
      </c>
      <c r="L218" s="2011" t="str">
        <v>novembro 
2030</v>
      </c>
      <c r="M218" s="2011" t="str">
        <v>dezembro 
2030</v>
      </c>
      <c r="N218" s="2737" t="str">
        <v>janeiro 
2031</v>
      </c>
      <c r="O218" s="2738" t="str">
        <v>fevereiro 
2031</v>
      </c>
      <c r="P218" s="2738" t="str">
        <v>março 
2031</v>
      </c>
      <c r="Q218" s="2738" t="str">
        <v>abril 
2031</v>
      </c>
      <c r="R218" s="2738" t="str">
        <v>maio 
2031</v>
      </c>
      <c r="S218" s="2738" t="str">
        <v>junho 
2031</v>
      </c>
      <c r="T218" s="2738" t="str">
        <v>julho 
2031</v>
      </c>
      <c r="U218" s="2738" t="str">
        <v>agosto 
2031</v>
      </c>
      <c r="V218" s="2738" t="str">
        <v>setembro 
2031</v>
      </c>
      <c r="W218" s="2738" t="str">
        <v>outubro 
2031</v>
      </c>
      <c r="X218" s="2738" t="str">
        <v>novembro 
2031</v>
      </c>
      <c r="Y218" s="2739" t="str">
        <v>dezembro 
2031</v>
      </c>
    </row>
    <row r="219" spans="1:25">
      <c r="A219" s="1994" t="str">
        <f>A$72</f>
        <v>mismo mes</v>
      </c>
      <c r="B219" s="1991"/>
      <c r="C219" s="1991"/>
      <c r="D219" s="1991"/>
      <c r="E219" s="1991"/>
      <c r="F219" s="1991"/>
      <c r="G219" s="1991"/>
      <c r="H219" s="1991"/>
      <c r="I219" s="1991"/>
      <c r="J219" s="1991"/>
      <c r="K219" s="1991"/>
      <c r="L219" s="1991"/>
      <c r="M219" s="1991"/>
      <c r="N219" s="603">
        <f t="array" aca="1" ref="N219:Y219" ca="1">B26:M26*Produção!$N$14</f>
        <v>0</v>
      </c>
      <c r="O219" s="603">
        <f ca="1"/>
        <v>0</v>
      </c>
      <c r="P219" s="603">
        <f ca="1"/>
        <v>0</v>
      </c>
      <c r="Q219" s="603">
        <f ca="1"/>
        <v>0</v>
      </c>
      <c r="R219" s="603">
        <f ca="1"/>
        <v>0</v>
      </c>
      <c r="S219" s="603">
        <f ca="1"/>
        <v>0</v>
      </c>
      <c r="T219" s="603">
        <f ca="1"/>
        <v>0</v>
      </c>
      <c r="U219" s="603">
        <f ca="1"/>
        <v>0</v>
      </c>
      <c r="V219" s="603">
        <f ca="1"/>
        <v>0</v>
      </c>
      <c r="W219" s="603">
        <f ca="1"/>
        <v>0</v>
      </c>
      <c r="X219" s="603">
        <f ca="1"/>
        <v>0</v>
      </c>
      <c r="Y219" s="2006">
        <f ca="1"/>
        <v>0</v>
      </c>
    </row>
    <row r="220" spans="1:25">
      <c r="A220" s="1995" t="str">
        <f>A$73</f>
        <v>1 mes antes</v>
      </c>
      <c r="B220" s="1991"/>
      <c r="C220" s="1991"/>
      <c r="D220" s="1991"/>
      <c r="E220" s="1991"/>
      <c r="F220" s="1991"/>
      <c r="G220" s="1991"/>
      <c r="H220" s="1991"/>
      <c r="I220" s="1991"/>
      <c r="J220" s="1991"/>
      <c r="K220" s="1991"/>
      <c r="L220" s="1991"/>
      <c r="M220" s="603">
        <f t="array" aca="1" ref="M220:X220" ca="1">B26:M26*Produção!$M$14</f>
        <v>0</v>
      </c>
      <c r="N220" s="603">
        <f ca="1"/>
        <v>0</v>
      </c>
      <c r="O220" s="603">
        <f ca="1"/>
        <v>0</v>
      </c>
      <c r="P220" s="603">
        <f ca="1"/>
        <v>0</v>
      </c>
      <c r="Q220" s="603">
        <f ca="1"/>
        <v>0</v>
      </c>
      <c r="R220" s="603">
        <f ca="1"/>
        <v>0</v>
      </c>
      <c r="S220" s="603">
        <f ca="1"/>
        <v>0</v>
      </c>
      <c r="T220" s="603">
        <f ca="1"/>
        <v>0</v>
      </c>
      <c r="U220" s="603">
        <f ca="1"/>
        <v>0</v>
      </c>
      <c r="V220" s="603">
        <f ca="1"/>
        <v>0</v>
      </c>
      <c r="W220" s="603">
        <f ca="1"/>
        <v>0</v>
      </c>
      <c r="X220" s="603">
        <f ca="1"/>
        <v>0</v>
      </c>
      <c r="Y220" s="2007"/>
    </row>
    <row r="221" spans="1:25">
      <c r="A221" s="1995" t="str">
        <f>A$74</f>
        <v>2 meses antes</v>
      </c>
      <c r="B221" s="1991"/>
      <c r="C221" s="1991"/>
      <c r="D221" s="1991"/>
      <c r="E221" s="1991"/>
      <c r="F221" s="1991"/>
      <c r="G221" s="1991"/>
      <c r="H221" s="1991"/>
      <c r="I221" s="1991"/>
      <c r="J221" s="1991"/>
      <c r="K221" s="1991"/>
      <c r="L221" s="603">
        <f t="array" aca="1" ref="L221:W221" ca="1">B26:M26*Produção!$L$14</f>
        <v>0</v>
      </c>
      <c r="M221" s="603">
        <f ca="1"/>
        <v>0</v>
      </c>
      <c r="N221" s="603">
        <f ca="1"/>
        <v>0</v>
      </c>
      <c r="O221" s="603">
        <f ca="1"/>
        <v>0</v>
      </c>
      <c r="P221" s="603">
        <f ca="1"/>
        <v>0</v>
      </c>
      <c r="Q221" s="603">
        <f ca="1"/>
        <v>0</v>
      </c>
      <c r="R221" s="603">
        <f ca="1"/>
        <v>0</v>
      </c>
      <c r="S221" s="603">
        <f ca="1"/>
        <v>0</v>
      </c>
      <c r="T221" s="603">
        <f ca="1"/>
        <v>0</v>
      </c>
      <c r="U221" s="603">
        <f ca="1"/>
        <v>0</v>
      </c>
      <c r="V221" s="603">
        <f ca="1"/>
        <v>0</v>
      </c>
      <c r="W221" s="603">
        <f ca="1"/>
        <v>0</v>
      </c>
      <c r="X221" s="1991"/>
      <c r="Y221" s="2007"/>
    </row>
    <row r="222" spans="1:25">
      <c r="A222" s="1995" t="str">
        <f>A$75</f>
        <v>3 meses antes</v>
      </c>
      <c r="B222" s="1991"/>
      <c r="C222" s="1991"/>
      <c r="D222" s="1991"/>
      <c r="E222" s="1991"/>
      <c r="F222" s="1991"/>
      <c r="G222" s="1991"/>
      <c r="H222" s="1991"/>
      <c r="I222" s="1991"/>
      <c r="J222" s="1991"/>
      <c r="K222" s="603">
        <f t="array" aca="1" ref="K222:V222" ca="1">B26:M26*Produção!$K$14</f>
        <v>0</v>
      </c>
      <c r="L222" s="603">
        <f ca="1"/>
        <v>0</v>
      </c>
      <c r="M222" s="603">
        <f ca="1"/>
        <v>0</v>
      </c>
      <c r="N222" s="603">
        <f ca="1"/>
        <v>0</v>
      </c>
      <c r="O222" s="603">
        <f ca="1"/>
        <v>0</v>
      </c>
      <c r="P222" s="603">
        <f ca="1"/>
        <v>0</v>
      </c>
      <c r="Q222" s="603">
        <f ca="1"/>
        <v>0</v>
      </c>
      <c r="R222" s="603">
        <f ca="1"/>
        <v>0</v>
      </c>
      <c r="S222" s="603">
        <f ca="1"/>
        <v>0</v>
      </c>
      <c r="T222" s="603">
        <f ca="1"/>
        <v>0</v>
      </c>
      <c r="U222" s="603">
        <f ca="1"/>
        <v>0</v>
      </c>
      <c r="V222" s="603">
        <f ca="1"/>
        <v>0</v>
      </c>
      <c r="W222" s="1991"/>
      <c r="X222" s="1991"/>
      <c r="Y222" s="2007"/>
    </row>
    <row r="223" spans="1:25">
      <c r="A223" s="1995" t="str">
        <f>A$76</f>
        <v>4 meses antes</v>
      </c>
      <c r="B223" s="1991"/>
      <c r="C223" s="1991"/>
      <c r="D223" s="1991"/>
      <c r="E223" s="1991"/>
      <c r="F223" s="1991"/>
      <c r="G223" s="1991"/>
      <c r="H223" s="1991"/>
      <c r="I223" s="1991"/>
      <c r="J223" s="603">
        <f t="array" aca="1" ref="J223:U223" ca="1">B26:M26*Produção!$J$14</f>
        <v>0</v>
      </c>
      <c r="K223" s="603">
        <f ca="1"/>
        <v>0</v>
      </c>
      <c r="L223" s="603">
        <f ca="1"/>
        <v>0</v>
      </c>
      <c r="M223" s="603">
        <f ca="1"/>
        <v>0</v>
      </c>
      <c r="N223" s="603">
        <f ca="1"/>
        <v>0</v>
      </c>
      <c r="O223" s="603">
        <f ca="1"/>
        <v>0</v>
      </c>
      <c r="P223" s="603">
        <f ca="1"/>
        <v>0</v>
      </c>
      <c r="Q223" s="603">
        <f ca="1"/>
        <v>0</v>
      </c>
      <c r="R223" s="603">
        <f ca="1"/>
        <v>0</v>
      </c>
      <c r="S223" s="603">
        <f ca="1"/>
        <v>0</v>
      </c>
      <c r="T223" s="603">
        <f ca="1"/>
        <v>0</v>
      </c>
      <c r="U223" s="603">
        <f ca="1"/>
        <v>0</v>
      </c>
      <c r="V223" s="1991"/>
      <c r="W223" s="1991"/>
      <c r="X223" s="1991"/>
      <c r="Y223" s="2007"/>
    </row>
    <row r="224" spans="1:25">
      <c r="A224" s="1995" t="str">
        <f>A$77</f>
        <v>5 meses antes</v>
      </c>
      <c r="B224" s="1991"/>
      <c r="C224" s="1991"/>
      <c r="D224" s="1991"/>
      <c r="E224" s="1991"/>
      <c r="F224" s="1991"/>
      <c r="G224" s="1991"/>
      <c r="H224" s="1991"/>
      <c r="I224" s="603">
        <f t="array" aca="1" ref="I224:T224" ca="1">B26:M26*Produção!$I$14</f>
        <v>0</v>
      </c>
      <c r="J224" s="603">
        <f ca="1"/>
        <v>0</v>
      </c>
      <c r="K224" s="603">
        <f ca="1"/>
        <v>0</v>
      </c>
      <c r="L224" s="603">
        <f ca="1"/>
        <v>0</v>
      </c>
      <c r="M224" s="603">
        <f ca="1"/>
        <v>0</v>
      </c>
      <c r="N224" s="603">
        <f ca="1"/>
        <v>0</v>
      </c>
      <c r="O224" s="603">
        <f ca="1"/>
        <v>0</v>
      </c>
      <c r="P224" s="603">
        <f ca="1"/>
        <v>0</v>
      </c>
      <c r="Q224" s="603">
        <f ca="1"/>
        <v>0</v>
      </c>
      <c r="R224" s="603">
        <f ca="1"/>
        <v>0</v>
      </c>
      <c r="S224" s="603">
        <f ca="1"/>
        <v>0</v>
      </c>
      <c r="T224" s="603">
        <f ca="1"/>
        <v>0</v>
      </c>
      <c r="U224" s="1991"/>
      <c r="V224" s="1991"/>
      <c r="W224" s="1991"/>
      <c r="X224" s="1991"/>
      <c r="Y224" s="2007"/>
    </row>
    <row r="225" spans="1:25">
      <c r="A225" s="1995" t="str">
        <f>A$78</f>
        <v>6 meses antes</v>
      </c>
      <c r="B225" s="1991"/>
      <c r="C225" s="1991"/>
      <c r="D225" s="1991"/>
      <c r="E225" s="1991"/>
      <c r="F225" s="1991"/>
      <c r="G225" s="1991"/>
      <c r="H225" s="603">
        <f t="array" aca="1" ref="H225:S225" ca="1">B26:M26*Produção!$H$14</f>
        <v>0</v>
      </c>
      <c r="I225" s="603">
        <f ca="1"/>
        <v>0</v>
      </c>
      <c r="J225" s="603">
        <f ca="1"/>
        <v>0</v>
      </c>
      <c r="K225" s="603">
        <f ca="1"/>
        <v>0</v>
      </c>
      <c r="L225" s="603">
        <f ca="1"/>
        <v>0</v>
      </c>
      <c r="M225" s="603">
        <f ca="1"/>
        <v>0</v>
      </c>
      <c r="N225" s="603">
        <f ca="1"/>
        <v>0</v>
      </c>
      <c r="O225" s="603">
        <f ca="1"/>
        <v>0</v>
      </c>
      <c r="P225" s="603">
        <f ca="1"/>
        <v>0</v>
      </c>
      <c r="Q225" s="603">
        <f ca="1"/>
        <v>0</v>
      </c>
      <c r="R225" s="603">
        <f ca="1"/>
        <v>0</v>
      </c>
      <c r="S225" s="603">
        <f ca="1"/>
        <v>0</v>
      </c>
      <c r="T225" s="1991"/>
      <c r="U225" s="1991"/>
      <c r="V225" s="1991"/>
      <c r="W225" s="1991"/>
      <c r="X225" s="1991"/>
      <c r="Y225" s="2007"/>
    </row>
    <row r="226" spans="1:25">
      <c r="A226" s="1995" t="str">
        <f>A$79</f>
        <v>7 meses antes</v>
      </c>
      <c r="B226" s="1991"/>
      <c r="C226" s="1991"/>
      <c r="D226" s="1991"/>
      <c r="E226" s="1991"/>
      <c r="F226" s="1991"/>
      <c r="G226" s="603">
        <f t="array" aca="1" ref="G226:R226" ca="1">B26:M26*Produção!$G$14</f>
        <v>0</v>
      </c>
      <c r="H226" s="603">
        <f ca="1"/>
        <v>0</v>
      </c>
      <c r="I226" s="603">
        <f ca="1"/>
        <v>0</v>
      </c>
      <c r="J226" s="603">
        <f ca="1"/>
        <v>0</v>
      </c>
      <c r="K226" s="603">
        <f ca="1"/>
        <v>0</v>
      </c>
      <c r="L226" s="603">
        <f ca="1"/>
        <v>0</v>
      </c>
      <c r="M226" s="603">
        <f ca="1"/>
        <v>0</v>
      </c>
      <c r="N226" s="603">
        <f ca="1"/>
        <v>0</v>
      </c>
      <c r="O226" s="603">
        <f ca="1"/>
        <v>0</v>
      </c>
      <c r="P226" s="603">
        <f ca="1"/>
        <v>0</v>
      </c>
      <c r="Q226" s="603">
        <f ca="1"/>
        <v>0</v>
      </c>
      <c r="R226" s="603">
        <f ca="1"/>
        <v>0</v>
      </c>
      <c r="S226" s="1991"/>
      <c r="T226" s="1991"/>
      <c r="U226" s="1991"/>
      <c r="V226" s="1991"/>
      <c r="W226" s="1991"/>
      <c r="X226" s="1991"/>
      <c r="Y226" s="2007"/>
    </row>
    <row r="227" spans="1:25">
      <c r="A227" s="1995" t="str">
        <f>A$80</f>
        <v>8 meses antes</v>
      </c>
      <c r="B227" s="1991"/>
      <c r="C227" s="1991"/>
      <c r="D227" s="1991"/>
      <c r="E227" s="1991"/>
      <c r="F227" s="603">
        <f t="array" aca="1" ref="F227:Q227" ca="1">B26:M26*Produção!$F$14</f>
        <v>0</v>
      </c>
      <c r="G227" s="603">
        <f ca="1"/>
        <v>0</v>
      </c>
      <c r="H227" s="603">
        <f ca="1"/>
        <v>0</v>
      </c>
      <c r="I227" s="603">
        <f ca="1"/>
        <v>0</v>
      </c>
      <c r="J227" s="603">
        <f ca="1"/>
        <v>0</v>
      </c>
      <c r="K227" s="603">
        <f ca="1"/>
        <v>0</v>
      </c>
      <c r="L227" s="603">
        <f ca="1"/>
        <v>0</v>
      </c>
      <c r="M227" s="603">
        <f ca="1"/>
        <v>0</v>
      </c>
      <c r="N227" s="603">
        <f ca="1"/>
        <v>0</v>
      </c>
      <c r="O227" s="603">
        <f ca="1"/>
        <v>0</v>
      </c>
      <c r="P227" s="603">
        <f ca="1"/>
        <v>0</v>
      </c>
      <c r="Q227" s="603">
        <f ca="1"/>
        <v>0</v>
      </c>
      <c r="R227" s="1991"/>
      <c r="S227" s="1991"/>
      <c r="T227" s="1991"/>
      <c r="U227" s="1991"/>
      <c r="V227" s="1991"/>
      <c r="W227" s="1991"/>
      <c r="X227" s="1991"/>
      <c r="Y227" s="2007"/>
    </row>
    <row r="228" spans="1:25">
      <c r="A228" s="1995" t="str">
        <f>A$81</f>
        <v>9 meses antes</v>
      </c>
      <c r="B228" s="1991"/>
      <c r="C228" s="1991"/>
      <c r="D228" s="1991"/>
      <c r="E228" s="603">
        <f t="array" aca="1" ref="E228:P228" ca="1">B26:M26*Produção!$E$14</f>
        <v>0</v>
      </c>
      <c r="F228" s="603">
        <f ca="1"/>
        <v>0</v>
      </c>
      <c r="G228" s="603">
        <f ca="1"/>
        <v>0</v>
      </c>
      <c r="H228" s="603">
        <f ca="1"/>
        <v>0</v>
      </c>
      <c r="I228" s="603">
        <f ca="1"/>
        <v>0</v>
      </c>
      <c r="J228" s="603">
        <f ca="1"/>
        <v>0</v>
      </c>
      <c r="K228" s="603">
        <f ca="1"/>
        <v>0</v>
      </c>
      <c r="L228" s="603">
        <f ca="1"/>
        <v>0</v>
      </c>
      <c r="M228" s="603">
        <f ca="1"/>
        <v>0</v>
      </c>
      <c r="N228" s="603">
        <f ca="1"/>
        <v>0</v>
      </c>
      <c r="O228" s="603">
        <f ca="1"/>
        <v>0</v>
      </c>
      <c r="P228" s="603">
        <f ca="1"/>
        <v>0</v>
      </c>
      <c r="Q228" s="1991"/>
      <c r="R228" s="1991"/>
      <c r="S228" s="1991"/>
      <c r="T228" s="1991"/>
      <c r="U228" s="1991"/>
      <c r="V228" s="1991"/>
      <c r="W228" s="1991"/>
      <c r="X228" s="1991"/>
      <c r="Y228" s="2007"/>
    </row>
    <row r="229" spans="1:25">
      <c r="A229" s="1995" t="str">
        <f>A$82</f>
        <v>10 meses antes</v>
      </c>
      <c r="B229" s="1991"/>
      <c r="C229" s="1991"/>
      <c r="D229" s="603">
        <f t="array" aca="1" ref="D229:O229" ca="1">B26:M26*Produção!$D$14</f>
        <v>0</v>
      </c>
      <c r="E229" s="603">
        <f ca="1"/>
        <v>0</v>
      </c>
      <c r="F229" s="603">
        <f ca="1"/>
        <v>0</v>
      </c>
      <c r="G229" s="603">
        <f ca="1"/>
        <v>0</v>
      </c>
      <c r="H229" s="603">
        <f ca="1"/>
        <v>0</v>
      </c>
      <c r="I229" s="603">
        <f ca="1"/>
        <v>0</v>
      </c>
      <c r="J229" s="603">
        <f ca="1"/>
        <v>0</v>
      </c>
      <c r="K229" s="603">
        <f ca="1"/>
        <v>0</v>
      </c>
      <c r="L229" s="603">
        <f ca="1"/>
        <v>0</v>
      </c>
      <c r="M229" s="603">
        <f ca="1"/>
        <v>0</v>
      </c>
      <c r="N229" s="603">
        <f ca="1"/>
        <v>0</v>
      </c>
      <c r="O229" s="603">
        <f ca="1"/>
        <v>0</v>
      </c>
      <c r="P229" s="1991"/>
      <c r="Q229" s="1991"/>
      <c r="R229" s="1991"/>
      <c r="S229" s="1991"/>
      <c r="T229" s="1991"/>
      <c r="U229" s="1991"/>
      <c r="V229" s="1991"/>
      <c r="W229" s="1991"/>
      <c r="X229" s="1991"/>
      <c r="Y229" s="2007"/>
    </row>
    <row r="230" spans="1:25">
      <c r="A230" s="1995" t="str">
        <f>A$83</f>
        <v>11 meses antes</v>
      </c>
      <c r="B230" s="1991"/>
      <c r="C230" s="603">
        <f t="array" aca="1" ref="C230:N230" ca="1">B26:M26*Produção!$C$14</f>
        <v>0</v>
      </c>
      <c r="D230" s="603">
        <f ca="1"/>
        <v>0</v>
      </c>
      <c r="E230" s="603">
        <f ca="1"/>
        <v>0</v>
      </c>
      <c r="F230" s="603">
        <f ca="1"/>
        <v>0</v>
      </c>
      <c r="G230" s="603">
        <f ca="1"/>
        <v>0</v>
      </c>
      <c r="H230" s="603">
        <f ca="1"/>
        <v>0</v>
      </c>
      <c r="I230" s="603">
        <f ca="1"/>
        <v>0</v>
      </c>
      <c r="J230" s="603">
        <f ca="1"/>
        <v>0</v>
      </c>
      <c r="K230" s="603">
        <f ca="1"/>
        <v>0</v>
      </c>
      <c r="L230" s="603">
        <f ca="1"/>
        <v>0</v>
      </c>
      <c r="M230" s="603">
        <f ca="1"/>
        <v>0</v>
      </c>
      <c r="N230" s="603">
        <f ca="1"/>
        <v>0</v>
      </c>
      <c r="O230" s="1991"/>
      <c r="P230" s="1991"/>
      <c r="Q230" s="1991"/>
      <c r="R230" s="1991"/>
      <c r="S230" s="1991"/>
      <c r="T230" s="1991"/>
      <c r="U230" s="1991"/>
      <c r="V230" s="1991"/>
      <c r="W230" s="1991"/>
      <c r="X230" s="1991"/>
      <c r="Y230" s="2007"/>
    </row>
    <row r="231" spans="1:25" ht="13.5" thickBot="1">
      <c r="A231" s="1995" t="str">
        <f>A$84</f>
        <v>12 meses antes</v>
      </c>
      <c r="B231" s="603">
        <f t="array" aca="1" ref="B231:M231" ca="1">B26:M26*Produção!$B$14</f>
        <v>0</v>
      </c>
      <c r="C231" s="603">
        <f ca="1"/>
        <v>0</v>
      </c>
      <c r="D231" s="603">
        <f ca="1"/>
        <v>0</v>
      </c>
      <c r="E231" s="603">
        <f ca="1"/>
        <v>0</v>
      </c>
      <c r="F231" s="603">
        <f ca="1"/>
        <v>0</v>
      </c>
      <c r="G231" s="603">
        <f ca="1"/>
        <v>0</v>
      </c>
      <c r="H231" s="603">
        <f ca="1"/>
        <v>0</v>
      </c>
      <c r="I231" s="603">
        <f ca="1"/>
        <v>0</v>
      </c>
      <c r="J231" s="603">
        <f ca="1"/>
        <v>0</v>
      </c>
      <c r="K231" s="603">
        <f ca="1"/>
        <v>0</v>
      </c>
      <c r="L231" s="603">
        <f ca="1"/>
        <v>0</v>
      </c>
      <c r="M231" s="603">
        <f ca="1"/>
        <v>0</v>
      </c>
      <c r="N231" s="1991"/>
      <c r="O231" s="1991"/>
      <c r="P231" s="1991"/>
      <c r="Q231" s="1991"/>
      <c r="R231" s="1991"/>
      <c r="S231" s="1991"/>
      <c r="T231" s="1991"/>
      <c r="U231" s="1991"/>
      <c r="V231" s="1991"/>
      <c r="W231" s="1991"/>
      <c r="X231" s="1991"/>
      <c r="Y231" s="2007"/>
    </row>
    <row r="232" spans="1:25" ht="13.5" thickBot="1">
      <c r="A232" s="105" t="str">
        <f>"Totales CV "&amp;A$14</f>
        <v xml:space="preserve">Totales CV </v>
      </c>
      <c r="B232" s="607">
        <f t="shared" ref="B232:Y232" ca="1" si="18">SUM(B219:B231)</f>
        <v>0</v>
      </c>
      <c r="C232" s="607">
        <f t="shared" ca="1" si="18"/>
        <v>0</v>
      </c>
      <c r="D232" s="607">
        <f t="shared" ca="1" si="18"/>
        <v>0</v>
      </c>
      <c r="E232" s="607">
        <f t="shared" ca="1" si="18"/>
        <v>0</v>
      </c>
      <c r="F232" s="607">
        <f t="shared" ca="1" si="18"/>
        <v>0</v>
      </c>
      <c r="G232" s="607">
        <f t="shared" ca="1" si="18"/>
        <v>0</v>
      </c>
      <c r="H232" s="607">
        <f t="shared" ca="1" si="18"/>
        <v>0</v>
      </c>
      <c r="I232" s="607">
        <f t="shared" ca="1" si="18"/>
        <v>0</v>
      </c>
      <c r="J232" s="607">
        <f t="shared" ca="1" si="18"/>
        <v>0</v>
      </c>
      <c r="K232" s="607">
        <f t="shared" ca="1" si="18"/>
        <v>0</v>
      </c>
      <c r="L232" s="607">
        <f t="shared" ca="1" si="18"/>
        <v>0</v>
      </c>
      <c r="M232" s="607">
        <f t="shared" ca="1" si="18"/>
        <v>0</v>
      </c>
      <c r="N232" s="607">
        <f t="shared" ca="1" si="18"/>
        <v>0</v>
      </c>
      <c r="O232" s="607">
        <f t="shared" ca="1" si="18"/>
        <v>0</v>
      </c>
      <c r="P232" s="607">
        <f t="shared" ca="1" si="18"/>
        <v>0</v>
      </c>
      <c r="Q232" s="607">
        <f t="shared" ca="1" si="18"/>
        <v>0</v>
      </c>
      <c r="R232" s="607">
        <f t="shared" ca="1" si="18"/>
        <v>0</v>
      </c>
      <c r="S232" s="607">
        <f t="shared" ca="1" si="18"/>
        <v>0</v>
      </c>
      <c r="T232" s="607">
        <f t="shared" ca="1" si="18"/>
        <v>0</v>
      </c>
      <c r="U232" s="607">
        <f t="shared" ca="1" si="18"/>
        <v>0</v>
      </c>
      <c r="V232" s="607">
        <f t="shared" ca="1" si="18"/>
        <v>0</v>
      </c>
      <c r="W232" s="607">
        <f t="shared" ca="1" si="18"/>
        <v>0</v>
      </c>
      <c r="X232" s="607">
        <f t="shared" ca="1" si="18"/>
        <v>0</v>
      </c>
      <c r="Y232" s="2008">
        <f t="shared" ca="1" si="18"/>
        <v>0</v>
      </c>
    </row>
    <row r="233" spans="1:25" ht="13.5" thickBot="1">
      <c r="A233" s="105" t="str">
        <f>'Dados Básicos'!A28&amp;" sop. CV "&amp;$A$14</f>
        <v xml:space="preserve">IVA sop. CV </v>
      </c>
      <c r="B233" s="607">
        <f t="array" aca="1" ref="B233:Y233" ca="1">$K$217*B232:Y232</f>
        <v>0</v>
      </c>
      <c r="C233" s="607">
        <f ca="1"/>
        <v>0</v>
      </c>
      <c r="D233" s="607">
        <f ca="1"/>
        <v>0</v>
      </c>
      <c r="E233" s="607">
        <f ca="1"/>
        <v>0</v>
      </c>
      <c r="F233" s="607">
        <f ca="1"/>
        <v>0</v>
      </c>
      <c r="G233" s="607">
        <f ca="1"/>
        <v>0</v>
      </c>
      <c r="H233" s="607">
        <f ca="1"/>
        <v>0</v>
      </c>
      <c r="I233" s="607">
        <f ca="1"/>
        <v>0</v>
      </c>
      <c r="J233" s="607">
        <f ca="1"/>
        <v>0</v>
      </c>
      <c r="K233" s="607">
        <f ca="1"/>
        <v>0</v>
      </c>
      <c r="L233" s="607">
        <f ca="1"/>
        <v>0</v>
      </c>
      <c r="M233" s="607">
        <f ca="1"/>
        <v>0</v>
      </c>
      <c r="N233" s="607">
        <f ca="1"/>
        <v>0</v>
      </c>
      <c r="O233" s="607">
        <f ca="1"/>
        <v>0</v>
      </c>
      <c r="P233" s="607">
        <f ca="1"/>
        <v>0</v>
      </c>
      <c r="Q233" s="607">
        <f ca="1"/>
        <v>0</v>
      </c>
      <c r="R233" s="607">
        <f ca="1"/>
        <v>0</v>
      </c>
      <c r="S233" s="607">
        <f ca="1"/>
        <v>0</v>
      </c>
      <c r="T233" s="607">
        <f ca="1"/>
        <v>0</v>
      </c>
      <c r="U233" s="607">
        <f ca="1"/>
        <v>0</v>
      </c>
      <c r="V233" s="607">
        <f ca="1"/>
        <v>0</v>
      </c>
      <c r="W233" s="607">
        <f ca="1"/>
        <v>0</v>
      </c>
      <c r="X233" s="607">
        <f ca="1"/>
        <v>0</v>
      </c>
      <c r="Y233" s="2008">
        <f ca="1"/>
        <v>0</v>
      </c>
    </row>
    <row r="235" spans="1:25" ht="18.75" thickBot="1">
      <c r="A235" s="1993" t="str">
        <f>'Distr CV 0'!A235</f>
        <v xml:space="preserve">Compras / custos de producción por meses de </v>
      </c>
      <c r="I235" s="1993" t="str">
        <f>$I$109</f>
        <v>IVA NÃO incluido</v>
      </c>
      <c r="K235" s="2005">
        <f>Parametros!$F$31</f>
        <v>0.21</v>
      </c>
    </row>
    <row r="236" spans="1:25" ht="30" customHeight="1" thickBot="1">
      <c r="A236" s="457" t="str">
        <f>'Distr CV 0'!A236</f>
        <v>mes de compra / custo</v>
      </c>
      <c r="B236" s="2011" t="str">
        <f t="array" ref="B236:Y236">B$71:Y$71</f>
        <v>janeiro 
2030</v>
      </c>
      <c r="C236" s="2011" t="str">
        <v>fevereiro 
2030</v>
      </c>
      <c r="D236" s="2011" t="str">
        <v>março 
2030</v>
      </c>
      <c r="E236" s="2011" t="str">
        <v>abril 
2030</v>
      </c>
      <c r="F236" s="2011" t="str">
        <v>maio 
2030</v>
      </c>
      <c r="G236" s="2011" t="str">
        <v>junho 
2030</v>
      </c>
      <c r="H236" s="2011" t="str">
        <v>julho 
2030</v>
      </c>
      <c r="I236" s="2011" t="str">
        <v>agosto 
2030</v>
      </c>
      <c r="J236" s="2011" t="str">
        <v>setembro 
2030</v>
      </c>
      <c r="K236" s="2011" t="str">
        <v>outubro 
2030</v>
      </c>
      <c r="L236" s="2011" t="str">
        <v>novembro 
2030</v>
      </c>
      <c r="M236" s="2011" t="str">
        <v>dezembro 
2030</v>
      </c>
      <c r="N236" s="2737" t="str">
        <v>janeiro 
2031</v>
      </c>
      <c r="O236" s="2738" t="str">
        <v>fevereiro 
2031</v>
      </c>
      <c r="P236" s="2738" t="str">
        <v>março 
2031</v>
      </c>
      <c r="Q236" s="2738" t="str">
        <v>abril 
2031</v>
      </c>
      <c r="R236" s="2738" t="str">
        <v>maio 
2031</v>
      </c>
      <c r="S236" s="2738" t="str">
        <v>junho 
2031</v>
      </c>
      <c r="T236" s="2738" t="str">
        <v>julho 
2031</v>
      </c>
      <c r="U236" s="2738" t="str">
        <v>agosto 
2031</v>
      </c>
      <c r="V236" s="2738" t="str">
        <v>setembro 
2031</v>
      </c>
      <c r="W236" s="2738" t="str">
        <v>outubro 
2031</v>
      </c>
      <c r="X236" s="2738" t="str">
        <v>novembro 
2031</v>
      </c>
      <c r="Y236" s="2739" t="str">
        <v>dezembro 
2031</v>
      </c>
    </row>
    <row r="237" spans="1:25">
      <c r="A237" s="1994" t="str">
        <f>A$72</f>
        <v>mismo mes</v>
      </c>
      <c r="B237" s="1991"/>
      <c r="C237" s="1991"/>
      <c r="D237" s="1991"/>
      <c r="E237" s="1991"/>
      <c r="F237" s="1991"/>
      <c r="G237" s="1991"/>
      <c r="H237" s="1991"/>
      <c r="I237" s="1991"/>
      <c r="J237" s="1991"/>
      <c r="K237" s="1991"/>
      <c r="L237" s="1991"/>
      <c r="M237" s="1991"/>
      <c r="N237" s="603">
        <f t="array" aca="1" ref="N237:Y237" ca="1">B27:M27*Produção!$N$15</f>
        <v>0</v>
      </c>
      <c r="O237" s="603">
        <f ca="1"/>
        <v>0</v>
      </c>
      <c r="P237" s="603">
        <f ca="1"/>
        <v>0</v>
      </c>
      <c r="Q237" s="603">
        <f ca="1"/>
        <v>0</v>
      </c>
      <c r="R237" s="603">
        <f ca="1"/>
        <v>0</v>
      </c>
      <c r="S237" s="603">
        <f ca="1"/>
        <v>0</v>
      </c>
      <c r="T237" s="603">
        <f ca="1"/>
        <v>0</v>
      </c>
      <c r="U237" s="603">
        <f ca="1"/>
        <v>0</v>
      </c>
      <c r="V237" s="603">
        <f ca="1"/>
        <v>0</v>
      </c>
      <c r="W237" s="603">
        <f ca="1"/>
        <v>0</v>
      </c>
      <c r="X237" s="603">
        <f ca="1"/>
        <v>0</v>
      </c>
      <c r="Y237" s="2006">
        <f ca="1"/>
        <v>0</v>
      </c>
    </row>
    <row r="238" spans="1:25">
      <c r="A238" s="1995" t="str">
        <f>A$73</f>
        <v>1 mes antes</v>
      </c>
      <c r="B238" s="1991"/>
      <c r="C238" s="1991"/>
      <c r="D238" s="1991"/>
      <c r="E238" s="1991"/>
      <c r="F238" s="1991"/>
      <c r="G238" s="1991"/>
      <c r="H238" s="1991"/>
      <c r="I238" s="1991"/>
      <c r="J238" s="1991"/>
      <c r="K238" s="1991"/>
      <c r="L238" s="1991"/>
      <c r="M238" s="603">
        <f t="array" aca="1" ref="M238:X238" ca="1">B27:M27*Produção!$M$15</f>
        <v>0</v>
      </c>
      <c r="N238" s="603">
        <f ca="1"/>
        <v>0</v>
      </c>
      <c r="O238" s="603">
        <f ca="1"/>
        <v>0</v>
      </c>
      <c r="P238" s="603">
        <f ca="1"/>
        <v>0</v>
      </c>
      <c r="Q238" s="603">
        <f ca="1"/>
        <v>0</v>
      </c>
      <c r="R238" s="603">
        <f ca="1"/>
        <v>0</v>
      </c>
      <c r="S238" s="603">
        <f ca="1"/>
        <v>0</v>
      </c>
      <c r="T238" s="603">
        <f ca="1"/>
        <v>0</v>
      </c>
      <c r="U238" s="603">
        <f ca="1"/>
        <v>0</v>
      </c>
      <c r="V238" s="603">
        <f ca="1"/>
        <v>0</v>
      </c>
      <c r="W238" s="603">
        <f ca="1"/>
        <v>0</v>
      </c>
      <c r="X238" s="603">
        <f ca="1"/>
        <v>0</v>
      </c>
      <c r="Y238" s="2007"/>
    </row>
    <row r="239" spans="1:25">
      <c r="A239" s="1995" t="str">
        <f>A$74</f>
        <v>2 meses antes</v>
      </c>
      <c r="B239" s="1991"/>
      <c r="C239" s="1991"/>
      <c r="D239" s="1991"/>
      <c r="E239" s="1991"/>
      <c r="F239" s="1991"/>
      <c r="G239" s="1991"/>
      <c r="H239" s="1991"/>
      <c r="I239" s="1991"/>
      <c r="J239" s="1991"/>
      <c r="K239" s="1991"/>
      <c r="L239" s="603">
        <f t="array" aca="1" ref="L239:W239" ca="1">B27:M27*Produção!$L$15</f>
        <v>0</v>
      </c>
      <c r="M239" s="603">
        <f ca="1"/>
        <v>0</v>
      </c>
      <c r="N239" s="603">
        <f ca="1"/>
        <v>0</v>
      </c>
      <c r="O239" s="603">
        <f ca="1"/>
        <v>0</v>
      </c>
      <c r="P239" s="603">
        <f ca="1"/>
        <v>0</v>
      </c>
      <c r="Q239" s="603">
        <f ca="1"/>
        <v>0</v>
      </c>
      <c r="R239" s="603">
        <f ca="1"/>
        <v>0</v>
      </c>
      <c r="S239" s="603">
        <f ca="1"/>
        <v>0</v>
      </c>
      <c r="T239" s="603">
        <f ca="1"/>
        <v>0</v>
      </c>
      <c r="U239" s="603">
        <f ca="1"/>
        <v>0</v>
      </c>
      <c r="V239" s="603">
        <f ca="1"/>
        <v>0</v>
      </c>
      <c r="W239" s="603">
        <f ca="1"/>
        <v>0</v>
      </c>
      <c r="X239" s="1991"/>
      <c r="Y239" s="2007"/>
    </row>
    <row r="240" spans="1:25">
      <c r="A240" s="1995" t="str">
        <f>A$75</f>
        <v>3 meses antes</v>
      </c>
      <c r="B240" s="1991"/>
      <c r="C240" s="1991"/>
      <c r="D240" s="1991"/>
      <c r="E240" s="1991"/>
      <c r="F240" s="1991"/>
      <c r="G240" s="1991"/>
      <c r="H240" s="1991"/>
      <c r="I240" s="1991"/>
      <c r="J240" s="1991"/>
      <c r="K240" s="603">
        <f t="array" aca="1" ref="K240:V240" ca="1">B27:M27*Produção!$K$15</f>
        <v>0</v>
      </c>
      <c r="L240" s="603">
        <f ca="1"/>
        <v>0</v>
      </c>
      <c r="M240" s="603">
        <f ca="1"/>
        <v>0</v>
      </c>
      <c r="N240" s="603">
        <f ca="1"/>
        <v>0</v>
      </c>
      <c r="O240" s="603">
        <f ca="1"/>
        <v>0</v>
      </c>
      <c r="P240" s="603">
        <f ca="1"/>
        <v>0</v>
      </c>
      <c r="Q240" s="603">
        <f ca="1"/>
        <v>0</v>
      </c>
      <c r="R240" s="603">
        <f ca="1"/>
        <v>0</v>
      </c>
      <c r="S240" s="603">
        <f ca="1"/>
        <v>0</v>
      </c>
      <c r="T240" s="603">
        <f ca="1"/>
        <v>0</v>
      </c>
      <c r="U240" s="603">
        <f ca="1"/>
        <v>0</v>
      </c>
      <c r="V240" s="603">
        <f ca="1"/>
        <v>0</v>
      </c>
      <c r="W240" s="1991"/>
      <c r="X240" s="1991"/>
      <c r="Y240" s="2007"/>
    </row>
    <row r="241" spans="1:25">
      <c r="A241" s="1995" t="str">
        <f>A$76</f>
        <v>4 meses antes</v>
      </c>
      <c r="B241" s="1991"/>
      <c r="C241" s="1991"/>
      <c r="D241" s="1991"/>
      <c r="E241" s="1991"/>
      <c r="F241" s="1991"/>
      <c r="G241" s="1991"/>
      <c r="H241" s="1991"/>
      <c r="I241" s="1991"/>
      <c r="J241" s="603">
        <f t="array" aca="1" ref="J241:U241" ca="1">B27:M27*Produção!$J$15</f>
        <v>0</v>
      </c>
      <c r="K241" s="603">
        <f ca="1"/>
        <v>0</v>
      </c>
      <c r="L241" s="603">
        <f ca="1"/>
        <v>0</v>
      </c>
      <c r="M241" s="603">
        <f ca="1"/>
        <v>0</v>
      </c>
      <c r="N241" s="603">
        <f ca="1"/>
        <v>0</v>
      </c>
      <c r="O241" s="603">
        <f ca="1"/>
        <v>0</v>
      </c>
      <c r="P241" s="603">
        <f ca="1"/>
        <v>0</v>
      </c>
      <c r="Q241" s="603">
        <f ca="1"/>
        <v>0</v>
      </c>
      <c r="R241" s="603">
        <f ca="1"/>
        <v>0</v>
      </c>
      <c r="S241" s="603">
        <f ca="1"/>
        <v>0</v>
      </c>
      <c r="T241" s="603">
        <f ca="1"/>
        <v>0</v>
      </c>
      <c r="U241" s="603">
        <f ca="1"/>
        <v>0</v>
      </c>
      <c r="V241" s="1991"/>
      <c r="W241" s="1991"/>
      <c r="X241" s="1991"/>
      <c r="Y241" s="2007"/>
    </row>
    <row r="242" spans="1:25">
      <c r="A242" s="1995" t="str">
        <f>A$77</f>
        <v>5 meses antes</v>
      </c>
      <c r="B242" s="1991"/>
      <c r="C242" s="1991"/>
      <c r="D242" s="1991"/>
      <c r="E242" s="1991"/>
      <c r="F242" s="1991"/>
      <c r="G242" s="1991"/>
      <c r="H242" s="1991"/>
      <c r="I242" s="603">
        <f t="array" aca="1" ref="I242:T242" ca="1">B27:M27*Produção!$I$15</f>
        <v>0</v>
      </c>
      <c r="J242" s="603">
        <f ca="1"/>
        <v>0</v>
      </c>
      <c r="K242" s="603">
        <f ca="1"/>
        <v>0</v>
      </c>
      <c r="L242" s="603">
        <f ca="1"/>
        <v>0</v>
      </c>
      <c r="M242" s="603">
        <f ca="1"/>
        <v>0</v>
      </c>
      <c r="N242" s="603">
        <f ca="1"/>
        <v>0</v>
      </c>
      <c r="O242" s="603">
        <f ca="1"/>
        <v>0</v>
      </c>
      <c r="P242" s="603">
        <f ca="1"/>
        <v>0</v>
      </c>
      <c r="Q242" s="603">
        <f ca="1"/>
        <v>0</v>
      </c>
      <c r="R242" s="603">
        <f ca="1"/>
        <v>0</v>
      </c>
      <c r="S242" s="603">
        <f ca="1"/>
        <v>0</v>
      </c>
      <c r="T242" s="603">
        <f ca="1"/>
        <v>0</v>
      </c>
      <c r="U242" s="1991"/>
      <c r="V242" s="1991"/>
      <c r="W242" s="1991"/>
      <c r="X242" s="1991"/>
      <c r="Y242" s="2007"/>
    </row>
    <row r="243" spans="1:25">
      <c r="A243" s="1995" t="str">
        <f>A$78</f>
        <v>6 meses antes</v>
      </c>
      <c r="B243" s="1991"/>
      <c r="C243" s="1991"/>
      <c r="D243" s="1991"/>
      <c r="E243" s="1991"/>
      <c r="F243" s="1991"/>
      <c r="G243" s="1991"/>
      <c r="H243" s="603">
        <f t="array" aca="1" ref="H243:S243" ca="1">B27:M27*Produção!$H$15</f>
        <v>0</v>
      </c>
      <c r="I243" s="603">
        <f ca="1"/>
        <v>0</v>
      </c>
      <c r="J243" s="603">
        <f ca="1"/>
        <v>0</v>
      </c>
      <c r="K243" s="603">
        <f ca="1"/>
        <v>0</v>
      </c>
      <c r="L243" s="603">
        <f ca="1"/>
        <v>0</v>
      </c>
      <c r="M243" s="603">
        <f ca="1"/>
        <v>0</v>
      </c>
      <c r="N243" s="603">
        <f ca="1"/>
        <v>0</v>
      </c>
      <c r="O243" s="603">
        <f ca="1"/>
        <v>0</v>
      </c>
      <c r="P243" s="603">
        <f ca="1"/>
        <v>0</v>
      </c>
      <c r="Q243" s="603">
        <f ca="1"/>
        <v>0</v>
      </c>
      <c r="R243" s="603">
        <f ca="1"/>
        <v>0</v>
      </c>
      <c r="S243" s="603">
        <f ca="1"/>
        <v>0</v>
      </c>
      <c r="T243" s="1991"/>
      <c r="U243" s="1991"/>
      <c r="V243" s="1991"/>
      <c r="W243" s="1991"/>
      <c r="X243" s="1991"/>
      <c r="Y243" s="2007"/>
    </row>
    <row r="244" spans="1:25">
      <c r="A244" s="1995" t="str">
        <f>A$79</f>
        <v>7 meses antes</v>
      </c>
      <c r="B244" s="1991"/>
      <c r="C244" s="1991"/>
      <c r="D244" s="1991"/>
      <c r="E244" s="1991"/>
      <c r="F244" s="1991"/>
      <c r="G244" s="603">
        <f t="array" aca="1" ref="G244:R244" ca="1">B27:M27*Produção!$G$15</f>
        <v>0</v>
      </c>
      <c r="H244" s="603">
        <f ca="1"/>
        <v>0</v>
      </c>
      <c r="I244" s="603">
        <f ca="1"/>
        <v>0</v>
      </c>
      <c r="J244" s="603">
        <f ca="1"/>
        <v>0</v>
      </c>
      <c r="K244" s="603">
        <f ca="1"/>
        <v>0</v>
      </c>
      <c r="L244" s="603">
        <f ca="1"/>
        <v>0</v>
      </c>
      <c r="M244" s="603">
        <f ca="1"/>
        <v>0</v>
      </c>
      <c r="N244" s="603">
        <f ca="1"/>
        <v>0</v>
      </c>
      <c r="O244" s="603">
        <f ca="1"/>
        <v>0</v>
      </c>
      <c r="P244" s="603">
        <f ca="1"/>
        <v>0</v>
      </c>
      <c r="Q244" s="603">
        <f ca="1"/>
        <v>0</v>
      </c>
      <c r="R244" s="603">
        <f ca="1"/>
        <v>0</v>
      </c>
      <c r="S244" s="1991"/>
      <c r="T244" s="1991"/>
      <c r="U244" s="1991"/>
      <c r="V244" s="1991"/>
      <c r="W244" s="1991"/>
      <c r="X244" s="1991"/>
      <c r="Y244" s="2007"/>
    </row>
    <row r="245" spans="1:25">
      <c r="A245" s="1995" t="str">
        <f>A$80</f>
        <v>8 meses antes</v>
      </c>
      <c r="B245" s="1991"/>
      <c r="C245" s="1991"/>
      <c r="D245" s="1991"/>
      <c r="E245" s="1991"/>
      <c r="F245" s="603">
        <f t="array" aca="1" ref="F245:Q245" ca="1">B27:M27*Produção!$F$15</f>
        <v>0</v>
      </c>
      <c r="G245" s="603">
        <f ca="1"/>
        <v>0</v>
      </c>
      <c r="H245" s="603">
        <f ca="1"/>
        <v>0</v>
      </c>
      <c r="I245" s="603">
        <f ca="1"/>
        <v>0</v>
      </c>
      <c r="J245" s="603">
        <f ca="1"/>
        <v>0</v>
      </c>
      <c r="K245" s="603">
        <f ca="1"/>
        <v>0</v>
      </c>
      <c r="L245" s="603">
        <f ca="1"/>
        <v>0</v>
      </c>
      <c r="M245" s="603">
        <f ca="1"/>
        <v>0</v>
      </c>
      <c r="N245" s="603">
        <f ca="1"/>
        <v>0</v>
      </c>
      <c r="O245" s="603">
        <f ca="1"/>
        <v>0</v>
      </c>
      <c r="P245" s="603">
        <f ca="1"/>
        <v>0</v>
      </c>
      <c r="Q245" s="603">
        <f ca="1"/>
        <v>0</v>
      </c>
      <c r="R245" s="1991"/>
      <c r="S245" s="1991"/>
      <c r="T245" s="1991"/>
      <c r="U245" s="1991"/>
      <c r="V245" s="1991"/>
      <c r="W245" s="1991"/>
      <c r="X245" s="1991"/>
      <c r="Y245" s="2007"/>
    </row>
    <row r="246" spans="1:25">
      <c r="A246" s="1995" t="str">
        <f>A$81</f>
        <v>9 meses antes</v>
      </c>
      <c r="B246" s="1991"/>
      <c r="C246" s="1991"/>
      <c r="D246" s="1991"/>
      <c r="E246" s="603">
        <f t="array" aca="1" ref="E246:P246" ca="1">B27:M27*Produção!$E$15</f>
        <v>0</v>
      </c>
      <c r="F246" s="603">
        <f ca="1"/>
        <v>0</v>
      </c>
      <c r="G246" s="603">
        <f ca="1"/>
        <v>0</v>
      </c>
      <c r="H246" s="603">
        <f ca="1"/>
        <v>0</v>
      </c>
      <c r="I246" s="603">
        <f ca="1"/>
        <v>0</v>
      </c>
      <c r="J246" s="603">
        <f ca="1"/>
        <v>0</v>
      </c>
      <c r="K246" s="603">
        <f ca="1"/>
        <v>0</v>
      </c>
      <c r="L246" s="603">
        <f ca="1"/>
        <v>0</v>
      </c>
      <c r="M246" s="603">
        <f ca="1"/>
        <v>0</v>
      </c>
      <c r="N246" s="603">
        <f ca="1"/>
        <v>0</v>
      </c>
      <c r="O246" s="603">
        <f ca="1"/>
        <v>0</v>
      </c>
      <c r="P246" s="603">
        <f ca="1"/>
        <v>0</v>
      </c>
      <c r="Q246" s="1991"/>
      <c r="R246" s="1991"/>
      <c r="S246" s="1991"/>
      <c r="T246" s="1991"/>
      <c r="U246" s="1991"/>
      <c r="V246" s="1991"/>
      <c r="W246" s="1991"/>
      <c r="X246" s="1991"/>
      <c r="Y246" s="2007"/>
    </row>
    <row r="247" spans="1:25">
      <c r="A247" s="1995" t="str">
        <f>A$82</f>
        <v>10 meses antes</v>
      </c>
      <c r="B247" s="1991"/>
      <c r="C247" s="1991"/>
      <c r="D247" s="603">
        <f t="array" aca="1" ref="D247:O247" ca="1">B27:M27*Produção!$D$15</f>
        <v>0</v>
      </c>
      <c r="E247" s="603">
        <f ca="1"/>
        <v>0</v>
      </c>
      <c r="F247" s="603">
        <f ca="1"/>
        <v>0</v>
      </c>
      <c r="G247" s="603">
        <f ca="1"/>
        <v>0</v>
      </c>
      <c r="H247" s="603">
        <f ca="1"/>
        <v>0</v>
      </c>
      <c r="I247" s="603">
        <f ca="1"/>
        <v>0</v>
      </c>
      <c r="J247" s="603">
        <f ca="1"/>
        <v>0</v>
      </c>
      <c r="K247" s="603">
        <f ca="1"/>
        <v>0</v>
      </c>
      <c r="L247" s="603">
        <f ca="1"/>
        <v>0</v>
      </c>
      <c r="M247" s="603">
        <f ca="1"/>
        <v>0</v>
      </c>
      <c r="N247" s="603">
        <f ca="1"/>
        <v>0</v>
      </c>
      <c r="O247" s="603">
        <f ca="1"/>
        <v>0</v>
      </c>
      <c r="P247" s="1991"/>
      <c r="Q247" s="1991"/>
      <c r="R247" s="1991"/>
      <c r="S247" s="1991"/>
      <c r="T247" s="1991"/>
      <c r="U247" s="1991"/>
      <c r="V247" s="1991"/>
      <c r="W247" s="1991"/>
      <c r="X247" s="1991"/>
      <c r="Y247" s="2007"/>
    </row>
    <row r="248" spans="1:25">
      <c r="A248" s="1995" t="str">
        <f>A$83</f>
        <v>11 meses antes</v>
      </c>
      <c r="B248" s="1991"/>
      <c r="C248" s="603">
        <f t="array" aca="1" ref="C248:N248" ca="1">B27:M27*Produção!$C$15</f>
        <v>0</v>
      </c>
      <c r="D248" s="603">
        <f ca="1"/>
        <v>0</v>
      </c>
      <c r="E248" s="603">
        <f ca="1"/>
        <v>0</v>
      </c>
      <c r="F248" s="603">
        <f ca="1"/>
        <v>0</v>
      </c>
      <c r="G248" s="603">
        <f ca="1"/>
        <v>0</v>
      </c>
      <c r="H248" s="603">
        <f ca="1"/>
        <v>0</v>
      </c>
      <c r="I248" s="603">
        <f ca="1"/>
        <v>0</v>
      </c>
      <c r="J248" s="603">
        <f ca="1"/>
        <v>0</v>
      </c>
      <c r="K248" s="603">
        <f ca="1"/>
        <v>0</v>
      </c>
      <c r="L248" s="603">
        <f ca="1"/>
        <v>0</v>
      </c>
      <c r="M248" s="603">
        <f ca="1"/>
        <v>0</v>
      </c>
      <c r="N248" s="603">
        <f ca="1"/>
        <v>0</v>
      </c>
      <c r="O248" s="1991"/>
      <c r="P248" s="1991"/>
      <c r="Q248" s="1991"/>
      <c r="R248" s="1991"/>
      <c r="S248" s="1991"/>
      <c r="T248" s="1991"/>
      <c r="U248" s="1991"/>
      <c r="V248" s="1991"/>
      <c r="W248" s="1991"/>
      <c r="X248" s="1991"/>
      <c r="Y248" s="2007"/>
    </row>
    <row r="249" spans="1:25" ht="13.5" thickBot="1">
      <c r="A249" s="1995" t="str">
        <f>A$84</f>
        <v>12 meses antes</v>
      </c>
      <c r="B249" s="603">
        <f t="array" aca="1" ref="B249:M249" ca="1">B27:M27*Produção!$B$15</f>
        <v>0</v>
      </c>
      <c r="C249" s="603">
        <f ca="1"/>
        <v>0</v>
      </c>
      <c r="D249" s="603">
        <f ca="1"/>
        <v>0</v>
      </c>
      <c r="E249" s="603">
        <f ca="1"/>
        <v>0</v>
      </c>
      <c r="F249" s="603">
        <f ca="1"/>
        <v>0</v>
      </c>
      <c r="G249" s="603">
        <f ca="1"/>
        <v>0</v>
      </c>
      <c r="H249" s="603">
        <f ca="1"/>
        <v>0</v>
      </c>
      <c r="I249" s="603">
        <f ca="1"/>
        <v>0</v>
      </c>
      <c r="J249" s="603">
        <f ca="1"/>
        <v>0</v>
      </c>
      <c r="K249" s="603">
        <f ca="1"/>
        <v>0</v>
      </c>
      <c r="L249" s="603">
        <f ca="1"/>
        <v>0</v>
      </c>
      <c r="M249" s="603">
        <f ca="1"/>
        <v>0</v>
      </c>
      <c r="N249" s="1991"/>
      <c r="O249" s="1991"/>
      <c r="P249" s="1991"/>
      <c r="Q249" s="1991"/>
      <c r="R249" s="1991"/>
      <c r="S249" s="1991"/>
      <c r="T249" s="1991"/>
      <c r="U249" s="1991"/>
      <c r="V249" s="1991"/>
      <c r="W249" s="1991"/>
      <c r="X249" s="1991"/>
      <c r="Y249" s="2007"/>
    </row>
    <row r="250" spans="1:25" ht="13.5" thickBot="1">
      <c r="A250" s="105" t="str">
        <f>"Totales CV "&amp;A$15</f>
        <v xml:space="preserve">Totales CV </v>
      </c>
      <c r="B250" s="607">
        <f t="shared" ref="B250:Y250" ca="1" si="19">SUM(B237:B249)</f>
        <v>0</v>
      </c>
      <c r="C250" s="607">
        <f t="shared" ca="1" si="19"/>
        <v>0</v>
      </c>
      <c r="D250" s="607">
        <f t="shared" ca="1" si="19"/>
        <v>0</v>
      </c>
      <c r="E250" s="607">
        <f t="shared" ca="1" si="19"/>
        <v>0</v>
      </c>
      <c r="F250" s="607">
        <f t="shared" ca="1" si="19"/>
        <v>0</v>
      </c>
      <c r="G250" s="607">
        <f t="shared" ca="1" si="19"/>
        <v>0</v>
      </c>
      <c r="H250" s="607">
        <f t="shared" ca="1" si="19"/>
        <v>0</v>
      </c>
      <c r="I250" s="607">
        <f t="shared" ca="1" si="19"/>
        <v>0</v>
      </c>
      <c r="J250" s="607">
        <f t="shared" ca="1" si="19"/>
        <v>0</v>
      </c>
      <c r="K250" s="607">
        <f t="shared" ca="1" si="19"/>
        <v>0</v>
      </c>
      <c r="L250" s="607">
        <f t="shared" ca="1" si="19"/>
        <v>0</v>
      </c>
      <c r="M250" s="607">
        <f t="shared" ca="1" si="19"/>
        <v>0</v>
      </c>
      <c r="N250" s="607">
        <f t="shared" ca="1" si="19"/>
        <v>0</v>
      </c>
      <c r="O250" s="607">
        <f t="shared" ca="1" si="19"/>
        <v>0</v>
      </c>
      <c r="P250" s="607">
        <f t="shared" ca="1" si="19"/>
        <v>0</v>
      </c>
      <c r="Q250" s="607">
        <f t="shared" ca="1" si="19"/>
        <v>0</v>
      </c>
      <c r="R250" s="607">
        <f t="shared" ca="1" si="19"/>
        <v>0</v>
      </c>
      <c r="S250" s="607">
        <f t="shared" ca="1" si="19"/>
        <v>0</v>
      </c>
      <c r="T250" s="607">
        <f t="shared" ca="1" si="19"/>
        <v>0</v>
      </c>
      <c r="U250" s="607">
        <f t="shared" ca="1" si="19"/>
        <v>0</v>
      </c>
      <c r="V250" s="607">
        <f t="shared" ca="1" si="19"/>
        <v>0</v>
      </c>
      <c r="W250" s="607">
        <f t="shared" ca="1" si="19"/>
        <v>0</v>
      </c>
      <c r="X250" s="607">
        <f t="shared" ca="1" si="19"/>
        <v>0</v>
      </c>
      <c r="Y250" s="2008">
        <f t="shared" ca="1" si="19"/>
        <v>0</v>
      </c>
    </row>
    <row r="251" spans="1:25" ht="13.5" thickBot="1">
      <c r="A251" s="105" t="str">
        <f>'Dados Básicos'!A28&amp;" sop. CV "&amp;$A$15</f>
        <v xml:space="preserve">IVA sop. CV </v>
      </c>
      <c r="B251" s="607">
        <f t="array" aca="1" ref="B251:Y251" ca="1">$K$235*B250:Y250</f>
        <v>0</v>
      </c>
      <c r="C251" s="607">
        <f ca="1"/>
        <v>0</v>
      </c>
      <c r="D251" s="607">
        <f ca="1"/>
        <v>0</v>
      </c>
      <c r="E251" s="607">
        <f ca="1"/>
        <v>0</v>
      </c>
      <c r="F251" s="607">
        <f ca="1"/>
        <v>0</v>
      </c>
      <c r="G251" s="607">
        <f ca="1"/>
        <v>0</v>
      </c>
      <c r="H251" s="607">
        <f ca="1"/>
        <v>0</v>
      </c>
      <c r="I251" s="607">
        <f ca="1"/>
        <v>0</v>
      </c>
      <c r="J251" s="607">
        <f ca="1"/>
        <v>0</v>
      </c>
      <c r="K251" s="607">
        <f ca="1"/>
        <v>0</v>
      </c>
      <c r="L251" s="607">
        <f ca="1"/>
        <v>0</v>
      </c>
      <c r="M251" s="607">
        <f ca="1"/>
        <v>0</v>
      </c>
      <c r="N251" s="607">
        <f ca="1"/>
        <v>0</v>
      </c>
      <c r="O251" s="607">
        <f ca="1"/>
        <v>0</v>
      </c>
      <c r="P251" s="607">
        <f ca="1"/>
        <v>0</v>
      </c>
      <c r="Q251" s="607">
        <f ca="1"/>
        <v>0</v>
      </c>
      <c r="R251" s="607">
        <f ca="1"/>
        <v>0</v>
      </c>
      <c r="S251" s="607">
        <f ca="1"/>
        <v>0</v>
      </c>
      <c r="T251" s="607">
        <f ca="1"/>
        <v>0</v>
      </c>
      <c r="U251" s="607">
        <f ca="1"/>
        <v>0</v>
      </c>
      <c r="V251" s="607">
        <f ca="1"/>
        <v>0</v>
      </c>
      <c r="W251" s="607">
        <f ca="1"/>
        <v>0</v>
      </c>
      <c r="X251" s="607">
        <f ca="1"/>
        <v>0</v>
      </c>
      <c r="Y251" s="2008">
        <f ca="1"/>
        <v>0</v>
      </c>
    </row>
  </sheetData>
  <sheetProtection sheet="1" objects="1" scenarios="1"/>
  <phoneticPr fontId="4"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54">
    <pageSetUpPr fitToPage="1"/>
  </sheetPr>
  <dimension ref="A1:O101"/>
  <sheetViews>
    <sheetView workbookViewId="0"/>
  </sheetViews>
  <sheetFormatPr baseColWidth="10" defaultColWidth="11" defaultRowHeight="12.75"/>
  <cols>
    <col min="1" max="1" width="24.5" style="239" customWidth="1"/>
    <col min="2" max="2" width="15.125" style="61" bestFit="1" customWidth="1"/>
    <col min="3" max="3" width="12" style="62" customWidth="1"/>
    <col min="4" max="4" width="9.75" style="62" customWidth="1"/>
    <col min="5" max="5" width="11.375" style="62" customWidth="1"/>
    <col min="6" max="6" width="9.625" style="62" customWidth="1"/>
    <col min="7" max="7" width="11" style="62"/>
    <col min="8" max="8" width="8.25" style="62" customWidth="1"/>
    <col min="9" max="9" width="11.5" style="62" customWidth="1"/>
    <col min="10" max="10" width="8.75" style="62" customWidth="1"/>
    <col min="11" max="16384" width="11" style="62"/>
  </cols>
  <sheetData>
    <row r="1" spans="1:10" ht="25.5">
      <c r="A1" s="37" t="str">
        <f>'Prev.Vendas 0'!A1</f>
        <v>Previsões das Vendas da empresa</v>
      </c>
      <c r="G1" s="949"/>
      <c r="H1" s="949"/>
      <c r="J1" s="949"/>
    </row>
    <row r="2" spans="1:10" ht="25.5">
      <c r="A2" s="37" t="str">
        <f>'Dados Básicos'!$B$9</f>
        <v>WWW, S.L.</v>
      </c>
    </row>
    <row r="3" spans="1:10" ht="14.25" customHeight="1" thickBot="1">
      <c r="A3" s="60"/>
    </row>
    <row r="4" spans="1:10" s="950" customFormat="1" ht="19.5" hidden="1" customHeight="1">
      <c r="A4" s="2092" t="s">
        <v>626</v>
      </c>
      <c r="B4" s="2093" t="str">
        <f>Parametros!B77</f>
        <v>Ano 0:  2026</v>
      </c>
      <c r="C4" s="2093" t="str">
        <f>Parametros!C77</f>
        <v>Ano 1:  2027</v>
      </c>
      <c r="D4" s="2094"/>
      <c r="E4" s="2095" t="str">
        <f>Parametros!D77</f>
        <v>Ano 2:  2028</v>
      </c>
      <c r="F4" s="2096"/>
      <c r="G4" s="2093" t="str">
        <f>Parametros!E77</f>
        <v>Ano 3:  2029</v>
      </c>
      <c r="H4" s="2094"/>
      <c r="I4" s="2095" t="str">
        <f>Parametros!F77</f>
        <v>Ano 4:  2030</v>
      </c>
      <c r="J4" s="2097"/>
    </row>
    <row r="5" spans="1:10" s="950" customFormat="1" ht="16.5" hidden="1" customHeight="1" thickBot="1">
      <c r="A5" s="2098" t="s">
        <v>110</v>
      </c>
      <c r="B5" s="955" t="s">
        <v>627</v>
      </c>
      <c r="C5" s="956" t="s">
        <v>627</v>
      </c>
      <c r="D5" s="957" t="s">
        <v>71</v>
      </c>
      <c r="E5" s="958" t="s">
        <v>627</v>
      </c>
      <c r="F5" s="959" t="s">
        <v>71</v>
      </c>
      <c r="G5" s="956" t="s">
        <v>627</v>
      </c>
      <c r="H5" s="957" t="s">
        <v>71</v>
      </c>
      <c r="I5" s="958" t="s">
        <v>627</v>
      </c>
      <c r="J5" s="2099" t="s">
        <v>71</v>
      </c>
    </row>
    <row r="6" spans="1:10" ht="15.75" hidden="1" customHeight="1">
      <c r="A6" s="2100" t="str">
        <f t="array" ref="A6:A13">productos</f>
        <v>produto 1</v>
      </c>
      <c r="B6" s="2651">
        <f t="array" aca="1" ref="B6:B13" ca="1">'Prev.Vendas 0'!$N5:$N12</f>
        <v>7199.9999999999991</v>
      </c>
      <c r="C6" s="2651">
        <f t="array" aca="1" ref="C6:C13" ca="1">'Prev.Vendas 1'!$N5:$N12</f>
        <v>12000</v>
      </c>
      <c r="D6" s="951">
        <f t="array" aca="1" ref="D6:D13" ca="1">IF(B6:B13=0,"",(C6:C13-B6:B13)/B6:B13)</f>
        <v>0.66666666666666685</v>
      </c>
      <c r="E6" s="2654">
        <f t="array" aca="1" ref="E6:E13" ca="1">'Prev.Vendas 2'!$N5:$N12</f>
        <v>12600</v>
      </c>
      <c r="F6" s="951">
        <f t="array" aca="1" ref="F6:F13" ca="1">IF(C6:C13=0,"",(E6:E13-C6:C13)/C6:C13)</f>
        <v>0.05</v>
      </c>
      <c r="G6" s="2651">
        <f t="array" aca="1" ref="G6:G13" ca="1">'Prev.Vendas 3'!$N5:$N12</f>
        <v>13236</v>
      </c>
      <c r="H6" s="951">
        <f t="array" aca="1" ref="H6:H13" ca="1">IF(E6:E13=0,"",(G6:G13-E6:E13)/E6:E13)</f>
        <v>5.0476190476190473E-2</v>
      </c>
      <c r="I6" s="2657">
        <f t="array" aca="1" ref="I6:I13" ca="1">'Prev.Vendas 4'!$N5:$N12</f>
        <v>13896</v>
      </c>
      <c r="J6" s="951">
        <f t="array" aca="1" ref="J6:J13" ca="1">IF(G6:G13=0,"",(I6:I13-G6:G13)/G6:G13)</f>
        <v>4.9864007252946513E-2</v>
      </c>
    </row>
    <row r="7" spans="1:10" hidden="1">
      <c r="A7" s="1542" t="str">
        <v/>
      </c>
      <c r="B7" s="2652">
        <f ca="1"/>
        <v>0</v>
      </c>
      <c r="C7" s="2652">
        <f ca="1"/>
        <v>0</v>
      </c>
      <c r="D7" s="952" t="str">
        <f ca="1"/>
        <v/>
      </c>
      <c r="E7" s="2655">
        <f ca="1"/>
        <v>0</v>
      </c>
      <c r="F7" s="952" t="str">
        <f ca="1"/>
        <v/>
      </c>
      <c r="G7" s="2652">
        <f ca="1"/>
        <v>0</v>
      </c>
      <c r="H7" s="952" t="str">
        <f ca="1"/>
        <v/>
      </c>
      <c r="I7" s="2658">
        <f ca="1"/>
        <v>0</v>
      </c>
      <c r="J7" s="952" t="str">
        <f ca="1"/>
        <v/>
      </c>
    </row>
    <row r="8" spans="1:10" hidden="1">
      <c r="A8" s="1542" t="str">
        <v/>
      </c>
      <c r="B8" s="2652">
        <f ca="1"/>
        <v>0</v>
      </c>
      <c r="C8" s="2652">
        <f ca="1"/>
        <v>0</v>
      </c>
      <c r="D8" s="952" t="str">
        <f ca="1"/>
        <v/>
      </c>
      <c r="E8" s="2655">
        <f ca="1"/>
        <v>0</v>
      </c>
      <c r="F8" s="952" t="str">
        <f ca="1"/>
        <v/>
      </c>
      <c r="G8" s="2652">
        <f ca="1"/>
        <v>0</v>
      </c>
      <c r="H8" s="952" t="str">
        <f ca="1"/>
        <v/>
      </c>
      <c r="I8" s="2658">
        <f ca="1"/>
        <v>0</v>
      </c>
      <c r="J8" s="952" t="str">
        <f ca="1"/>
        <v/>
      </c>
    </row>
    <row r="9" spans="1:10" hidden="1">
      <c r="A9" s="1542" t="str">
        <v/>
      </c>
      <c r="B9" s="2652">
        <f ca="1"/>
        <v>0</v>
      </c>
      <c r="C9" s="2652">
        <f ca="1"/>
        <v>0</v>
      </c>
      <c r="D9" s="952" t="str">
        <f ca="1"/>
        <v/>
      </c>
      <c r="E9" s="2655">
        <f ca="1"/>
        <v>0</v>
      </c>
      <c r="F9" s="952" t="str">
        <f ca="1"/>
        <v/>
      </c>
      <c r="G9" s="2652">
        <f ca="1"/>
        <v>0</v>
      </c>
      <c r="H9" s="952" t="str">
        <f ca="1"/>
        <v/>
      </c>
      <c r="I9" s="2658">
        <f ca="1"/>
        <v>0</v>
      </c>
      <c r="J9" s="952" t="str">
        <f ca="1"/>
        <v/>
      </c>
    </row>
    <row r="10" spans="1:10" hidden="1">
      <c r="A10" s="1542" t="str">
        <v/>
      </c>
      <c r="B10" s="2652">
        <f ca="1"/>
        <v>0</v>
      </c>
      <c r="C10" s="2652">
        <f ca="1"/>
        <v>0</v>
      </c>
      <c r="D10" s="952" t="str">
        <f ca="1"/>
        <v/>
      </c>
      <c r="E10" s="2655">
        <f ca="1"/>
        <v>0</v>
      </c>
      <c r="F10" s="952" t="str">
        <f ca="1"/>
        <v/>
      </c>
      <c r="G10" s="2652">
        <f ca="1"/>
        <v>0</v>
      </c>
      <c r="H10" s="952" t="str">
        <f ca="1"/>
        <v/>
      </c>
      <c r="I10" s="2658">
        <f ca="1"/>
        <v>0</v>
      </c>
      <c r="J10" s="952" t="str">
        <f ca="1"/>
        <v/>
      </c>
    </row>
    <row r="11" spans="1:10" hidden="1">
      <c r="A11" s="1542" t="str">
        <v/>
      </c>
      <c r="B11" s="2652">
        <f ca="1"/>
        <v>0</v>
      </c>
      <c r="C11" s="2652">
        <f ca="1"/>
        <v>0</v>
      </c>
      <c r="D11" s="952" t="str">
        <f ca="1"/>
        <v/>
      </c>
      <c r="E11" s="2655">
        <f ca="1"/>
        <v>0</v>
      </c>
      <c r="F11" s="952" t="str">
        <f ca="1"/>
        <v/>
      </c>
      <c r="G11" s="2652">
        <f ca="1"/>
        <v>0</v>
      </c>
      <c r="H11" s="952" t="str">
        <f ca="1"/>
        <v/>
      </c>
      <c r="I11" s="2658">
        <f ca="1"/>
        <v>0</v>
      </c>
      <c r="J11" s="952" t="str">
        <f ca="1"/>
        <v/>
      </c>
    </row>
    <row r="12" spans="1:10" hidden="1">
      <c r="A12" s="1542" t="str">
        <v/>
      </c>
      <c r="B12" s="2652">
        <f ca="1"/>
        <v>0</v>
      </c>
      <c r="C12" s="2652">
        <f ca="1"/>
        <v>0</v>
      </c>
      <c r="D12" s="952" t="str">
        <f ca="1"/>
        <v/>
      </c>
      <c r="E12" s="2655">
        <f ca="1"/>
        <v>0</v>
      </c>
      <c r="F12" s="952" t="str">
        <f ca="1"/>
        <v/>
      </c>
      <c r="G12" s="2652">
        <f ca="1"/>
        <v>0</v>
      </c>
      <c r="H12" s="952" t="str">
        <f ca="1"/>
        <v/>
      </c>
      <c r="I12" s="2658">
        <f ca="1"/>
        <v>0</v>
      </c>
      <c r="J12" s="952" t="str">
        <f ca="1"/>
        <v/>
      </c>
    </row>
    <row r="13" spans="1:10" ht="13.5" hidden="1" thickBot="1">
      <c r="A13" s="1774" t="str">
        <v/>
      </c>
      <c r="B13" s="2653">
        <f ca="1"/>
        <v>0</v>
      </c>
      <c r="C13" s="2653">
        <f ca="1"/>
        <v>0</v>
      </c>
      <c r="D13" s="2101" t="str">
        <f ca="1"/>
        <v/>
      </c>
      <c r="E13" s="2656">
        <f ca="1"/>
        <v>0</v>
      </c>
      <c r="F13" s="2101" t="str">
        <f ca="1"/>
        <v/>
      </c>
      <c r="G13" s="2653">
        <f ca="1"/>
        <v>0</v>
      </c>
      <c r="H13" s="2101" t="str">
        <f ca="1"/>
        <v/>
      </c>
      <c r="I13" s="2659">
        <f ca="1"/>
        <v>0</v>
      </c>
      <c r="J13" s="2101" t="str">
        <f ca="1"/>
        <v/>
      </c>
    </row>
    <row r="14" spans="1:10" ht="15" hidden="1">
      <c r="A14" s="73"/>
    </row>
    <row r="15" spans="1:10" ht="15" hidden="1">
      <c r="A15" s="220"/>
    </row>
    <row r="16" spans="1:10" ht="15.75" hidden="1" thickBot="1">
      <c r="A16" s="220"/>
    </row>
    <row r="17" spans="1:10" s="869" customFormat="1" ht="20.25" customHeight="1">
      <c r="A17" s="2102" t="s">
        <v>628</v>
      </c>
      <c r="B17" s="2093" t="str">
        <f>B$4</f>
        <v>Ano 0:  2026</v>
      </c>
      <c r="C17" s="2093" t="str">
        <f>C$4</f>
        <v>Ano 1:  2027</v>
      </c>
      <c r="D17" s="2094"/>
      <c r="E17" s="2095" t="str">
        <f>E$4</f>
        <v>Ano 2:  2028</v>
      </c>
      <c r="F17" s="2096"/>
      <c r="G17" s="2093" t="str">
        <f>G$4</f>
        <v>Ano 3:  2029</v>
      </c>
      <c r="H17" s="2094"/>
      <c r="I17" s="2095" t="str">
        <f>I$4</f>
        <v>Ano 4:  2030</v>
      </c>
      <c r="J17" s="2097"/>
    </row>
    <row r="18" spans="1:10" s="869" customFormat="1" ht="16.5" customHeight="1" thickBot="1">
      <c r="A18" s="2103" t="str">
        <f>"( "&amp;Moneda&amp;" )"</f>
        <v>( Euros )</v>
      </c>
      <c r="B18" s="955" t="s">
        <v>627</v>
      </c>
      <c r="C18" s="956" t="s">
        <v>627</v>
      </c>
      <c r="D18" s="957" t="s">
        <v>71</v>
      </c>
      <c r="E18" s="958" t="s">
        <v>627</v>
      </c>
      <c r="F18" s="959" t="s">
        <v>71</v>
      </c>
      <c r="G18" s="956" t="s">
        <v>627</v>
      </c>
      <c r="H18" s="957" t="s">
        <v>71</v>
      </c>
      <c r="I18" s="958" t="s">
        <v>627</v>
      </c>
      <c r="J18" s="2099" t="s">
        <v>71</v>
      </c>
    </row>
    <row r="19" spans="1:10">
      <c r="A19" s="2100" t="str">
        <f t="array" ref="A19:A26">productos</f>
        <v>produto 1</v>
      </c>
      <c r="B19" s="2663">
        <f t="array" aca="1" ref="B19:B26" ca="1">'Prev.Vendas 0'!$N17:$N24</f>
        <v>7199.9999999999991</v>
      </c>
      <c r="C19" s="2651">
        <f t="array" aca="1" ref="C19:C26" ca="1">'Prev.Vendas 1'!$N17:$N24</f>
        <v>12360</v>
      </c>
      <c r="D19" s="951">
        <f t="array" aca="1" ref="D19:D27" ca="1">IF(B19:B27=0,"",(C19:C27-B19:B27)/B19:B27)</f>
        <v>0.7166666666666669</v>
      </c>
      <c r="E19" s="2654">
        <f t="array" aca="1" ref="E19:E26" ca="1">'Prev.Vendas 2'!$N17:$N24</f>
        <v>13367.339999999998</v>
      </c>
      <c r="F19" s="951">
        <f t="array" aca="1" ref="F19:F27" ca="1">IF(C19:C27=0,"",(E19:E27-C19:C27)/C19:C27)</f>
        <v>8.1499999999999864E-2</v>
      </c>
      <c r="G19" s="2651">
        <f t="array" aca="1" ref="G19:G26" ca="1">'Prev.Vendas 3'!$N17:$N24</f>
        <v>14463.334572</v>
      </c>
      <c r="H19" s="951">
        <f t="array" aca="1" ref="H19:H27" ca="1">IF(E19:E27=0,"",(G19:G27-E19:E27)/E19:E27)</f>
        <v>8.1990476190476308E-2</v>
      </c>
      <c r="I19" s="2657">
        <f t="array" aca="1" ref="I19:I26" ca="1">'Prev.Vendas 4'!$N17:$N24</f>
        <v>15640.070423759998</v>
      </c>
      <c r="J19" s="951">
        <f t="array" aca="1" ref="J19:J27" ca="1">IF(G19:G27=0,"",(I19:I27-G19:G27)/G19:G27)</f>
        <v>8.1359927470534818E-2</v>
      </c>
    </row>
    <row r="20" spans="1:10">
      <c r="A20" s="1542" t="str">
        <v/>
      </c>
      <c r="B20" s="2664">
        <f ca="1"/>
        <v>0</v>
      </c>
      <c r="C20" s="2652">
        <f ca="1"/>
        <v>0</v>
      </c>
      <c r="D20" s="952" t="str">
        <f ca="1"/>
        <v/>
      </c>
      <c r="E20" s="2655">
        <f ca="1"/>
        <v>0</v>
      </c>
      <c r="F20" s="952" t="str">
        <f ca="1"/>
        <v/>
      </c>
      <c r="G20" s="2652">
        <f ca="1"/>
        <v>0</v>
      </c>
      <c r="H20" s="952" t="str">
        <f ca="1"/>
        <v/>
      </c>
      <c r="I20" s="2658">
        <f ca="1"/>
        <v>0</v>
      </c>
      <c r="J20" s="952" t="str">
        <f ca="1"/>
        <v/>
      </c>
    </row>
    <row r="21" spans="1:10">
      <c r="A21" s="1542" t="str">
        <v/>
      </c>
      <c r="B21" s="2664">
        <f ca="1"/>
        <v>0</v>
      </c>
      <c r="C21" s="2652">
        <f ca="1"/>
        <v>0</v>
      </c>
      <c r="D21" s="952" t="str">
        <f ca="1"/>
        <v/>
      </c>
      <c r="E21" s="2655">
        <f ca="1"/>
        <v>0</v>
      </c>
      <c r="F21" s="952" t="str">
        <f ca="1"/>
        <v/>
      </c>
      <c r="G21" s="2652">
        <f ca="1"/>
        <v>0</v>
      </c>
      <c r="H21" s="952" t="str">
        <f ca="1"/>
        <v/>
      </c>
      <c r="I21" s="2658">
        <f ca="1"/>
        <v>0</v>
      </c>
      <c r="J21" s="952" t="str">
        <f ca="1"/>
        <v/>
      </c>
    </row>
    <row r="22" spans="1:10">
      <c r="A22" s="1542" t="str">
        <v/>
      </c>
      <c r="B22" s="2664">
        <f ca="1"/>
        <v>0</v>
      </c>
      <c r="C22" s="2652">
        <f ca="1"/>
        <v>0</v>
      </c>
      <c r="D22" s="952" t="str">
        <f ca="1"/>
        <v/>
      </c>
      <c r="E22" s="2655">
        <f ca="1"/>
        <v>0</v>
      </c>
      <c r="F22" s="952" t="str">
        <f ca="1"/>
        <v/>
      </c>
      <c r="G22" s="2652">
        <f ca="1"/>
        <v>0</v>
      </c>
      <c r="H22" s="952" t="str">
        <f ca="1"/>
        <v/>
      </c>
      <c r="I22" s="2658">
        <f ca="1"/>
        <v>0</v>
      </c>
      <c r="J22" s="952" t="str">
        <f ca="1"/>
        <v/>
      </c>
    </row>
    <row r="23" spans="1:10">
      <c r="A23" s="1542" t="str">
        <v/>
      </c>
      <c r="B23" s="2664">
        <f ca="1"/>
        <v>0</v>
      </c>
      <c r="C23" s="2652">
        <f ca="1"/>
        <v>0</v>
      </c>
      <c r="D23" s="952" t="str">
        <f ca="1"/>
        <v/>
      </c>
      <c r="E23" s="2655">
        <f ca="1"/>
        <v>0</v>
      </c>
      <c r="F23" s="952" t="str">
        <f ca="1"/>
        <v/>
      </c>
      <c r="G23" s="2652">
        <f ca="1"/>
        <v>0</v>
      </c>
      <c r="H23" s="952" t="str">
        <f ca="1"/>
        <v/>
      </c>
      <c r="I23" s="2658">
        <f ca="1"/>
        <v>0</v>
      </c>
      <c r="J23" s="952" t="str">
        <f ca="1"/>
        <v/>
      </c>
    </row>
    <row r="24" spans="1:10">
      <c r="A24" s="1542" t="str">
        <v/>
      </c>
      <c r="B24" s="2664">
        <f ca="1"/>
        <v>0</v>
      </c>
      <c r="C24" s="2652">
        <f ca="1"/>
        <v>0</v>
      </c>
      <c r="D24" s="952" t="str">
        <f ca="1"/>
        <v/>
      </c>
      <c r="E24" s="2655">
        <f ca="1"/>
        <v>0</v>
      </c>
      <c r="F24" s="952" t="str">
        <f ca="1"/>
        <v/>
      </c>
      <c r="G24" s="2652">
        <f ca="1"/>
        <v>0</v>
      </c>
      <c r="H24" s="952" t="str">
        <f ca="1"/>
        <v/>
      </c>
      <c r="I24" s="2658">
        <f ca="1"/>
        <v>0</v>
      </c>
      <c r="J24" s="952" t="str">
        <f ca="1"/>
        <v/>
      </c>
    </row>
    <row r="25" spans="1:10">
      <c r="A25" s="1542" t="str">
        <v/>
      </c>
      <c r="B25" s="2664">
        <f ca="1"/>
        <v>0</v>
      </c>
      <c r="C25" s="2652">
        <f ca="1"/>
        <v>0</v>
      </c>
      <c r="D25" s="952" t="str">
        <f ca="1"/>
        <v/>
      </c>
      <c r="E25" s="2655">
        <f ca="1"/>
        <v>0</v>
      </c>
      <c r="F25" s="952" t="str">
        <f ca="1"/>
        <v/>
      </c>
      <c r="G25" s="2652">
        <f ca="1"/>
        <v>0</v>
      </c>
      <c r="H25" s="952" t="str">
        <f ca="1"/>
        <v/>
      </c>
      <c r="I25" s="2658">
        <f ca="1"/>
        <v>0</v>
      </c>
      <c r="J25" s="952" t="str">
        <f ca="1"/>
        <v/>
      </c>
    </row>
    <row r="26" spans="1:10" ht="13.5" thickBot="1">
      <c r="A26" s="1543" t="str">
        <v/>
      </c>
      <c r="B26" s="2665">
        <f ca="1"/>
        <v>0</v>
      </c>
      <c r="C26" s="2661">
        <f ca="1"/>
        <v>0</v>
      </c>
      <c r="D26" s="2101" t="str">
        <f ca="1"/>
        <v/>
      </c>
      <c r="E26" s="2662">
        <f ca="1"/>
        <v>0</v>
      </c>
      <c r="F26" s="2101" t="str">
        <f ca="1"/>
        <v/>
      </c>
      <c r="G26" s="2661">
        <f ca="1"/>
        <v>0</v>
      </c>
      <c r="H26" s="2101" t="str">
        <f ca="1"/>
        <v/>
      </c>
      <c r="I26" s="2660">
        <f ca="1"/>
        <v>0</v>
      </c>
      <c r="J26" s="2101" t="str">
        <f ca="1"/>
        <v/>
      </c>
    </row>
    <row r="27" spans="1:10" s="954" customFormat="1" ht="20.25" customHeight="1" thickBot="1">
      <c r="A27" s="2110" t="s">
        <v>612</v>
      </c>
      <c r="B27" s="2104">
        <f ca="1">B19+B20+B21+B22+B23+B24+B25+B26</f>
        <v>7199.9999999999991</v>
      </c>
      <c r="C27" s="2105">
        <f ca="1">C19+C20+C21+C22+C23+C24+C25+C26</f>
        <v>12360</v>
      </c>
      <c r="D27" s="2106">
        <f ca="1"/>
        <v>0.7166666666666669</v>
      </c>
      <c r="E27" s="2107">
        <f ca="1">E19+E20+E21+E22+E23+E24+E25+E26</f>
        <v>13367.339999999998</v>
      </c>
      <c r="F27" s="2108">
        <f ca="1"/>
        <v>8.1499999999999864E-2</v>
      </c>
      <c r="G27" s="2105">
        <f ca="1">G19+G20+G21+G22+G23+G24+G25+G26</f>
        <v>14463.334572</v>
      </c>
      <c r="H27" s="2106">
        <f ca="1"/>
        <v>8.1990476190476308E-2</v>
      </c>
      <c r="I27" s="2109">
        <f ca="1">I19+I20+I21+I22+I23+I24+I25+I26</f>
        <v>15640.070423759998</v>
      </c>
      <c r="J27" s="2106">
        <f ca="1"/>
        <v>8.1359927470534818E-2</v>
      </c>
    </row>
    <row r="28" spans="1:10" ht="15">
      <c r="A28" s="220"/>
    </row>
    <row r="29" spans="1:10" ht="15">
      <c r="A29" s="220"/>
    </row>
    <row r="30" spans="1:10" ht="25.5">
      <c r="A30" s="37" t="s">
        <v>1086</v>
      </c>
      <c r="I30" s="949"/>
    </row>
    <row r="31" spans="1:10" ht="26.25" thickBot="1">
      <c r="A31" s="37" t="str">
        <f>'Dados Básicos'!$B$9</f>
        <v>WWW, S.L.</v>
      </c>
    </row>
    <row r="32" spans="1:10" s="869" customFormat="1" ht="23.25" customHeight="1">
      <c r="A32" s="2102" t="s">
        <v>629</v>
      </c>
      <c r="B32" s="2093" t="str">
        <f>B$4</f>
        <v>Ano 0:  2026</v>
      </c>
      <c r="C32" s="2093" t="str">
        <f>C$4</f>
        <v>Ano 1:  2027</v>
      </c>
      <c r="D32" s="2094"/>
      <c r="E32" s="2095" t="str">
        <f>E$4</f>
        <v>Ano 2:  2028</v>
      </c>
      <c r="F32" s="2096"/>
      <c r="G32" s="2093" t="str">
        <f>G$4</f>
        <v>Ano 3:  2029</v>
      </c>
      <c r="H32" s="2094"/>
      <c r="I32" s="2095" t="str">
        <f>I$4</f>
        <v>Ano 4:  2030</v>
      </c>
      <c r="J32" s="2097"/>
    </row>
    <row r="33" spans="1:10" s="869" customFormat="1" ht="19.5" customHeight="1" thickBot="1">
      <c r="A33" s="2103" t="str">
        <f>"( "&amp;Moneda&amp;" )"</f>
        <v>( Euros )</v>
      </c>
      <c r="B33" s="955" t="s">
        <v>630</v>
      </c>
      <c r="C33" s="956" t="s">
        <v>630</v>
      </c>
      <c r="D33" s="957" t="s">
        <v>71</v>
      </c>
      <c r="E33" s="958" t="s">
        <v>630</v>
      </c>
      <c r="F33" s="959" t="s">
        <v>71</v>
      </c>
      <c r="G33" s="956" t="s">
        <v>630</v>
      </c>
      <c r="H33" s="957" t="s">
        <v>71</v>
      </c>
      <c r="I33" s="958" t="s">
        <v>630</v>
      </c>
      <c r="J33" s="2099" t="s">
        <v>71</v>
      </c>
    </row>
    <row r="34" spans="1:10">
      <c r="A34" s="2100" t="str">
        <f t="array" ref="A34:A41">productos</f>
        <v>produto 1</v>
      </c>
      <c r="B34" s="2663">
        <f t="array" aca="1" ref="B34:B41" ca="1">'Distr CV 0'!$N20:$N27</f>
        <v>1008.0000000000001</v>
      </c>
      <c r="C34" s="2651">
        <f t="array" aca="1" ref="C34:C41" ca="1">'Distr CV 1'!$N20:$N27</f>
        <v>1730.4000000000003</v>
      </c>
      <c r="D34" s="951">
        <f t="array" aca="1" ref="D34:D42" ca="1">IF(B34:B42=0,"",(C34:C42-B34:B42)/B34:B42)</f>
        <v>0.71666666666666679</v>
      </c>
      <c r="E34" s="2654">
        <f t="array" aca="1" ref="E34:E41" ca="1">'Distr CV 2'!$N20:$N27</f>
        <v>1871.4275999999998</v>
      </c>
      <c r="F34" s="951">
        <f t="array" aca="1" ref="F34:F42" ca="1">IF(C34:C42=0,"",(E34:E42-C34:C42)/C34:C42)</f>
        <v>8.1499999999999656E-2</v>
      </c>
      <c r="G34" s="2651">
        <f t="array" aca="1" ref="G34:G41" ca="1">'Distr CV 3'!$N20:$N27</f>
        <v>2024.86684008</v>
      </c>
      <c r="H34" s="951">
        <f t="array" aca="1" ref="H34:H42" ca="1">IF(E34:E42=0,"",(G34:G42-E34:E42)/E34:E42)</f>
        <v>8.1990476190476322E-2</v>
      </c>
      <c r="I34" s="2657">
        <f t="array" aca="1" ref="I34:I41" ca="1">'Distr CV 4'!$N20:$N27</f>
        <v>2189.6098593264005</v>
      </c>
      <c r="J34" s="951">
        <f t="array" aca="1" ref="J34:J42" ca="1">IF(G34:G42=0,"",(I34:I42-G34:G42)/G34:G42)</f>
        <v>8.1359927470535165E-2</v>
      </c>
    </row>
    <row r="35" spans="1:10">
      <c r="A35" s="1542" t="str">
        <v/>
      </c>
      <c r="B35" s="2664">
        <f ca="1"/>
        <v>0</v>
      </c>
      <c r="C35" s="2652">
        <f ca="1"/>
        <v>0</v>
      </c>
      <c r="D35" s="952" t="str">
        <f ca="1"/>
        <v/>
      </c>
      <c r="E35" s="2655">
        <f ca="1"/>
        <v>0</v>
      </c>
      <c r="F35" s="952" t="str">
        <f ca="1"/>
        <v/>
      </c>
      <c r="G35" s="2652">
        <f ca="1"/>
        <v>0</v>
      </c>
      <c r="H35" s="952" t="str">
        <f ca="1"/>
        <v/>
      </c>
      <c r="I35" s="2658">
        <f ca="1"/>
        <v>0</v>
      </c>
      <c r="J35" s="952" t="str">
        <f ca="1"/>
        <v/>
      </c>
    </row>
    <row r="36" spans="1:10">
      <c r="A36" s="1542" t="str">
        <v/>
      </c>
      <c r="B36" s="2664">
        <f ca="1"/>
        <v>0</v>
      </c>
      <c r="C36" s="2652">
        <f ca="1"/>
        <v>0</v>
      </c>
      <c r="D36" s="952" t="str">
        <f ca="1"/>
        <v/>
      </c>
      <c r="E36" s="2655">
        <f ca="1"/>
        <v>0</v>
      </c>
      <c r="F36" s="952" t="str">
        <f ca="1"/>
        <v/>
      </c>
      <c r="G36" s="2652">
        <f ca="1"/>
        <v>0</v>
      </c>
      <c r="H36" s="952" t="str">
        <f ca="1"/>
        <v/>
      </c>
      <c r="I36" s="2658">
        <f ca="1"/>
        <v>0</v>
      </c>
      <c r="J36" s="952" t="str">
        <f ca="1"/>
        <v/>
      </c>
    </row>
    <row r="37" spans="1:10">
      <c r="A37" s="1542" t="str">
        <v/>
      </c>
      <c r="B37" s="2664">
        <f ca="1"/>
        <v>0</v>
      </c>
      <c r="C37" s="2652">
        <f ca="1"/>
        <v>0</v>
      </c>
      <c r="D37" s="952" t="str">
        <f ca="1"/>
        <v/>
      </c>
      <c r="E37" s="2655">
        <f ca="1"/>
        <v>0</v>
      </c>
      <c r="F37" s="952" t="str">
        <f ca="1"/>
        <v/>
      </c>
      <c r="G37" s="2652">
        <f ca="1"/>
        <v>0</v>
      </c>
      <c r="H37" s="952" t="str">
        <f ca="1"/>
        <v/>
      </c>
      <c r="I37" s="2658">
        <f ca="1"/>
        <v>0</v>
      </c>
      <c r="J37" s="952" t="str">
        <f ca="1"/>
        <v/>
      </c>
    </row>
    <row r="38" spans="1:10">
      <c r="A38" s="1542" t="str">
        <v/>
      </c>
      <c r="B38" s="2664">
        <f ca="1"/>
        <v>0</v>
      </c>
      <c r="C38" s="2652">
        <f ca="1"/>
        <v>0</v>
      </c>
      <c r="D38" s="952" t="str">
        <f ca="1"/>
        <v/>
      </c>
      <c r="E38" s="2655">
        <f ca="1"/>
        <v>0</v>
      </c>
      <c r="F38" s="952" t="str">
        <f ca="1"/>
        <v/>
      </c>
      <c r="G38" s="2652">
        <f ca="1"/>
        <v>0</v>
      </c>
      <c r="H38" s="952" t="str">
        <f ca="1"/>
        <v/>
      </c>
      <c r="I38" s="2658">
        <f ca="1"/>
        <v>0</v>
      </c>
      <c r="J38" s="952" t="str">
        <f ca="1"/>
        <v/>
      </c>
    </row>
    <row r="39" spans="1:10">
      <c r="A39" s="1542" t="str">
        <v/>
      </c>
      <c r="B39" s="2664">
        <f ca="1"/>
        <v>0</v>
      </c>
      <c r="C39" s="2652">
        <f ca="1"/>
        <v>0</v>
      </c>
      <c r="D39" s="952" t="str">
        <f ca="1"/>
        <v/>
      </c>
      <c r="E39" s="2655">
        <f ca="1"/>
        <v>0</v>
      </c>
      <c r="F39" s="952" t="str">
        <f ca="1"/>
        <v/>
      </c>
      <c r="G39" s="2652">
        <f ca="1"/>
        <v>0</v>
      </c>
      <c r="H39" s="952" t="str">
        <f ca="1"/>
        <v/>
      </c>
      <c r="I39" s="2658">
        <f ca="1"/>
        <v>0</v>
      </c>
      <c r="J39" s="952" t="str">
        <f ca="1"/>
        <v/>
      </c>
    </row>
    <row r="40" spans="1:10">
      <c r="A40" s="1542" t="str">
        <v/>
      </c>
      <c r="B40" s="2664">
        <f ca="1"/>
        <v>0</v>
      </c>
      <c r="C40" s="2652">
        <f ca="1"/>
        <v>0</v>
      </c>
      <c r="D40" s="952" t="str">
        <f ca="1"/>
        <v/>
      </c>
      <c r="E40" s="2655">
        <f ca="1"/>
        <v>0</v>
      </c>
      <c r="F40" s="952" t="str">
        <f ca="1"/>
        <v/>
      </c>
      <c r="G40" s="2652">
        <f ca="1"/>
        <v>0</v>
      </c>
      <c r="H40" s="952" t="str">
        <f ca="1"/>
        <v/>
      </c>
      <c r="I40" s="2658">
        <f ca="1"/>
        <v>0</v>
      </c>
      <c r="J40" s="952" t="str">
        <f ca="1"/>
        <v/>
      </c>
    </row>
    <row r="41" spans="1:10" ht="13.5" thickBot="1">
      <c r="A41" s="1543" t="str">
        <v/>
      </c>
      <c r="B41" s="2665">
        <f ca="1"/>
        <v>0</v>
      </c>
      <c r="C41" s="2661">
        <f ca="1"/>
        <v>0</v>
      </c>
      <c r="D41" s="2101" t="str">
        <f ca="1"/>
        <v/>
      </c>
      <c r="E41" s="2662">
        <f ca="1"/>
        <v>0</v>
      </c>
      <c r="F41" s="2101" t="str">
        <f ca="1"/>
        <v/>
      </c>
      <c r="G41" s="2661">
        <f ca="1"/>
        <v>0</v>
      </c>
      <c r="H41" s="2101" t="str">
        <f ca="1"/>
        <v/>
      </c>
      <c r="I41" s="2660">
        <f ca="1"/>
        <v>0</v>
      </c>
      <c r="J41" s="2101" t="str">
        <f ca="1"/>
        <v/>
      </c>
    </row>
    <row r="42" spans="1:10" s="954" customFormat="1" ht="18.75" customHeight="1" thickBot="1">
      <c r="A42" s="2110" t="s">
        <v>612</v>
      </c>
      <c r="B42" s="2104">
        <f ca="1">SUM(B34:B41)</f>
        <v>1008.0000000000001</v>
      </c>
      <c r="C42" s="2105">
        <f ca="1">SUM(C34:C41)</f>
        <v>1730.4000000000003</v>
      </c>
      <c r="D42" s="2106">
        <f ca="1"/>
        <v>0.71666666666666679</v>
      </c>
      <c r="E42" s="2107">
        <f ca="1">SUM(E34:E41)</f>
        <v>1871.4275999999998</v>
      </c>
      <c r="F42" s="2108">
        <f ca="1"/>
        <v>8.1499999999999656E-2</v>
      </c>
      <c r="G42" s="2105">
        <f ca="1">SUM(G34:G41)</f>
        <v>2024.86684008</v>
      </c>
      <c r="H42" s="2106">
        <f ca="1"/>
        <v>8.1990476190476322E-2</v>
      </c>
      <c r="I42" s="2109">
        <f ca="1">SUM(I34:I41)</f>
        <v>2189.6098593264005</v>
      </c>
      <c r="J42" s="2106">
        <f ca="1"/>
        <v>8.1359927470535165E-2</v>
      </c>
    </row>
    <row r="43" spans="1:10" s="239" customFormat="1">
      <c r="A43" s="61"/>
      <c r="B43" s="61"/>
    </row>
    <row r="44" spans="1:10" s="239" customFormat="1">
      <c r="A44" s="61"/>
      <c r="B44" s="61"/>
    </row>
    <row r="45" spans="1:10" ht="25.5">
      <c r="A45" s="37" t="s">
        <v>1087</v>
      </c>
      <c r="I45" s="949"/>
    </row>
    <row r="46" spans="1:10" ht="26.25" thickBot="1">
      <c r="A46" s="37" t="str">
        <f>'Dados Básicos'!$B$9</f>
        <v>WWW, S.L.</v>
      </c>
    </row>
    <row r="47" spans="1:10" s="869" customFormat="1" ht="23.25" customHeight="1">
      <c r="A47" s="2102" t="s">
        <v>1089</v>
      </c>
      <c r="B47" s="2093" t="str">
        <f>B$4</f>
        <v>Ano 0:  2026</v>
      </c>
      <c r="C47" s="2093" t="str">
        <f>C$4</f>
        <v>Ano 1:  2027</v>
      </c>
      <c r="D47" s="2094"/>
      <c r="E47" s="2095" t="str">
        <f>E$4</f>
        <v>Ano 2:  2028</v>
      </c>
      <c r="F47" s="2096"/>
      <c r="G47" s="2093" t="str">
        <f>G$4</f>
        <v>Ano 3:  2029</v>
      </c>
      <c r="H47" s="2094"/>
      <c r="I47" s="2095" t="str">
        <f>I$4</f>
        <v>Ano 4:  2030</v>
      </c>
      <c r="J47" s="2097"/>
    </row>
    <row r="48" spans="1:10" s="869" customFormat="1" ht="19.5" customHeight="1" thickBot="1">
      <c r="A48" s="2103" t="str">
        <f>"( "&amp;Moneda&amp;" )"</f>
        <v>( Euros )</v>
      </c>
      <c r="B48" s="955" t="s">
        <v>1088</v>
      </c>
      <c r="C48" s="956" t="s">
        <v>1088</v>
      </c>
      <c r="D48" s="957" t="s">
        <v>71</v>
      </c>
      <c r="E48" s="958" t="s">
        <v>1088</v>
      </c>
      <c r="F48" s="959" t="s">
        <v>71</v>
      </c>
      <c r="G48" s="956" t="s">
        <v>1088</v>
      </c>
      <c r="H48" s="957" t="s">
        <v>71</v>
      </c>
      <c r="I48" s="958" t="s">
        <v>1088</v>
      </c>
      <c r="J48" s="2099" t="s">
        <v>71</v>
      </c>
    </row>
    <row r="49" spans="1:10">
      <c r="A49" s="2100" t="str">
        <f t="array" ref="A49:A56">productos</f>
        <v>produto 1</v>
      </c>
      <c r="B49" s="2663">
        <f t="array" ref="B49:B56" ca="1">'Distr CV 0'!$N35:$N42</f>
        <v>0</v>
      </c>
      <c r="C49" s="2651">
        <f t="array" ref="C49:C56" ca="1">'Distr CV 1'!$N35:$N42</f>
        <v>0</v>
      </c>
      <c r="D49" s="951" t="str">
        <f t="array" ref="D49:D57" ca="1">IF(B49:B57=0,"",(C49:C57-B49:B57)/B49:B57)</f>
        <v/>
      </c>
      <c r="E49" s="2654">
        <f t="array" ref="E49:E56" ca="1">'Distr CV 2'!$N35:$N42</f>
        <v>0</v>
      </c>
      <c r="F49" s="951" t="str">
        <f t="array" ref="F49:F57" ca="1">IF(C49:C57=0,"",(E49:E57-C49:C57)/C49:C57)</f>
        <v/>
      </c>
      <c r="G49" s="2651">
        <f t="array" ref="G49:G56" ca="1">'Distr CV 3'!$N35:$N42</f>
        <v>0</v>
      </c>
      <c r="H49" s="951" t="str">
        <f t="array" ref="H49:H57" ca="1">IF(E49:E57=0,"",(G49:G57-E49:E57)/E49:E57)</f>
        <v/>
      </c>
      <c r="I49" s="2657">
        <f t="array" ref="I49:I56" ca="1">'Distr CV 4'!$N35:$N42</f>
        <v>0</v>
      </c>
      <c r="J49" s="951" t="str">
        <f t="array" ref="J49:J57" ca="1">IF(G49:G57=0,"",(I49:I57-G49:G57)/G49:G57)</f>
        <v/>
      </c>
    </row>
    <row r="50" spans="1:10">
      <c r="A50" s="1542" t="str">
        <v/>
      </c>
      <c r="B50" s="2664">
        <f ca="1"/>
        <v>0</v>
      </c>
      <c r="C50" s="2652">
        <f ca="1"/>
        <v>0</v>
      </c>
      <c r="D50" s="952" t="str">
        <f ca="1"/>
        <v/>
      </c>
      <c r="E50" s="2655">
        <f ca="1"/>
        <v>0</v>
      </c>
      <c r="F50" s="952" t="str">
        <f ca="1"/>
        <v/>
      </c>
      <c r="G50" s="2652">
        <f ca="1"/>
        <v>0</v>
      </c>
      <c r="H50" s="952" t="str">
        <f ca="1"/>
        <v/>
      </c>
      <c r="I50" s="2658">
        <f ca="1"/>
        <v>0</v>
      </c>
      <c r="J50" s="952" t="str">
        <f ca="1"/>
        <v/>
      </c>
    </row>
    <row r="51" spans="1:10">
      <c r="A51" s="1542" t="str">
        <v/>
      </c>
      <c r="B51" s="2664">
        <f ca="1"/>
        <v>0</v>
      </c>
      <c r="C51" s="2652">
        <f ca="1"/>
        <v>0</v>
      </c>
      <c r="D51" s="952" t="str">
        <f ca="1"/>
        <v/>
      </c>
      <c r="E51" s="2655">
        <f ca="1"/>
        <v>0</v>
      </c>
      <c r="F51" s="952" t="str">
        <f ca="1"/>
        <v/>
      </c>
      <c r="G51" s="2652">
        <f ca="1"/>
        <v>0</v>
      </c>
      <c r="H51" s="952" t="str">
        <f ca="1"/>
        <v/>
      </c>
      <c r="I51" s="2658">
        <f ca="1"/>
        <v>0</v>
      </c>
      <c r="J51" s="952" t="str">
        <f ca="1"/>
        <v/>
      </c>
    </row>
    <row r="52" spans="1:10">
      <c r="A52" s="1542" t="str">
        <v/>
      </c>
      <c r="B52" s="2664">
        <f ca="1"/>
        <v>0</v>
      </c>
      <c r="C52" s="2652">
        <f ca="1"/>
        <v>0</v>
      </c>
      <c r="D52" s="952" t="str">
        <f ca="1"/>
        <v/>
      </c>
      <c r="E52" s="2655">
        <f ca="1"/>
        <v>0</v>
      </c>
      <c r="F52" s="952" t="str">
        <f ca="1"/>
        <v/>
      </c>
      <c r="G52" s="2652">
        <f ca="1"/>
        <v>0</v>
      </c>
      <c r="H52" s="952" t="str">
        <f ca="1"/>
        <v/>
      </c>
      <c r="I52" s="2658">
        <f ca="1"/>
        <v>0</v>
      </c>
      <c r="J52" s="952" t="str">
        <f ca="1"/>
        <v/>
      </c>
    </row>
    <row r="53" spans="1:10">
      <c r="A53" s="1542" t="str">
        <v/>
      </c>
      <c r="B53" s="2664">
        <f ca="1"/>
        <v>0</v>
      </c>
      <c r="C53" s="2652">
        <f ca="1"/>
        <v>0</v>
      </c>
      <c r="D53" s="952" t="str">
        <f ca="1"/>
        <v/>
      </c>
      <c r="E53" s="2655">
        <f ca="1"/>
        <v>0</v>
      </c>
      <c r="F53" s="952" t="str">
        <f ca="1"/>
        <v/>
      </c>
      <c r="G53" s="2652">
        <f ca="1"/>
        <v>0</v>
      </c>
      <c r="H53" s="952" t="str">
        <f ca="1"/>
        <v/>
      </c>
      <c r="I53" s="2658">
        <f ca="1"/>
        <v>0</v>
      </c>
      <c r="J53" s="952" t="str">
        <f ca="1"/>
        <v/>
      </c>
    </row>
    <row r="54" spans="1:10">
      <c r="A54" s="1542" t="str">
        <v/>
      </c>
      <c r="B54" s="2664">
        <f ca="1"/>
        <v>211.68000000000004</v>
      </c>
      <c r="C54" s="2652">
        <f ca="1"/>
        <v>363.38400000000001</v>
      </c>
      <c r="D54" s="952">
        <f ca="1"/>
        <v>0.71666666666666645</v>
      </c>
      <c r="E54" s="2655">
        <f ca="1"/>
        <v>392.99979599999989</v>
      </c>
      <c r="F54" s="952">
        <f ca="1"/>
        <v>8.1499999999999656E-2</v>
      </c>
      <c r="G54" s="2652">
        <f ca="1"/>
        <v>425.22203641680011</v>
      </c>
      <c r="H54" s="952">
        <f ca="1"/>
        <v>8.1990476190476766E-2</v>
      </c>
      <c r="I54" s="2658">
        <f ca="1"/>
        <v>459.81807045854407</v>
      </c>
      <c r="J54" s="952">
        <f ca="1"/>
        <v>8.135992747053479E-2</v>
      </c>
    </row>
    <row r="55" spans="1:10">
      <c r="A55" s="1542" t="str">
        <v/>
      </c>
      <c r="B55" s="2664">
        <v>0</v>
      </c>
      <c r="C55" s="2652">
        <v>0</v>
      </c>
      <c r="D55" s="952" t="str">
        <v/>
      </c>
      <c r="E55" s="2655">
        <v>0</v>
      </c>
      <c r="F55" s="952" t="str">
        <v/>
      </c>
      <c r="G55" s="2652">
        <v>0</v>
      </c>
      <c r="H55" s="952" t="str">
        <v/>
      </c>
      <c r="I55" s="2658">
        <v>0</v>
      </c>
      <c r="J55" s="952" t="str">
        <v/>
      </c>
    </row>
    <row r="56" spans="1:10" ht="13.5" thickBot="1">
      <c r="A56" s="1543" t="str">
        <v/>
      </c>
      <c r="B56" s="2665">
        <v>0</v>
      </c>
      <c r="C56" s="2661">
        <v>0</v>
      </c>
      <c r="D56" s="2101" t="str">
        <v/>
      </c>
      <c r="E56" s="2662">
        <v>0</v>
      </c>
      <c r="F56" s="2101" t="str">
        <v/>
      </c>
      <c r="G56" s="2661">
        <v>0</v>
      </c>
      <c r="H56" s="2101" t="str">
        <v/>
      </c>
      <c r="I56" s="2660">
        <v>0</v>
      </c>
      <c r="J56" s="2101" t="str">
        <v/>
      </c>
    </row>
    <row r="57" spans="1:10" s="954" customFormat="1" ht="18.75" customHeight="1" thickBot="1">
      <c r="A57" s="2110" t="s">
        <v>612</v>
      </c>
      <c r="B57" s="2104">
        <f ca="1">SUM(B49:B56)</f>
        <v>211.68000000000004</v>
      </c>
      <c r="C57" s="2105">
        <f ca="1">SUM(C49:C56)</f>
        <v>363.38400000000001</v>
      </c>
      <c r="D57" s="2106">
        <f ca="1"/>
        <v>0.71666666666666645</v>
      </c>
      <c r="E57" s="2107">
        <f ca="1">SUM(E49:E56)</f>
        <v>392.99979599999989</v>
      </c>
      <c r="F57" s="2108">
        <f ca="1"/>
        <v>8.1499999999999656E-2</v>
      </c>
      <c r="G57" s="2105">
        <f ca="1">SUM(G49:G56)</f>
        <v>425.22203641680011</v>
      </c>
      <c r="H57" s="2106">
        <f ca="1"/>
        <v>8.1990476190476766E-2</v>
      </c>
      <c r="I57" s="2109">
        <f ca="1">SUM(I49:I56)</f>
        <v>459.81807045854407</v>
      </c>
      <c r="J57" s="2106">
        <f ca="1"/>
        <v>8.135992747053479E-2</v>
      </c>
    </row>
    <row r="58" spans="1:10" s="239" customFormat="1">
      <c r="A58" s="61"/>
      <c r="B58" s="61"/>
    </row>
    <row r="59" spans="1:10" s="239" customFormat="1">
      <c r="A59" s="61"/>
      <c r="B59" s="61"/>
    </row>
    <row r="60" spans="1:10" s="239" customFormat="1" ht="25.5">
      <c r="A60" s="37" t="s">
        <v>631</v>
      </c>
      <c r="B60" s="61"/>
    </row>
    <row r="61" spans="1:10" s="239" customFormat="1">
      <c r="A61" s="61"/>
      <c r="B61" s="61"/>
    </row>
    <row r="63" spans="1:10" s="239" customFormat="1">
      <c r="A63" s="61"/>
      <c r="B63" s="61"/>
    </row>
    <row r="64" spans="1:10" s="239" customFormat="1">
      <c r="A64" s="61"/>
      <c r="B64" s="61"/>
    </row>
    <row r="65" spans="1:2" s="239" customFormat="1">
      <c r="A65" s="61"/>
      <c r="B65" s="61"/>
    </row>
    <row r="66" spans="1:2" s="239" customFormat="1">
      <c r="A66" s="61"/>
      <c r="B66" s="61"/>
    </row>
    <row r="67" spans="1:2" s="239" customFormat="1">
      <c r="A67" s="61"/>
      <c r="B67" s="61"/>
    </row>
    <row r="68" spans="1:2" s="239" customFormat="1">
      <c r="A68" s="61"/>
      <c r="B68" s="61"/>
    </row>
    <row r="69" spans="1:2" s="239" customFormat="1">
      <c r="A69" s="61"/>
      <c r="B69" s="61"/>
    </row>
    <row r="70" spans="1:2" s="239" customFormat="1">
      <c r="A70" s="61"/>
      <c r="B70" s="61"/>
    </row>
    <row r="71" spans="1:2" s="239" customFormat="1">
      <c r="A71" s="61"/>
      <c r="B71" s="61"/>
    </row>
    <row r="72" spans="1:2" s="239" customFormat="1">
      <c r="A72" s="61"/>
      <c r="B72" s="61"/>
    </row>
    <row r="73" spans="1:2" s="239" customFormat="1">
      <c r="A73" s="61"/>
      <c r="B73" s="61"/>
    </row>
    <row r="74" spans="1:2" s="239" customFormat="1">
      <c r="A74" s="61"/>
      <c r="B74" s="61"/>
    </row>
    <row r="75" spans="1:2" s="239" customFormat="1">
      <c r="A75" s="61"/>
      <c r="B75" s="61"/>
    </row>
    <row r="76" spans="1:2" s="239" customFormat="1">
      <c r="A76" s="61"/>
      <c r="B76" s="61"/>
    </row>
    <row r="77" spans="1:2" s="239" customFormat="1">
      <c r="A77" s="61"/>
      <c r="B77" s="61"/>
    </row>
    <row r="78" spans="1:2" s="239" customFormat="1">
      <c r="A78" s="61"/>
      <c r="B78" s="61"/>
    </row>
    <row r="79" spans="1:2">
      <c r="A79" s="61"/>
    </row>
    <row r="80" spans="1:2">
      <c r="A80" s="61"/>
    </row>
    <row r="81" spans="1:15">
      <c r="A81" s="61"/>
    </row>
    <row r="82" spans="1:15">
      <c r="A82" s="61"/>
    </row>
    <row r="83" spans="1:15">
      <c r="A83" s="61"/>
    </row>
    <row r="84" spans="1:15">
      <c r="A84" s="61"/>
    </row>
    <row r="85" spans="1:15">
      <c r="A85" s="61"/>
    </row>
    <row r="86" spans="1:15">
      <c r="A86" s="61"/>
    </row>
    <row r="87" spans="1:15" ht="25.5">
      <c r="A87" s="953"/>
      <c r="B87" s="62"/>
      <c r="E87" s="949"/>
      <c r="F87" s="949"/>
    </row>
    <row r="88" spans="1:15" ht="25.5">
      <c r="A88" s="953"/>
    </row>
    <row r="89" spans="1:15" ht="18.75" customHeight="1">
      <c r="O89" s="239"/>
    </row>
    <row r="100" spans="2:2">
      <c r="B100" s="62"/>
    </row>
    <row r="101" spans="2:2">
      <c r="B101" s="62"/>
    </row>
  </sheetData>
  <sheetProtection sheet="1" objects="1" scenarios="1"/>
  <phoneticPr fontId="4" type="noConversion"/>
  <printOptions horizontalCentered="1"/>
  <pageMargins left="0.6692913385826772" right="0.55118110236220474" top="0.78" bottom="0.70866141732283472" header="0.51181102362204722" footer="0.39370078740157483"/>
  <pageSetup paperSize="9" scale="67" orientation="portrait" horizontalDpi="300" verticalDpi="300" r:id="rId1"/>
  <headerFooter alignWithMargins="0">
    <oddFooter>&amp;C&amp;"Tahoma,Normal"&amp;10&amp;A</oddFooter>
  </headerFooter>
  <rowBreaks count="1" manualBreakCount="1">
    <brk id="78"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16">
    <tabColor indexed="42"/>
    <pageSetUpPr fitToPage="1"/>
  </sheetPr>
  <dimension ref="A1:N34"/>
  <sheetViews>
    <sheetView workbookViewId="0"/>
  </sheetViews>
  <sheetFormatPr baseColWidth="10" defaultColWidth="11" defaultRowHeight="12.75"/>
  <cols>
    <col min="1" max="1" width="30" style="62" customWidth="1"/>
    <col min="2" max="13" width="10.875" style="62" customWidth="1"/>
    <col min="14" max="14" width="12.25" style="239" customWidth="1"/>
    <col min="15" max="16384" width="11" style="62"/>
  </cols>
  <sheetData>
    <row r="1" spans="1:14" ht="22.5">
      <c r="A1" s="333" t="s">
        <v>754</v>
      </c>
      <c r="E1" s="239"/>
      <c r="F1" s="239"/>
      <c r="I1" s="241" t="str">
        <f>Parametros!B$77</f>
        <v>Ano 0:  2026</v>
      </c>
      <c r="L1" s="418"/>
    </row>
    <row r="2" spans="1:14" s="419" customFormat="1" ht="22.5">
      <c r="A2" s="68" t="str">
        <f>'Dados Básicos'!B9</f>
        <v>WWW, S.L.</v>
      </c>
      <c r="C2" s="420"/>
      <c r="D2" s="285"/>
      <c r="N2" s="421"/>
    </row>
    <row r="3" spans="1:14" s="419" customFormat="1" ht="26.25" thickBot="1">
      <c r="A3" s="60"/>
      <c r="B3" s="2349">
        <v>1</v>
      </c>
      <c r="C3" s="2349">
        <v>2</v>
      </c>
      <c r="D3" s="2349">
        <v>3</v>
      </c>
      <c r="E3" s="2349">
        <v>4</v>
      </c>
      <c r="F3" s="2349">
        <v>5</v>
      </c>
      <c r="G3" s="2349">
        <v>6</v>
      </c>
      <c r="H3" s="2349">
        <v>7</v>
      </c>
      <c r="I3" s="2349">
        <v>8</v>
      </c>
      <c r="J3" s="2349">
        <v>9</v>
      </c>
      <c r="K3" s="2349">
        <v>10</v>
      </c>
      <c r="L3" s="2349">
        <v>11</v>
      </c>
      <c r="M3" s="2349">
        <v>12</v>
      </c>
      <c r="N3" s="421"/>
    </row>
    <row r="4" spans="1:14" s="422" customFormat="1" ht="21.75" customHeight="1" thickBot="1">
      <c r="A4" s="425" t="str">
        <f t="array" ref="A4:A7">'PPeGG anuais'!A4:A7</f>
        <v>Conceitos</v>
      </c>
      <c r="B4" s="426" t="str">
        <f t="array" ref="B4:M4">meses</f>
        <v>janeiro</v>
      </c>
      <c r="C4" s="426" t="str">
        <v>fevereiro</v>
      </c>
      <c r="D4" s="426" t="str">
        <v>março</v>
      </c>
      <c r="E4" s="426" t="str">
        <v>abril</v>
      </c>
      <c r="F4" s="426" t="str">
        <v>maio</v>
      </c>
      <c r="G4" s="426" t="str">
        <v>junho</v>
      </c>
      <c r="H4" s="426" t="str">
        <v>julho</v>
      </c>
      <c r="I4" s="426" t="str">
        <v>agosto</v>
      </c>
      <c r="J4" s="426" t="str">
        <v>setembro</v>
      </c>
      <c r="K4" s="426" t="str">
        <v>outubro</v>
      </c>
      <c r="L4" s="426" t="str">
        <v>novembro</v>
      </c>
      <c r="M4" s="426" t="str">
        <v>dezembro</v>
      </c>
      <c r="N4" s="426" t="s">
        <v>3</v>
      </c>
    </row>
    <row r="5" spans="1:14" s="421" customFormat="1" ht="16.149999999999999" customHeight="1">
      <c r="A5" s="427" t="str">
        <v>Ingresos de vendas</v>
      </c>
      <c r="B5" s="616">
        <f t="array" aca="1" ref="B5:M5" ca="1">'Prev.Vendas 0'!B25:M25</f>
        <v>200</v>
      </c>
      <c r="C5" s="616">
        <f ca="1"/>
        <v>272.72727272727275</v>
      </c>
      <c r="D5" s="616">
        <f ca="1"/>
        <v>345.4545454545455</v>
      </c>
      <c r="E5" s="616">
        <f ca="1"/>
        <v>418.18181818181819</v>
      </c>
      <c r="F5" s="616">
        <f ca="1"/>
        <v>490.90909090909093</v>
      </c>
      <c r="G5" s="616">
        <f ca="1"/>
        <v>563.63636363636363</v>
      </c>
      <c r="H5" s="616">
        <f ca="1"/>
        <v>636.36363636363637</v>
      </c>
      <c r="I5" s="616">
        <f ca="1"/>
        <v>709.09090909090901</v>
      </c>
      <c r="J5" s="616">
        <f ca="1"/>
        <v>781.81818181818187</v>
      </c>
      <c r="K5" s="616">
        <f ca="1"/>
        <v>854.5454545454545</v>
      </c>
      <c r="L5" s="616">
        <f ca="1"/>
        <v>927.27272727272725</v>
      </c>
      <c r="M5" s="616">
        <f ca="1"/>
        <v>1000</v>
      </c>
      <c r="N5" s="617">
        <f ca="1">SUM(B5:M5)</f>
        <v>7199.9999999999991</v>
      </c>
    </row>
    <row r="6" spans="1:14" s="421" customFormat="1" ht="16.149999999999999" customHeight="1">
      <c r="A6" s="1621" t="str">
        <v>Imputação de subvenções</v>
      </c>
      <c r="B6" s="620">
        <f>IF(OR(B$3&lt;mes0,B$3&gt;mes0+Parametros!$B$38*12-1),0,Finançamento!$C$19/Parametros!$B$38/12)
+IF(B$3&lt;mes0,0,Finançamento!$D$19/Parametros!$C$38/12)</f>
        <v>0</v>
      </c>
      <c r="C6" s="620">
        <f>IF(OR(C$3&lt;mes0,C$3&gt;mes0+Parametros!$B$38*12-1),0,Finançamento!$C$19/Parametros!$B$38/12)
+IF(C$3&lt;mes0,0,Finançamento!$D$19/Parametros!$C$38/12)</f>
        <v>0</v>
      </c>
      <c r="D6" s="620">
        <f>IF(OR(D$3&lt;mes0,D$3&gt;mes0+Parametros!$B$38*12-1),0,Finançamento!$C$19/Parametros!$B$38/12)
+IF(D$3&lt;mes0,0,Finançamento!$D$19/Parametros!$C$38/12)</f>
        <v>0</v>
      </c>
      <c r="E6" s="620">
        <f>IF(OR(E$3&lt;mes0,E$3&gt;mes0+Parametros!$B$38*12-1),0,Finançamento!$C$19/Parametros!$B$38/12)
+IF(E$3&lt;mes0,0,Finançamento!$D$19/Parametros!$C$38/12)</f>
        <v>0</v>
      </c>
      <c r="F6" s="620">
        <f>IF(OR(F$3&lt;mes0,F$3&gt;mes0+Parametros!$B$38*12-1),0,Finançamento!$C$19/Parametros!$B$38/12)
+IF(F$3&lt;mes0,0,Finançamento!$D$19/Parametros!$C$38/12)</f>
        <v>0</v>
      </c>
      <c r="G6" s="620">
        <f>IF(OR(G$3&lt;mes0,G$3&gt;mes0+Parametros!$B$38*12-1),0,Finançamento!$C$19/Parametros!$B$38/12)
+IF(G$3&lt;mes0,0,Finançamento!$D$19/Parametros!$C$38/12)</f>
        <v>0</v>
      </c>
      <c r="H6" s="620">
        <f>IF(OR(H$3&lt;mes0,H$3&gt;mes0+Parametros!$B$38*12-1),0,Finançamento!$C$19/Parametros!$B$38/12)
+IF(H$3&lt;mes0,0,Finançamento!$D$19/Parametros!$C$38/12)</f>
        <v>0</v>
      </c>
      <c r="I6" s="620">
        <f>IF(OR(I$3&lt;mes0,I$3&gt;mes0+Parametros!$B$38*12-1),0,Finançamento!$C$19/Parametros!$B$38/12)
+IF(I$3&lt;mes0,0,Finançamento!$D$19/Parametros!$C$38/12)</f>
        <v>0</v>
      </c>
      <c r="J6" s="620">
        <f>IF(OR(J$3&lt;mes0,J$3&gt;mes0+Parametros!$B$38*12-1),0,Finançamento!$C$19/Parametros!$B$38/12)
+IF(J$3&lt;mes0,0,Finançamento!$D$19/Parametros!$C$38/12)</f>
        <v>0</v>
      </c>
      <c r="K6" s="620">
        <f>IF(OR(K$3&lt;mes0,K$3&gt;mes0+Parametros!$B$38*12-1),0,Finançamento!$C$19/Parametros!$B$38/12)
+IF(K$3&lt;mes0,0,Finançamento!$D$19/Parametros!$C$38/12)</f>
        <v>0</v>
      </c>
      <c r="L6" s="620">
        <f>IF(OR(L$3&lt;mes0,L$3&gt;mes0+Parametros!$B$38*12-1),0,Finançamento!$C$19/Parametros!$B$38/12)
+IF(L$3&lt;mes0,0,Finançamento!$D$19/Parametros!$C$38/12)</f>
        <v>0</v>
      </c>
      <c r="M6" s="620">
        <f>IF(OR(M$3&lt;mes0,M$3&gt;mes0+Parametros!$B$38*12-1),0,Finançamento!$C$19/Parametros!$B$38/12)
+IF(M$3&lt;mes0,0,Finançamento!$D$19/Parametros!$C$38/12)</f>
        <v>0</v>
      </c>
      <c r="N6" s="619">
        <f>SUM(B6:M6)</f>
        <v>0</v>
      </c>
    </row>
    <row r="7" spans="1:14" s="421" customFormat="1" ht="16.149999999999999" customHeight="1">
      <c r="A7" s="1622" t="str">
        <v>Total Ingresos de Explotação</v>
      </c>
      <c r="B7" s="1623">
        <f t="array" aca="1" ref="B7:M7" ca="1">B5:M5+B6:M6</f>
        <v>200</v>
      </c>
      <c r="C7" s="1623">
        <f ca="1"/>
        <v>272.72727272727275</v>
      </c>
      <c r="D7" s="1623">
        <f ca="1"/>
        <v>345.4545454545455</v>
      </c>
      <c r="E7" s="1623">
        <f ca="1"/>
        <v>418.18181818181819</v>
      </c>
      <c r="F7" s="1623">
        <f ca="1"/>
        <v>490.90909090909093</v>
      </c>
      <c r="G7" s="1623">
        <f ca="1"/>
        <v>563.63636363636363</v>
      </c>
      <c r="H7" s="1623">
        <f ca="1"/>
        <v>636.36363636363637</v>
      </c>
      <c r="I7" s="1623">
        <f ca="1"/>
        <v>709.09090909090901</v>
      </c>
      <c r="J7" s="1623">
        <f ca="1"/>
        <v>781.81818181818187</v>
      </c>
      <c r="K7" s="1623">
        <f ca="1"/>
        <v>854.5454545454545</v>
      </c>
      <c r="L7" s="1623">
        <f ca="1"/>
        <v>927.27272727272725</v>
      </c>
      <c r="M7" s="1623">
        <f ca="1"/>
        <v>1000</v>
      </c>
      <c r="N7" s="619">
        <f ca="1">SUM(B7:M7)</f>
        <v>7199.9999999999991</v>
      </c>
    </row>
    <row r="8" spans="1:14" s="421" customFormat="1" ht="16.149999999999999" customHeight="1">
      <c r="A8" s="1621"/>
      <c r="B8" s="620"/>
      <c r="C8" s="620"/>
      <c r="D8" s="620"/>
      <c r="E8" s="620"/>
      <c r="F8" s="620"/>
      <c r="G8" s="620"/>
      <c r="H8" s="620"/>
      <c r="I8" s="620"/>
      <c r="J8" s="620"/>
      <c r="K8" s="620"/>
      <c r="L8" s="620"/>
      <c r="M8" s="620"/>
      <c r="N8" s="619"/>
    </row>
    <row r="9" spans="1:14" s="419" customFormat="1" ht="16.149999999999999" customHeight="1">
      <c r="A9" s="428" t="str">
        <f t="array" ref="A9:A11">'PPeGG anuais'!A9:A11</f>
        <v>Custos variáveis / Direitos</v>
      </c>
      <c r="B9" s="616">
        <f t="array" aca="1" ref="B9:M9" ca="1">'Distr CV 0'!B28:M28</f>
        <v>28.000000000000004</v>
      </c>
      <c r="C9" s="616">
        <f ca="1"/>
        <v>38.181818181818187</v>
      </c>
      <c r="D9" s="616">
        <f ca="1"/>
        <v>48.363636363636374</v>
      </c>
      <c r="E9" s="616">
        <f ca="1"/>
        <v>58.545454545454554</v>
      </c>
      <c r="F9" s="616">
        <f ca="1"/>
        <v>68.727272727272734</v>
      </c>
      <c r="G9" s="616">
        <f ca="1"/>
        <v>78.909090909090921</v>
      </c>
      <c r="H9" s="616">
        <f ca="1"/>
        <v>89.090909090909108</v>
      </c>
      <c r="I9" s="616">
        <f ca="1"/>
        <v>99.272727272727266</v>
      </c>
      <c r="J9" s="616">
        <f ca="1"/>
        <v>109.45454545454547</v>
      </c>
      <c r="K9" s="616">
        <f ca="1"/>
        <v>119.63636363636364</v>
      </c>
      <c r="L9" s="616">
        <f ca="1"/>
        <v>129.81818181818184</v>
      </c>
      <c r="M9" s="616">
        <f ca="1"/>
        <v>140</v>
      </c>
      <c r="N9" s="617">
        <f ca="1">SUM(B9:M9)</f>
        <v>1008.0000000000001</v>
      </c>
    </row>
    <row r="10" spans="1:14" s="419" customFormat="1" ht="16.149999999999999" customHeight="1">
      <c r="A10" s="428" t="str">
        <v>Pagamento em dúvida / Receitas falhidas</v>
      </c>
      <c r="B10" s="620">
        <v>0</v>
      </c>
      <c r="C10" s="620">
        <v>0</v>
      </c>
      <c r="D10" s="620">
        <v>0</v>
      </c>
      <c r="E10" s="620">
        <v>0</v>
      </c>
      <c r="F10" s="620">
        <v>0</v>
      </c>
      <c r="G10" s="620">
        <v>0</v>
      </c>
      <c r="H10" s="620">
        <v>0</v>
      </c>
      <c r="I10" s="620">
        <v>0</v>
      </c>
      <c r="J10" s="620">
        <v>0</v>
      </c>
      <c r="K10" s="620">
        <v>0</v>
      </c>
      <c r="L10" s="620">
        <v>0</v>
      </c>
      <c r="M10" s="620">
        <f ca="1">+'IVA 0'!O15</f>
        <v>0</v>
      </c>
      <c r="N10" s="619">
        <f ca="1">SUM(B10:M10)</f>
        <v>0</v>
      </c>
    </row>
    <row r="11" spans="1:14" s="419" customFormat="1" ht="16.149999999999999" customHeight="1">
      <c r="A11" s="1627" t="str">
        <v>Custos Direitos e Comerciais</v>
      </c>
      <c r="B11" s="1623">
        <f t="array" aca="1" ref="B11:M11" ca="1">B9:M9+B10:M10</f>
        <v>28.000000000000004</v>
      </c>
      <c r="C11" s="1623">
        <f ca="1"/>
        <v>38.181818181818187</v>
      </c>
      <c r="D11" s="1623">
        <f ca="1"/>
        <v>48.363636363636374</v>
      </c>
      <c r="E11" s="1623">
        <f ca="1"/>
        <v>58.545454545454554</v>
      </c>
      <c r="F11" s="1623">
        <f ca="1"/>
        <v>68.727272727272734</v>
      </c>
      <c r="G11" s="1623">
        <f ca="1"/>
        <v>78.909090909090921</v>
      </c>
      <c r="H11" s="1623">
        <f ca="1"/>
        <v>89.090909090909108</v>
      </c>
      <c r="I11" s="1623">
        <f ca="1"/>
        <v>99.272727272727266</v>
      </c>
      <c r="J11" s="1623">
        <f ca="1"/>
        <v>109.45454545454547</v>
      </c>
      <c r="K11" s="1623">
        <f ca="1"/>
        <v>119.63636363636364</v>
      </c>
      <c r="L11" s="1623">
        <f ca="1"/>
        <v>129.81818181818184</v>
      </c>
      <c r="M11" s="1623">
        <f ca="1"/>
        <v>140</v>
      </c>
      <c r="N11" s="619">
        <f ca="1">SUM(B11:M11)</f>
        <v>1008.0000000000001</v>
      </c>
    </row>
    <row r="12" spans="1:14" s="419" customFormat="1" ht="16.149999999999999" customHeight="1">
      <c r="A12" s="948"/>
      <c r="B12" s="620"/>
      <c r="C12" s="620"/>
      <c r="D12" s="620"/>
      <c r="E12" s="620"/>
      <c r="F12" s="620"/>
      <c r="G12" s="620"/>
      <c r="H12" s="620"/>
      <c r="I12" s="620"/>
      <c r="J12" s="620"/>
      <c r="K12" s="620"/>
      <c r="L12" s="620"/>
      <c r="M12" s="620"/>
      <c r="N12" s="619"/>
    </row>
    <row r="13" spans="1:14" s="421" customFormat="1" ht="16.149999999999999" customHeight="1">
      <c r="A13" s="429" t="str">
        <f>'PPeGG anuais'!A13</f>
        <v>Margem Bruto s/Vendas</v>
      </c>
      <c r="B13" s="615">
        <f t="array" aca="1" ref="B13:M13" ca="1">B7:M7-B11:M11</f>
        <v>172</v>
      </c>
      <c r="C13" s="615">
        <f ca="1"/>
        <v>234.54545454545456</v>
      </c>
      <c r="D13" s="615">
        <f ca="1"/>
        <v>297.09090909090912</v>
      </c>
      <c r="E13" s="615">
        <f ca="1"/>
        <v>359.63636363636363</v>
      </c>
      <c r="F13" s="615">
        <f ca="1"/>
        <v>422.18181818181819</v>
      </c>
      <c r="G13" s="615">
        <f ca="1"/>
        <v>484.72727272727269</v>
      </c>
      <c r="H13" s="615">
        <f ca="1"/>
        <v>547.27272727272725</v>
      </c>
      <c r="I13" s="615">
        <f ca="1"/>
        <v>609.81818181818176</v>
      </c>
      <c r="J13" s="615">
        <f ca="1"/>
        <v>672.36363636363637</v>
      </c>
      <c r="K13" s="615">
        <f ca="1"/>
        <v>734.90909090909088</v>
      </c>
      <c r="L13" s="615">
        <f ca="1"/>
        <v>797.45454545454538</v>
      </c>
      <c r="M13" s="615">
        <f ca="1"/>
        <v>860</v>
      </c>
      <c r="N13" s="617">
        <f t="shared" ref="N13:N29" ca="1" si="0">SUM(B13:M13)</f>
        <v>6192</v>
      </c>
    </row>
    <row r="14" spans="1:14" s="421" customFormat="1" ht="16.149999999999999" customHeight="1">
      <c r="A14" s="429"/>
      <c r="B14" s="423"/>
      <c r="C14" s="423"/>
      <c r="D14" s="423"/>
      <c r="E14" s="423"/>
      <c r="F14" s="423"/>
      <c r="G14" s="423"/>
      <c r="H14" s="423"/>
      <c r="I14" s="423"/>
      <c r="J14" s="423"/>
      <c r="K14" s="423"/>
      <c r="L14" s="423"/>
      <c r="M14" s="423"/>
      <c r="N14" s="1631"/>
    </row>
    <row r="15" spans="1:14" s="419" customFormat="1" ht="16.149999999999999" customHeight="1">
      <c r="A15" s="948" t="str">
        <f t="array" ref="A15:A18">'PPeGG anuais'!A15:A18</f>
        <v>Despesas de Pessoal</v>
      </c>
      <c r="B15" s="616">
        <f t="array" ref="B15:M15">'G.F. 0'!B27:M27-'G.F. 0'!B20:M20</f>
        <v>1200</v>
      </c>
      <c r="C15" s="616">
        <v>1200</v>
      </c>
      <c r="D15" s="616">
        <v>1200</v>
      </c>
      <c r="E15" s="616">
        <f ca="1"/>
        <v>1200</v>
      </c>
      <c r="F15" s="616">
        <f ca="1"/>
        <v>1200</v>
      </c>
      <c r="G15" s="616">
        <f ca="1"/>
        <v>1200</v>
      </c>
      <c r="H15" s="616">
        <f ca="1"/>
        <v>1200</v>
      </c>
      <c r="I15" s="616">
        <f ca="1"/>
        <v>1200</v>
      </c>
      <c r="J15" s="616">
        <f ca="1"/>
        <v>1200</v>
      </c>
      <c r="K15" s="616">
        <f ca="1"/>
        <v>1200</v>
      </c>
      <c r="L15" s="616">
        <f ca="1"/>
        <v>1200</v>
      </c>
      <c r="M15" s="616">
        <f ca="1"/>
        <v>1200</v>
      </c>
      <c r="N15" s="617">
        <f t="shared" ca="1" si="0"/>
        <v>14400</v>
      </c>
    </row>
    <row r="16" spans="1:14" s="419" customFormat="1" ht="16.149999999999999" customHeight="1">
      <c r="A16" s="948" t="str">
        <v>Despesas de Seguridade Social</v>
      </c>
      <c r="B16" s="616">
        <f t="array" ref="B16:M16">'G.F. 0'!B20:M20</f>
        <v>20</v>
      </c>
      <c r="C16" s="616">
        <v>20</v>
      </c>
      <c r="D16" s="616">
        <v>20</v>
      </c>
      <c r="E16" s="616">
        <f ca="1"/>
        <v>194.31818181818181</v>
      </c>
      <c r="F16" s="616">
        <f ca="1"/>
        <v>194.31818181818181</v>
      </c>
      <c r="G16" s="616">
        <f ca="1"/>
        <v>194.31818181818181</v>
      </c>
      <c r="H16" s="616">
        <f ca="1"/>
        <v>116.59090909090908</v>
      </c>
      <c r="I16" s="616">
        <f ca="1"/>
        <v>116.59090909090908</v>
      </c>
      <c r="J16" s="616">
        <f ca="1"/>
        <v>116.59090909090908</v>
      </c>
      <c r="K16" s="616">
        <f ca="1"/>
        <v>168.40909090909091</v>
      </c>
      <c r="L16" s="616">
        <f ca="1"/>
        <v>168.40909090909091</v>
      </c>
      <c r="M16" s="616">
        <f ca="1"/>
        <v>168.40909090909091</v>
      </c>
      <c r="N16" s="617">
        <f t="shared" ca="1" si="0"/>
        <v>1497.9545454545457</v>
      </c>
    </row>
    <row r="17" spans="1:14" s="419" customFormat="1" ht="16.149999999999999" customHeight="1">
      <c r="A17" s="948" t="str">
        <v>Outros Gastos Fixos</v>
      </c>
      <c r="B17" s="616">
        <f t="array" aca="1" ref="B17:M17" ca="1">'G.F. 0'!B55:M55+'IVA 0'!C13:N13</f>
        <v>26.399999999999995</v>
      </c>
      <c r="C17" s="616">
        <f ca="1"/>
        <v>26.399999999999995</v>
      </c>
      <c r="D17" s="616">
        <f ca="1"/>
        <v>26.399999999999995</v>
      </c>
      <c r="E17" s="616">
        <f ca="1"/>
        <v>26.399999999999995</v>
      </c>
      <c r="F17" s="616">
        <f ca="1"/>
        <v>26.399999999999995</v>
      </c>
      <c r="G17" s="616">
        <f ca="1"/>
        <v>26.399999999999995</v>
      </c>
      <c r="H17" s="616">
        <f ca="1"/>
        <v>26.399999999999995</v>
      </c>
      <c r="I17" s="616">
        <f ca="1"/>
        <v>26.399999999999995</v>
      </c>
      <c r="J17" s="616">
        <f ca="1"/>
        <v>26.399999999999995</v>
      </c>
      <c r="K17" s="616">
        <f ca="1"/>
        <v>26.399999999999995</v>
      </c>
      <c r="L17" s="616">
        <f ca="1"/>
        <v>26.399999999999995</v>
      </c>
      <c r="M17" s="616">
        <f ca="1"/>
        <v>26.399999999999995</v>
      </c>
      <c r="N17" s="617">
        <f t="shared" ca="1" si="0"/>
        <v>316.79999999999995</v>
      </c>
    </row>
    <row r="18" spans="1:14" s="421" customFormat="1" ht="16.149999999999999" customHeight="1">
      <c r="A18" s="429" t="str">
        <v>Gastos Explotação</v>
      </c>
      <c r="B18" s="615">
        <f t="shared" ref="B18:M18" ca="1" si="1">SUM(B15:B17)</f>
        <v>1246.4000000000001</v>
      </c>
      <c r="C18" s="615">
        <f t="shared" ca="1" si="1"/>
        <v>1246.4000000000001</v>
      </c>
      <c r="D18" s="615">
        <f t="shared" ca="1" si="1"/>
        <v>1246.4000000000001</v>
      </c>
      <c r="E18" s="615">
        <f t="shared" ca="1" si="1"/>
        <v>1420.7181818181818</v>
      </c>
      <c r="F18" s="615">
        <f t="shared" ca="1" si="1"/>
        <v>1420.7181818181818</v>
      </c>
      <c r="G18" s="615">
        <f t="shared" ca="1" si="1"/>
        <v>1420.7181818181818</v>
      </c>
      <c r="H18" s="615">
        <f t="shared" ca="1" si="1"/>
        <v>1342.9909090909091</v>
      </c>
      <c r="I18" s="615">
        <f t="shared" ca="1" si="1"/>
        <v>1342.9909090909091</v>
      </c>
      <c r="J18" s="615">
        <f t="shared" ca="1" si="1"/>
        <v>1342.9909090909091</v>
      </c>
      <c r="K18" s="615">
        <f t="shared" ca="1" si="1"/>
        <v>1394.8090909090911</v>
      </c>
      <c r="L18" s="615">
        <f t="shared" ca="1" si="1"/>
        <v>1394.8090909090911</v>
      </c>
      <c r="M18" s="615">
        <f t="shared" ca="1" si="1"/>
        <v>1394.8090909090911</v>
      </c>
      <c r="N18" s="617">
        <f t="shared" ca="1" si="0"/>
        <v>16214.754545454549</v>
      </c>
    </row>
    <row r="19" spans="1:14" s="421" customFormat="1" ht="16.149999999999999" customHeight="1">
      <c r="A19" s="429"/>
      <c r="B19" s="423"/>
      <c r="C19" s="423"/>
      <c r="D19" s="423"/>
      <c r="E19" s="423"/>
      <c r="F19" s="423"/>
      <c r="G19" s="423"/>
      <c r="H19" s="423"/>
      <c r="I19" s="423"/>
      <c r="J19" s="423"/>
      <c r="K19" s="423"/>
      <c r="L19" s="423"/>
      <c r="M19" s="423"/>
      <c r="N19" s="1631"/>
    </row>
    <row r="20" spans="1:14" s="421" customFormat="1" ht="16.149999999999999" customHeight="1">
      <c r="A20" s="429" t="str">
        <f>'PPeGG anuais'!A20</f>
        <v>E.B.I.T.D.A.</v>
      </c>
      <c r="B20" s="615">
        <f t="array" ref="B20:M20" ca="1">B13:M13-B18:M18</f>
        <v>-1074.4000000000001</v>
      </c>
      <c r="C20" s="615">
        <f ca="1"/>
        <v>-1011.8545454545456</v>
      </c>
      <c r="D20" s="615">
        <f ca="1"/>
        <v>-949.30909090909097</v>
      </c>
      <c r="E20" s="615">
        <f ca="1"/>
        <v>-1061.0818181818181</v>
      </c>
      <c r="F20" s="615">
        <f ca="1"/>
        <v>-998.5363636363636</v>
      </c>
      <c r="G20" s="615">
        <f ca="1"/>
        <v>-935.9909090909091</v>
      </c>
      <c r="H20" s="615">
        <f ca="1"/>
        <v>-795.71818181818185</v>
      </c>
      <c r="I20" s="615">
        <f ca="1"/>
        <v>-733.17272727272734</v>
      </c>
      <c r="J20" s="615">
        <f ca="1"/>
        <v>-670.62727272727273</v>
      </c>
      <c r="K20" s="615">
        <f ca="1"/>
        <v>-659.9000000000002</v>
      </c>
      <c r="L20" s="615">
        <f ca="1"/>
        <v>-597.3545454545457</v>
      </c>
      <c r="M20" s="615">
        <f ca="1"/>
        <v>-534.80909090909108</v>
      </c>
      <c r="N20" s="617">
        <f ca="1">SUM(B20:M20)</f>
        <v>-10022.754545454547</v>
      </c>
    </row>
    <row r="21" spans="1:14" s="421" customFormat="1" ht="16.149999999999999" customHeight="1">
      <c r="A21" s="429"/>
      <c r="B21" s="423"/>
      <c r="C21" s="423"/>
      <c r="D21" s="423"/>
      <c r="E21" s="423"/>
      <c r="F21" s="423"/>
      <c r="G21" s="423"/>
      <c r="H21" s="423"/>
      <c r="I21" s="423"/>
      <c r="J21" s="423"/>
      <c r="K21" s="423"/>
      <c r="L21" s="423"/>
      <c r="M21" s="423"/>
      <c r="N21" s="1631"/>
    </row>
    <row r="22" spans="1:14" s="419" customFormat="1" ht="16.149999999999999" customHeight="1">
      <c r="A22" s="948" t="str">
        <f t="array" ref="A22:A23">'PPeGG anuais'!A22:A23</f>
        <v>Dotação Amortiçações</v>
      </c>
      <c r="B22" s="616">
        <f t="array" ref="B22:M22">IF(COLUMN(B$4:M$4)&lt;=mes0,0,Amortiçações!$D$41/(12+1-mes0))</f>
        <v>0</v>
      </c>
      <c r="C22" s="616">
        <v>0</v>
      </c>
      <c r="D22" s="616">
        <v>0</v>
      </c>
      <c r="E22" s="616">
        <v>0</v>
      </c>
      <c r="F22" s="616">
        <v>0</v>
      </c>
      <c r="G22" s="616">
        <v>0</v>
      </c>
      <c r="H22" s="616">
        <v>0</v>
      </c>
      <c r="I22" s="616">
        <v>0</v>
      </c>
      <c r="J22" s="616">
        <v>0</v>
      </c>
      <c r="K22" s="616">
        <v>0</v>
      </c>
      <c r="L22" s="616">
        <v>0</v>
      </c>
      <c r="M22" s="616">
        <v>0</v>
      </c>
      <c r="N22" s="617">
        <f>SUM(B22:M22)</f>
        <v>0</v>
      </c>
    </row>
    <row r="23" spans="1:14" s="421" customFormat="1" ht="16.149999999999999" customHeight="1">
      <c r="A23" s="429" t="str">
        <v>Res. antes Int. e Imp. (BAII / EBIT)</v>
      </c>
      <c r="B23" s="617">
        <f t="array" ref="B23:M23" ca="1">B20:M20-B22:M22</f>
        <v>-1074.4000000000001</v>
      </c>
      <c r="C23" s="617">
        <f ca="1"/>
        <v>-1011.8545454545456</v>
      </c>
      <c r="D23" s="617">
        <f ca="1"/>
        <v>-949.30909090909097</v>
      </c>
      <c r="E23" s="617">
        <f ca="1"/>
        <v>-1061.0818181818181</v>
      </c>
      <c r="F23" s="617">
        <f ca="1"/>
        <v>-998.5363636363636</v>
      </c>
      <c r="G23" s="617">
        <f ca="1"/>
        <v>-935.9909090909091</v>
      </c>
      <c r="H23" s="617">
        <f ca="1"/>
        <v>-795.71818181818185</v>
      </c>
      <c r="I23" s="617">
        <f ca="1"/>
        <v>-733.17272727272734</v>
      </c>
      <c r="J23" s="617">
        <f ca="1"/>
        <v>-670.62727272727273</v>
      </c>
      <c r="K23" s="617">
        <f ca="1"/>
        <v>-659.9000000000002</v>
      </c>
      <c r="L23" s="617">
        <f ca="1"/>
        <v>-597.3545454545457</v>
      </c>
      <c r="M23" s="617">
        <f ca="1"/>
        <v>-534.80909090909108</v>
      </c>
      <c r="N23" s="617">
        <f t="shared" ca="1" si="0"/>
        <v>-10022.754545454547</v>
      </c>
    </row>
    <row r="24" spans="1:14" s="421" customFormat="1" ht="16.149999999999999" customHeight="1">
      <c r="A24" s="429"/>
      <c r="B24" s="423"/>
      <c r="C24" s="423"/>
      <c r="D24" s="423"/>
      <c r="E24" s="423"/>
      <c r="F24" s="423"/>
      <c r="G24" s="423"/>
      <c r="H24" s="423"/>
      <c r="I24" s="423"/>
      <c r="J24" s="423"/>
      <c r="K24" s="423"/>
      <c r="L24" s="423"/>
      <c r="M24" s="423"/>
      <c r="N24" s="1631"/>
    </row>
    <row r="25" spans="1:14" s="419" customFormat="1" ht="16.149999999999999" customHeight="1">
      <c r="A25" s="948" t="str">
        <f t="array" ref="A25:A27">'PPeGG anuais'!A25:A27</f>
        <v>Ingresos Financeiros</v>
      </c>
      <c r="B25" s="618">
        <f t="array" ref="B25:M25" ca="1">'Despesas Financeiras'!C87:N87</f>
        <v>0</v>
      </c>
      <c r="C25" s="618">
        <f ca="1"/>
        <v>0</v>
      </c>
      <c r="D25" s="618">
        <f ca="1"/>
        <v>0</v>
      </c>
      <c r="E25" s="618">
        <f ca="1"/>
        <v>0</v>
      </c>
      <c r="F25" s="618">
        <f ca="1"/>
        <v>0</v>
      </c>
      <c r="G25" s="618">
        <f ca="1"/>
        <v>0</v>
      </c>
      <c r="H25" s="618">
        <f ca="1"/>
        <v>0</v>
      </c>
      <c r="I25" s="618">
        <f ca="1"/>
        <v>0</v>
      </c>
      <c r="J25" s="618">
        <f ca="1"/>
        <v>0</v>
      </c>
      <c r="K25" s="618">
        <f ca="1"/>
        <v>0</v>
      </c>
      <c r="L25" s="618">
        <f ca="1"/>
        <v>0</v>
      </c>
      <c r="M25" s="618">
        <f ca="1"/>
        <v>0</v>
      </c>
      <c r="N25" s="619">
        <f t="shared" ca="1" si="0"/>
        <v>0</v>
      </c>
    </row>
    <row r="26" spans="1:14" s="419" customFormat="1" ht="16.149999999999999" customHeight="1">
      <c r="A26" s="948" t="str">
        <v>Gastos Financeiros</v>
      </c>
      <c r="B26" s="618">
        <f t="array" ref="B26:M26" ca="1">'Despesas Financeiras'!C19:N19</f>
        <v>2.42</v>
      </c>
      <c r="C26" s="618">
        <f ca="1"/>
        <v>3.3000000000000003</v>
      </c>
      <c r="D26" s="618">
        <f ca="1"/>
        <v>4.1800000000000006</v>
      </c>
      <c r="E26" s="618">
        <f ca="1"/>
        <v>5.0600000000000005</v>
      </c>
      <c r="F26" s="618">
        <f ca="1"/>
        <v>5.94</v>
      </c>
      <c r="G26" s="618">
        <f ca="1"/>
        <v>6.82</v>
      </c>
      <c r="H26" s="618">
        <f ca="1"/>
        <v>7.7</v>
      </c>
      <c r="I26" s="618">
        <f ca="1"/>
        <v>8.5799999999999983</v>
      </c>
      <c r="J26" s="618">
        <f ca="1"/>
        <v>9.4600000000000009</v>
      </c>
      <c r="K26" s="618">
        <f ca="1"/>
        <v>10.34</v>
      </c>
      <c r="L26" s="618">
        <f ca="1"/>
        <v>11.22</v>
      </c>
      <c r="M26" s="618">
        <f ca="1"/>
        <v>12.1</v>
      </c>
      <c r="N26" s="619">
        <f t="shared" ca="1" si="0"/>
        <v>87.11999999999999</v>
      </c>
    </row>
    <row r="27" spans="1:14" s="421" customFormat="1" ht="16.149999999999999" customHeight="1">
      <c r="A27" s="429" t="str">
        <v>Resultado Financiero</v>
      </c>
      <c r="B27" s="619">
        <f t="array" ref="B27:M27" ca="1">B25:M25-B26:M26</f>
        <v>-2.42</v>
      </c>
      <c r="C27" s="619">
        <f ca="1"/>
        <v>-3.3000000000000003</v>
      </c>
      <c r="D27" s="619">
        <f ca="1"/>
        <v>-4.1800000000000006</v>
      </c>
      <c r="E27" s="619">
        <f ca="1"/>
        <v>-5.0600000000000005</v>
      </c>
      <c r="F27" s="619">
        <f ca="1"/>
        <v>-5.94</v>
      </c>
      <c r="G27" s="619">
        <f ca="1"/>
        <v>-6.82</v>
      </c>
      <c r="H27" s="619">
        <f ca="1"/>
        <v>-7.7</v>
      </c>
      <c r="I27" s="619">
        <f ca="1"/>
        <v>-8.5799999999999983</v>
      </c>
      <c r="J27" s="619">
        <f ca="1"/>
        <v>-9.4600000000000009</v>
      </c>
      <c r="K27" s="619">
        <f ca="1"/>
        <v>-10.34</v>
      </c>
      <c r="L27" s="619">
        <f ca="1"/>
        <v>-11.22</v>
      </c>
      <c r="M27" s="619">
        <f ca="1"/>
        <v>-12.1</v>
      </c>
      <c r="N27" s="619">
        <f t="shared" ca="1" si="0"/>
        <v>-87.11999999999999</v>
      </c>
    </row>
    <row r="28" spans="1:14" s="421" customFormat="1" ht="16.149999999999999" customHeight="1">
      <c r="A28" s="429"/>
      <c r="B28" s="423"/>
      <c r="C28" s="423"/>
      <c r="D28" s="423"/>
      <c r="E28" s="423"/>
      <c r="F28" s="423"/>
      <c r="G28" s="423"/>
      <c r="H28" s="423"/>
      <c r="I28" s="423"/>
      <c r="J28" s="423"/>
      <c r="K28" s="423"/>
      <c r="L28" s="423"/>
      <c r="M28" s="423"/>
      <c r="N28" s="1631"/>
    </row>
    <row r="29" spans="1:14" s="421" customFormat="1" ht="16.149999999999999" customHeight="1">
      <c r="A29" s="429" t="str">
        <f>'PPeGG anuais'!A29</f>
        <v>Resultado antes Impostos (B.A.I.)</v>
      </c>
      <c r="B29" s="619">
        <f t="array" aca="1" ref="B29:M29" ca="1">B23:M23+B27:M27</f>
        <v>-1076.8200000000002</v>
      </c>
      <c r="C29" s="619">
        <f ca="1"/>
        <v>-1015.1545454545455</v>
      </c>
      <c r="D29" s="619">
        <f ca="1"/>
        <v>-953.48909090909092</v>
      </c>
      <c r="E29" s="619">
        <f ca="1"/>
        <v>-1066.1418181818181</v>
      </c>
      <c r="F29" s="619">
        <f ca="1"/>
        <v>-1004.4763636363637</v>
      </c>
      <c r="G29" s="619">
        <f ca="1"/>
        <v>-942.81090909090915</v>
      </c>
      <c r="H29" s="619">
        <f ca="1"/>
        <v>-803.41818181818189</v>
      </c>
      <c r="I29" s="619">
        <f ca="1"/>
        <v>-741.75272727272738</v>
      </c>
      <c r="J29" s="619">
        <f ca="1"/>
        <v>-680.08727272727276</v>
      </c>
      <c r="K29" s="619">
        <f ca="1"/>
        <v>-670.24000000000024</v>
      </c>
      <c r="L29" s="619">
        <f ca="1"/>
        <v>-608.57454545454573</v>
      </c>
      <c r="M29" s="619">
        <f ca="1"/>
        <v>-546.90909090909111</v>
      </c>
      <c r="N29" s="619">
        <f t="shared" ca="1" si="0"/>
        <v>-10109.874545454546</v>
      </c>
    </row>
    <row r="30" spans="1:14" s="421" customFormat="1" ht="16.149999999999999" customHeight="1" thickBot="1">
      <c r="A30" s="429"/>
      <c r="B30" s="423"/>
      <c r="C30" s="423"/>
      <c r="D30" s="423"/>
      <c r="E30" s="423"/>
      <c r="F30" s="423"/>
      <c r="G30" s="423"/>
      <c r="H30" s="423"/>
      <c r="I30" s="423"/>
      <c r="J30" s="423"/>
      <c r="K30" s="423"/>
      <c r="L30" s="423"/>
      <c r="M30" s="423"/>
      <c r="N30" s="1631"/>
    </row>
    <row r="31" spans="1:14" s="424" customFormat="1" ht="21.75" customHeight="1" thickBot="1">
      <c r="A31" s="430" t="s">
        <v>801</v>
      </c>
      <c r="B31" s="621">
        <f ca="1">B29</f>
        <v>-1076.8200000000002</v>
      </c>
      <c r="C31" s="621">
        <f t="shared" ref="C31:M31" ca="1" si="2">B31+C29</f>
        <v>-2091.9745454545455</v>
      </c>
      <c r="D31" s="621">
        <f t="shared" ca="1" si="2"/>
        <v>-3045.4636363636364</v>
      </c>
      <c r="E31" s="621">
        <f t="shared" ca="1" si="2"/>
        <v>-4111.6054545454544</v>
      </c>
      <c r="F31" s="621">
        <f t="shared" ca="1" si="2"/>
        <v>-5116.0818181818177</v>
      </c>
      <c r="G31" s="621">
        <f t="shared" ca="1" si="2"/>
        <v>-6058.8927272727269</v>
      </c>
      <c r="H31" s="621">
        <f t="shared" ca="1" si="2"/>
        <v>-6862.3109090909093</v>
      </c>
      <c r="I31" s="621">
        <f t="shared" ca="1" si="2"/>
        <v>-7604.0636363636368</v>
      </c>
      <c r="J31" s="621">
        <f t="shared" ca="1" si="2"/>
        <v>-8284.1509090909094</v>
      </c>
      <c r="K31" s="621">
        <f t="shared" ca="1" si="2"/>
        <v>-8954.3909090909092</v>
      </c>
      <c r="L31" s="621">
        <f t="shared" ca="1" si="2"/>
        <v>-9562.9654545454541</v>
      </c>
      <c r="M31" s="621">
        <f t="shared" ca="1" si="2"/>
        <v>-10109.874545454546</v>
      </c>
      <c r="N31" s="431"/>
    </row>
    <row r="32" spans="1:14" s="419" customFormat="1" ht="10.5">
      <c r="N32" s="421"/>
    </row>
    <row r="33" spans="14:14" s="419" customFormat="1" ht="10.5"/>
    <row r="34" spans="14:14">
      <c r="N34" s="62"/>
    </row>
  </sheetData>
  <sheetProtection sheet="1" objects="1" scenarios="1"/>
  <phoneticPr fontId="4" type="noConversion"/>
  <printOptions horizontalCentered="1" verticalCentered="1"/>
  <pageMargins left="0.39370078740157483" right="0.39370078740157483" top="0.59055118110236227"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17">
    <tabColor indexed="42"/>
    <pageSetUpPr fitToPage="1"/>
  </sheetPr>
  <dimension ref="A1:N34"/>
  <sheetViews>
    <sheetView workbookViewId="0"/>
  </sheetViews>
  <sheetFormatPr baseColWidth="10" defaultColWidth="11" defaultRowHeight="12.75"/>
  <cols>
    <col min="1" max="1" width="30" style="62" customWidth="1"/>
    <col min="2" max="13" width="10.875" style="62" customWidth="1"/>
    <col min="14" max="14" width="12.25" style="239" customWidth="1"/>
    <col min="15" max="16384" width="11" style="62"/>
  </cols>
  <sheetData>
    <row r="1" spans="1:14" ht="22.5">
      <c r="A1" s="333" t="str">
        <f>'PyG 0'!A1</f>
        <v>Conta de Resultados, o de Perdas e Ganhos por meses</v>
      </c>
      <c r="E1" s="239"/>
      <c r="F1" s="239"/>
      <c r="I1" s="241" t="str">
        <f>Parametros!C$77</f>
        <v>Ano 1:  2027</v>
      </c>
      <c r="L1" s="418"/>
    </row>
    <row r="2" spans="1:14" s="419" customFormat="1" ht="22.5">
      <c r="A2" s="68" t="str">
        <f>'Dados Básicos'!B9</f>
        <v>WWW, S.L.</v>
      </c>
      <c r="C2" s="420"/>
      <c r="D2" s="285"/>
      <c r="N2" s="421"/>
    </row>
    <row r="3" spans="1:14" s="419" customFormat="1" ht="26.25" thickBot="1">
      <c r="A3" s="60"/>
      <c r="B3" s="2349">
        <v>1</v>
      </c>
      <c r="C3" s="2349">
        <v>2</v>
      </c>
      <c r="D3" s="2349">
        <v>3</v>
      </c>
      <c r="E3" s="2349">
        <v>4</v>
      </c>
      <c r="F3" s="2349">
        <v>5</v>
      </c>
      <c r="G3" s="2349">
        <v>6</v>
      </c>
      <c r="H3" s="2349">
        <v>7</v>
      </c>
      <c r="I3" s="2349">
        <v>8</v>
      </c>
      <c r="J3" s="2349">
        <v>9</v>
      </c>
      <c r="K3" s="2349">
        <v>10</v>
      </c>
      <c r="L3" s="2349">
        <v>11</v>
      </c>
      <c r="M3" s="2349">
        <v>12</v>
      </c>
      <c r="N3" s="421"/>
    </row>
    <row r="4" spans="1:14" s="422" customFormat="1" ht="21.75" customHeight="1" thickBot="1">
      <c r="A4" s="425" t="str">
        <f t="array" ref="A4:A7">'PPeGG anuais'!A4:A7</f>
        <v>Conceitos</v>
      </c>
      <c r="B4" s="426" t="str">
        <f t="array" ref="B4:M4">meses</f>
        <v>janeiro</v>
      </c>
      <c r="C4" s="426" t="str">
        <v>fevereiro</v>
      </c>
      <c r="D4" s="426" t="str">
        <v>março</v>
      </c>
      <c r="E4" s="426" t="str">
        <v>abril</v>
      </c>
      <c r="F4" s="426" t="str">
        <v>maio</v>
      </c>
      <c r="G4" s="426" t="str">
        <v>junho</v>
      </c>
      <c r="H4" s="426" t="str">
        <v>julho</v>
      </c>
      <c r="I4" s="426" t="str">
        <v>agosto</v>
      </c>
      <c r="J4" s="426" t="str">
        <v>setembro</v>
      </c>
      <c r="K4" s="426" t="str">
        <v>outubro</v>
      </c>
      <c r="L4" s="426" t="str">
        <v>novembro</v>
      </c>
      <c r="M4" s="426" t="str">
        <v>dezembro</v>
      </c>
      <c r="N4" s="426" t="s">
        <v>3</v>
      </c>
    </row>
    <row r="5" spans="1:14" s="421" customFormat="1" ht="16.149999999999999" customHeight="1">
      <c r="A5" s="427" t="str">
        <v>Ingresos de vendas</v>
      </c>
      <c r="B5" s="616">
        <f t="array" aca="1" ref="B5:M5" ca="1">'Prev.Vendas 1'!B25:M25</f>
        <v>1030</v>
      </c>
      <c r="C5" s="616">
        <f ca="1"/>
        <v>1030</v>
      </c>
      <c r="D5" s="616">
        <f ca="1"/>
        <v>1030</v>
      </c>
      <c r="E5" s="616">
        <f ca="1"/>
        <v>1030</v>
      </c>
      <c r="F5" s="616">
        <f ca="1"/>
        <v>1030</v>
      </c>
      <c r="G5" s="616">
        <f ca="1"/>
        <v>1030</v>
      </c>
      <c r="H5" s="616">
        <f ca="1"/>
        <v>1030</v>
      </c>
      <c r="I5" s="616">
        <f ca="1"/>
        <v>1030</v>
      </c>
      <c r="J5" s="616">
        <f ca="1"/>
        <v>1030</v>
      </c>
      <c r="K5" s="616">
        <f ca="1"/>
        <v>1030</v>
      </c>
      <c r="L5" s="616">
        <f ca="1"/>
        <v>1030</v>
      </c>
      <c r="M5" s="616">
        <f ca="1"/>
        <v>1030</v>
      </c>
      <c r="N5" s="617">
        <f ca="1">SUM(B5:M5)</f>
        <v>12360</v>
      </c>
    </row>
    <row r="6" spans="1:14" s="421" customFormat="1" ht="16.149999999999999" customHeight="1">
      <c r="A6" s="1621" t="str">
        <v>Imputação de subvenções</v>
      </c>
      <c r="B6" s="620">
        <f>IF(B$3+12&gt;mes0+Parametros!$B$38*12-1,0,Finançamento!$C$19/Parametros!$B$38/12)
+Finançamento!$D$19/Parametros!$C$38/12
+Finançamento!$E$19/Parametros!$D$38/12</f>
        <v>0</v>
      </c>
      <c r="C6" s="620">
        <f>IF(C$3+12&gt;mes0+Parametros!$B$38*12-1,0,Finançamento!$C$19/Parametros!$B$38/12)
+Finançamento!$D$19/Parametros!$C$38/12
+Finançamento!$E$19/Parametros!$D$38/12</f>
        <v>0</v>
      </c>
      <c r="D6" s="620">
        <f>IF(D$3+12&gt;mes0+Parametros!$B$38*12-1,0,Finançamento!$C$19/Parametros!$B$38/12)
+Finançamento!$D$19/Parametros!$C$38/12
+Finançamento!$E$19/Parametros!$D$38/12</f>
        <v>0</v>
      </c>
      <c r="E6" s="620">
        <f>IF(E$3+12&gt;mes0+Parametros!$B$38*12-1,0,Finançamento!$C$19/Parametros!$B$38/12)
+Finançamento!$D$19/Parametros!$C$38/12
+Finançamento!$E$19/Parametros!$D$38/12</f>
        <v>0</v>
      </c>
      <c r="F6" s="620">
        <f>IF(F$3+12&gt;mes0+Parametros!$B$38*12-1,0,Finançamento!$C$19/Parametros!$B$38/12)
+Finançamento!$D$19/Parametros!$C$38/12
+Finançamento!$E$19/Parametros!$D$38/12</f>
        <v>0</v>
      </c>
      <c r="G6" s="620">
        <f>IF(G$3+12&gt;mes0+Parametros!$B$38*12-1,0,Finançamento!$C$19/Parametros!$B$38/12)
+Finançamento!$D$19/Parametros!$C$38/12
+Finançamento!$E$19/Parametros!$D$38/12</f>
        <v>0</v>
      </c>
      <c r="H6" s="620">
        <f>IF(H$3+12&gt;mes0+Parametros!$B$38*12-1,0,Finançamento!$C$19/Parametros!$B$38/12)
+Finançamento!$D$19/Parametros!$C$38/12
+Finançamento!$E$19/Parametros!$D$38/12</f>
        <v>0</v>
      </c>
      <c r="I6" s="620">
        <f>IF(I$3+12&gt;mes0+Parametros!$B$38*12-1,0,Finançamento!$C$19/Parametros!$B$38/12)
+Finançamento!$D$19/Parametros!$C$38/12
+Finançamento!$E$19/Parametros!$D$38/12</f>
        <v>0</v>
      </c>
      <c r="J6" s="620">
        <f>IF(J$3+12&gt;mes0+Parametros!$B$38*12-1,0,Finançamento!$C$19/Parametros!$B$38/12)
+Finançamento!$D$19/Parametros!$C$38/12
+Finançamento!$E$19/Parametros!$D$38/12</f>
        <v>0</v>
      </c>
      <c r="K6" s="620">
        <f>IF(K$3+12&gt;mes0+Parametros!$B$38*12-1,0,Finançamento!$C$19/Parametros!$B$38/12)
+Finançamento!$D$19/Parametros!$C$38/12
+Finançamento!$E$19/Parametros!$D$38/12</f>
        <v>0</v>
      </c>
      <c r="L6" s="620">
        <f>IF(L$3+12&gt;mes0+Parametros!$B$38*12-1,0,Finançamento!$C$19/Parametros!$B$38/12)
+Finançamento!$D$19/Parametros!$C$38/12
+Finançamento!$E$19/Parametros!$D$38/12</f>
        <v>0</v>
      </c>
      <c r="M6" s="620">
        <f>IF(M$3+12&gt;mes0+Parametros!$B$38*12-1,0,Finançamento!$C$19/Parametros!$B$38/12)
+Finançamento!$D$19/Parametros!$C$38/12
+Finançamento!$E$19/Parametros!$D$38/12</f>
        <v>0</v>
      </c>
      <c r="N6" s="619">
        <f>SUM(B6:M6)</f>
        <v>0</v>
      </c>
    </row>
    <row r="7" spans="1:14" s="421" customFormat="1" ht="16.149999999999999" customHeight="1">
      <c r="A7" s="1622" t="str">
        <v>Total Ingresos de Explotação</v>
      </c>
      <c r="B7" s="1623">
        <f t="array" aca="1" ref="B7:M7" ca="1">B5:M5+B6:M6</f>
        <v>1030</v>
      </c>
      <c r="C7" s="1623">
        <f ca="1"/>
        <v>1030</v>
      </c>
      <c r="D7" s="1623">
        <f ca="1"/>
        <v>1030</v>
      </c>
      <c r="E7" s="1623">
        <f ca="1"/>
        <v>1030</v>
      </c>
      <c r="F7" s="1623">
        <f ca="1"/>
        <v>1030</v>
      </c>
      <c r="G7" s="1623">
        <f ca="1"/>
        <v>1030</v>
      </c>
      <c r="H7" s="1623">
        <f ca="1"/>
        <v>1030</v>
      </c>
      <c r="I7" s="1623">
        <f ca="1"/>
        <v>1030</v>
      </c>
      <c r="J7" s="1623">
        <f ca="1"/>
        <v>1030</v>
      </c>
      <c r="K7" s="1623">
        <f ca="1"/>
        <v>1030</v>
      </c>
      <c r="L7" s="1623">
        <f ca="1"/>
        <v>1030</v>
      </c>
      <c r="M7" s="1623">
        <f ca="1"/>
        <v>1030</v>
      </c>
      <c r="N7" s="619">
        <f ca="1">SUM(B7:M7)</f>
        <v>12360</v>
      </c>
    </row>
    <row r="8" spans="1:14" s="421" customFormat="1" ht="16.149999999999999" customHeight="1">
      <c r="A8" s="1621"/>
      <c r="B8" s="620"/>
      <c r="C8" s="620"/>
      <c r="D8" s="620"/>
      <c r="E8" s="620"/>
      <c r="F8" s="620"/>
      <c r="G8" s="620"/>
      <c r="H8" s="620"/>
      <c r="I8" s="620"/>
      <c r="J8" s="620"/>
      <c r="K8" s="620"/>
      <c r="L8" s="620"/>
      <c r="M8" s="620"/>
      <c r="N8" s="619"/>
    </row>
    <row r="9" spans="1:14" s="419" customFormat="1" ht="16.149999999999999" customHeight="1">
      <c r="A9" s="428" t="str">
        <f t="array" ref="A9:A11">'PPeGG anuais'!A9:A11</f>
        <v>Custos variáveis / Direitos</v>
      </c>
      <c r="B9" s="616">
        <f t="array" aca="1" ref="B9:M9" ca="1">'Distr CV 1'!B28:M28</f>
        <v>144.20000000000002</v>
      </c>
      <c r="C9" s="616">
        <f ca="1"/>
        <v>144.20000000000002</v>
      </c>
      <c r="D9" s="616">
        <f ca="1"/>
        <v>144.20000000000002</v>
      </c>
      <c r="E9" s="616">
        <f ca="1"/>
        <v>144.20000000000002</v>
      </c>
      <c r="F9" s="616">
        <f ca="1"/>
        <v>144.20000000000002</v>
      </c>
      <c r="G9" s="616">
        <f ca="1"/>
        <v>144.20000000000002</v>
      </c>
      <c r="H9" s="616">
        <f ca="1"/>
        <v>144.20000000000002</v>
      </c>
      <c r="I9" s="616">
        <f ca="1"/>
        <v>144.20000000000002</v>
      </c>
      <c r="J9" s="616">
        <f ca="1"/>
        <v>144.20000000000002</v>
      </c>
      <c r="K9" s="616">
        <f ca="1"/>
        <v>144.20000000000002</v>
      </c>
      <c r="L9" s="616">
        <f ca="1"/>
        <v>144.20000000000002</v>
      </c>
      <c r="M9" s="616">
        <f ca="1"/>
        <v>144.20000000000002</v>
      </c>
      <c r="N9" s="617">
        <f ca="1">SUM(B9:M9)</f>
        <v>1730.4000000000003</v>
      </c>
    </row>
    <row r="10" spans="1:14" s="419" customFormat="1" ht="16.149999999999999" customHeight="1">
      <c r="A10" s="428" t="str">
        <v>Pagamento em dúvida / Receitas falhidas</v>
      </c>
      <c r="B10" s="620">
        <f ca="1">-(1-recmorosos)*'Receitas e pagamentos 0'!B27</f>
        <v>0</v>
      </c>
      <c r="C10" s="620">
        <f ca="1">-(1-recmorosos)*'Receitas e pagamentos 0'!C27</f>
        <v>0</v>
      </c>
      <c r="D10" s="620">
        <f ca="1">-(1-recmorosos)*'Receitas e pagamentos 0'!D27</f>
        <v>0</v>
      </c>
      <c r="E10" s="620">
        <f ca="1">-(1-recmorosos)*'Receitas e pagamentos 0'!E27</f>
        <v>0</v>
      </c>
      <c r="F10" s="620">
        <f ca="1">-(1-recmorosos)*'Receitas e pagamentos 0'!F27</f>
        <v>0</v>
      </c>
      <c r="G10" s="620">
        <f ca="1">-(1-recmorosos)*'Receitas e pagamentos 0'!G27</f>
        <v>0</v>
      </c>
      <c r="H10" s="620">
        <f ca="1">-(1-recmorosos)*'Receitas e pagamentos 0'!H27</f>
        <v>0</v>
      </c>
      <c r="I10" s="620">
        <f ca="1">-(1-recmorosos)*'Receitas e pagamentos 0'!I27</f>
        <v>0</v>
      </c>
      <c r="J10" s="620">
        <f ca="1">-(1-recmorosos)*'Receitas e pagamentos 0'!J27</f>
        <v>0</v>
      </c>
      <c r="K10" s="620">
        <f ca="1">-(1-recmorosos)*'Receitas e pagamentos 0'!K27</f>
        <v>0</v>
      </c>
      <c r="L10" s="620">
        <f ca="1">-(1-recmorosos)*'Receitas e pagamentos 0'!L27</f>
        <v>0</v>
      </c>
      <c r="M10" s="620">
        <f ca="1">-(1-recmorosos)*'Receitas e pagamentos 0'!M27+'IVA 1'!O15</f>
        <v>0</v>
      </c>
      <c r="N10" s="619">
        <f ca="1">SUM(B10:M10)</f>
        <v>0</v>
      </c>
    </row>
    <row r="11" spans="1:14" s="419" customFormat="1" ht="16.149999999999999" customHeight="1">
      <c r="A11" s="1627" t="str">
        <v>Custos Direitos e Comerciais</v>
      </c>
      <c r="B11" s="1623">
        <f t="array" aca="1" ref="B11:M11" ca="1">B9:M9+B10:M10</f>
        <v>144.20000000000002</v>
      </c>
      <c r="C11" s="1623">
        <f ca="1"/>
        <v>144.20000000000002</v>
      </c>
      <c r="D11" s="1623">
        <f ca="1"/>
        <v>144.20000000000002</v>
      </c>
      <c r="E11" s="1623">
        <f ca="1"/>
        <v>144.20000000000002</v>
      </c>
      <c r="F11" s="1623">
        <f ca="1"/>
        <v>144.20000000000002</v>
      </c>
      <c r="G11" s="1623">
        <f ca="1"/>
        <v>144.20000000000002</v>
      </c>
      <c r="H11" s="1623">
        <f ca="1"/>
        <v>144.20000000000002</v>
      </c>
      <c r="I11" s="1623">
        <f ca="1"/>
        <v>144.20000000000002</v>
      </c>
      <c r="J11" s="1623">
        <f ca="1"/>
        <v>144.20000000000002</v>
      </c>
      <c r="K11" s="1623">
        <f ca="1"/>
        <v>144.20000000000002</v>
      </c>
      <c r="L11" s="1623">
        <f ca="1"/>
        <v>144.20000000000002</v>
      </c>
      <c r="M11" s="1623">
        <f ca="1"/>
        <v>144.20000000000002</v>
      </c>
      <c r="N11" s="619">
        <f ca="1">SUM(B11:M11)</f>
        <v>1730.4000000000003</v>
      </c>
    </row>
    <row r="12" spans="1:14" s="419" customFormat="1" ht="16.149999999999999" customHeight="1">
      <c r="A12" s="948"/>
      <c r="B12" s="620"/>
      <c r="C12" s="620"/>
      <c r="D12" s="620"/>
      <c r="E12" s="620"/>
      <c r="F12" s="620"/>
      <c r="G12" s="620"/>
      <c r="H12" s="620"/>
      <c r="I12" s="620"/>
      <c r="J12" s="620"/>
      <c r="K12" s="620"/>
      <c r="L12" s="620"/>
      <c r="M12" s="620"/>
      <c r="N12" s="619"/>
    </row>
    <row r="13" spans="1:14" s="421" customFormat="1" ht="16.149999999999999" customHeight="1">
      <c r="A13" s="429" t="str">
        <f>'PPeGG anuais'!A13</f>
        <v>Margem Bruto s/Vendas</v>
      </c>
      <c r="B13" s="615">
        <f t="array" aca="1" ref="B13:M13" ca="1">B7:M7-B11:M11</f>
        <v>885.8</v>
      </c>
      <c r="C13" s="615">
        <f ca="1"/>
        <v>885.8</v>
      </c>
      <c r="D13" s="615">
        <f ca="1"/>
        <v>885.8</v>
      </c>
      <c r="E13" s="615">
        <f ca="1"/>
        <v>885.8</v>
      </c>
      <c r="F13" s="615">
        <f ca="1"/>
        <v>885.8</v>
      </c>
      <c r="G13" s="615">
        <f ca="1"/>
        <v>885.8</v>
      </c>
      <c r="H13" s="615">
        <f ca="1"/>
        <v>885.8</v>
      </c>
      <c r="I13" s="615">
        <f ca="1"/>
        <v>885.8</v>
      </c>
      <c r="J13" s="615">
        <f ca="1"/>
        <v>885.8</v>
      </c>
      <c r="K13" s="615">
        <f ca="1"/>
        <v>885.8</v>
      </c>
      <c r="L13" s="615">
        <f ca="1"/>
        <v>885.8</v>
      </c>
      <c r="M13" s="615">
        <f ca="1"/>
        <v>885.8</v>
      </c>
      <c r="N13" s="617">
        <f ca="1">SUM(B13:M13)</f>
        <v>10629.599999999999</v>
      </c>
    </row>
    <row r="14" spans="1:14" s="421" customFormat="1" ht="16.149999999999999" customHeight="1">
      <c r="A14" s="429"/>
      <c r="B14" s="423"/>
      <c r="C14" s="423"/>
      <c r="D14" s="423"/>
      <c r="E14" s="423"/>
      <c r="F14" s="423"/>
      <c r="G14" s="423"/>
      <c r="H14" s="423"/>
      <c r="I14" s="423"/>
      <c r="J14" s="423"/>
      <c r="K14" s="423"/>
      <c r="L14" s="423"/>
      <c r="M14" s="423"/>
      <c r="N14" s="1631"/>
    </row>
    <row r="15" spans="1:14" s="419" customFormat="1" ht="16.149999999999999" customHeight="1">
      <c r="A15" s="948" t="str">
        <f t="array" ref="A15:A18">'PPeGG anuais'!A15:A18</f>
        <v>Despesas de Pessoal</v>
      </c>
      <c r="B15" s="616">
        <f t="array" ref="B15:M15" ca="1">'G.F. 1'!B27:M27-'G.F. 1'!B20:M20</f>
        <v>1248</v>
      </c>
      <c r="C15" s="616">
        <f ca="1"/>
        <v>1248</v>
      </c>
      <c r="D15" s="616">
        <f ca="1"/>
        <v>1248</v>
      </c>
      <c r="E15" s="616">
        <f ca="1"/>
        <v>1248</v>
      </c>
      <c r="F15" s="616">
        <f ca="1"/>
        <v>1248</v>
      </c>
      <c r="G15" s="616">
        <f ca="1"/>
        <v>1248</v>
      </c>
      <c r="H15" s="616">
        <f ca="1"/>
        <v>1248</v>
      </c>
      <c r="I15" s="616">
        <f ca="1"/>
        <v>1248</v>
      </c>
      <c r="J15" s="616">
        <f ca="1"/>
        <v>1248</v>
      </c>
      <c r="K15" s="616">
        <f ca="1"/>
        <v>1248</v>
      </c>
      <c r="L15" s="616">
        <f ca="1"/>
        <v>1248</v>
      </c>
      <c r="M15" s="616">
        <f ca="1"/>
        <v>1248</v>
      </c>
      <c r="N15" s="617">
        <f ca="1">SUM(B15:M15)</f>
        <v>14976</v>
      </c>
    </row>
    <row r="16" spans="1:14" s="419" customFormat="1" ht="16.149999999999999" customHeight="1">
      <c r="A16" s="948" t="str">
        <v>Despesas de Seguridade Social</v>
      </c>
      <c r="B16" s="616">
        <f t="array" ref="B16:M16" ca="1">+'G.F. 1'!B20:M20</f>
        <v>220.22727272727275</v>
      </c>
      <c r="C16" s="616">
        <f ca="1"/>
        <v>220.22727272727275</v>
      </c>
      <c r="D16" s="616">
        <f ca="1"/>
        <v>220.22727272727275</v>
      </c>
      <c r="E16" s="616">
        <f ca="1"/>
        <v>244.625</v>
      </c>
      <c r="F16" s="616">
        <f ca="1"/>
        <v>244.625</v>
      </c>
      <c r="G16" s="616">
        <f ca="1"/>
        <v>244.625</v>
      </c>
      <c r="H16" s="616">
        <f ca="1"/>
        <v>244.625</v>
      </c>
      <c r="I16" s="616">
        <f ca="1"/>
        <v>244.625</v>
      </c>
      <c r="J16" s="616">
        <f ca="1"/>
        <v>244.625</v>
      </c>
      <c r="K16" s="616">
        <f ca="1"/>
        <v>244.625</v>
      </c>
      <c r="L16" s="616">
        <f ca="1"/>
        <v>244.625</v>
      </c>
      <c r="M16" s="616">
        <f ca="1"/>
        <v>244.625</v>
      </c>
      <c r="N16" s="617">
        <f ca="1">SUM(B16:M16)</f>
        <v>2862.306818181818</v>
      </c>
    </row>
    <row r="17" spans="1:14" s="419" customFormat="1" ht="16.149999999999999" customHeight="1">
      <c r="A17" s="948" t="str">
        <v>Outros Gastos Fixos</v>
      </c>
      <c r="B17" s="616">
        <f t="array" aca="1" ref="B17:M17" ca="1">'G.F. 1'!B55:M55+'IVA 1'!C13:N13</f>
        <v>43.696000000000005</v>
      </c>
      <c r="C17" s="616">
        <f ca="1"/>
        <v>43.696000000000005</v>
      </c>
      <c r="D17" s="616">
        <f ca="1"/>
        <v>43.696000000000005</v>
      </c>
      <c r="E17" s="616">
        <f ca="1"/>
        <v>43.696000000000005</v>
      </c>
      <c r="F17" s="616">
        <f ca="1"/>
        <v>43.696000000000005</v>
      </c>
      <c r="G17" s="616">
        <f ca="1"/>
        <v>43.696000000000005</v>
      </c>
      <c r="H17" s="616">
        <f ca="1"/>
        <v>43.696000000000005</v>
      </c>
      <c r="I17" s="616">
        <f ca="1"/>
        <v>43.696000000000005</v>
      </c>
      <c r="J17" s="616">
        <f ca="1"/>
        <v>43.696000000000005</v>
      </c>
      <c r="K17" s="616">
        <f ca="1"/>
        <v>43.696000000000005</v>
      </c>
      <c r="L17" s="616">
        <f ca="1"/>
        <v>43.696000000000005</v>
      </c>
      <c r="M17" s="616">
        <f ca="1"/>
        <v>43.696000000000005</v>
      </c>
      <c r="N17" s="617">
        <f ca="1">SUM(B17:M17)</f>
        <v>524.3520000000002</v>
      </c>
    </row>
    <row r="18" spans="1:14" s="421" customFormat="1" ht="16.149999999999999" customHeight="1">
      <c r="A18" s="429" t="str">
        <v>Gastos Explotação</v>
      </c>
      <c r="B18" s="615">
        <f t="shared" ref="B18:M18" ca="1" si="0">SUM(B15:B17)</f>
        <v>1511.9232727272727</v>
      </c>
      <c r="C18" s="615">
        <f t="shared" ca="1" si="0"/>
        <v>1511.9232727272727</v>
      </c>
      <c r="D18" s="615">
        <f t="shared" ca="1" si="0"/>
        <v>1511.9232727272727</v>
      </c>
      <c r="E18" s="615">
        <f t="shared" ca="1" si="0"/>
        <v>1536.3209999999999</v>
      </c>
      <c r="F18" s="615">
        <f t="shared" ca="1" si="0"/>
        <v>1536.3209999999999</v>
      </c>
      <c r="G18" s="615">
        <f t="shared" ca="1" si="0"/>
        <v>1536.3209999999999</v>
      </c>
      <c r="H18" s="615">
        <f t="shared" ca="1" si="0"/>
        <v>1536.3209999999999</v>
      </c>
      <c r="I18" s="615">
        <f t="shared" ca="1" si="0"/>
        <v>1536.3209999999999</v>
      </c>
      <c r="J18" s="615">
        <f t="shared" ca="1" si="0"/>
        <v>1536.3209999999999</v>
      </c>
      <c r="K18" s="615">
        <f t="shared" ca="1" si="0"/>
        <v>1536.3209999999999</v>
      </c>
      <c r="L18" s="615">
        <f t="shared" ca="1" si="0"/>
        <v>1536.3209999999999</v>
      </c>
      <c r="M18" s="615">
        <f t="shared" ca="1" si="0"/>
        <v>1536.3209999999999</v>
      </c>
      <c r="N18" s="617">
        <f ca="1">SUM(B18:M18)</f>
        <v>18362.658818181819</v>
      </c>
    </row>
    <row r="19" spans="1:14" s="421" customFormat="1" ht="16.149999999999999" customHeight="1">
      <c r="A19" s="429"/>
      <c r="B19" s="423"/>
      <c r="C19" s="423"/>
      <c r="D19" s="423"/>
      <c r="E19" s="423"/>
      <c r="F19" s="423"/>
      <c r="G19" s="423"/>
      <c r="H19" s="423"/>
      <c r="I19" s="423"/>
      <c r="J19" s="423"/>
      <c r="K19" s="423"/>
      <c r="L19" s="423"/>
      <c r="M19" s="423"/>
      <c r="N19" s="1631"/>
    </row>
    <row r="20" spans="1:14" s="421" customFormat="1" ht="16.149999999999999" customHeight="1">
      <c r="A20" s="429" t="str">
        <f>'PPeGG anuais'!A20</f>
        <v>E.B.I.T.D.A.</v>
      </c>
      <c r="B20" s="423">
        <f t="array" ref="B20:M20" ca="1">B13:M13-B18:M18</f>
        <v>-626.12327272727271</v>
      </c>
      <c r="C20" s="423">
        <f ca="1"/>
        <v>-626.12327272727271</v>
      </c>
      <c r="D20" s="423">
        <f ca="1"/>
        <v>-626.12327272727271</v>
      </c>
      <c r="E20" s="423">
        <f ca="1"/>
        <v>-650.52099999999996</v>
      </c>
      <c r="F20" s="423">
        <f ca="1"/>
        <v>-650.52099999999996</v>
      </c>
      <c r="G20" s="423">
        <f ca="1"/>
        <v>-650.52099999999996</v>
      </c>
      <c r="H20" s="423">
        <f ca="1"/>
        <v>-650.52099999999996</v>
      </c>
      <c r="I20" s="423">
        <f ca="1"/>
        <v>-650.52099999999996</v>
      </c>
      <c r="J20" s="423">
        <f ca="1"/>
        <v>-650.52099999999996</v>
      </c>
      <c r="K20" s="423">
        <f ca="1"/>
        <v>-650.52099999999996</v>
      </c>
      <c r="L20" s="423">
        <f ca="1"/>
        <v>-650.52099999999996</v>
      </c>
      <c r="M20" s="423">
        <f ca="1"/>
        <v>-650.52099999999996</v>
      </c>
      <c r="N20" s="617">
        <f ca="1">SUM(B20:M20)</f>
        <v>-7733.0588181818157</v>
      </c>
    </row>
    <row r="21" spans="1:14" s="421" customFormat="1" ht="16.149999999999999" customHeight="1">
      <c r="A21" s="429"/>
      <c r="B21" s="423"/>
      <c r="C21" s="423"/>
      <c r="D21" s="423"/>
      <c r="E21" s="423"/>
      <c r="F21" s="423"/>
      <c r="G21" s="423"/>
      <c r="H21" s="423"/>
      <c r="I21" s="423"/>
      <c r="J21" s="423"/>
      <c r="K21" s="423"/>
      <c r="L21" s="423"/>
      <c r="M21" s="423"/>
      <c r="N21" s="1631"/>
    </row>
    <row r="22" spans="1:14" s="419" customFormat="1" ht="16.149999999999999" customHeight="1">
      <c r="A22" s="948" t="str">
        <f t="array" ref="A22:A23">'PPeGG anuais'!A22:A23</f>
        <v>Dotação Amortiçações</v>
      </c>
      <c r="B22" s="616">
        <f t="array" ref="B22:M22">Amortiçações!$E$41/12</f>
        <v>0</v>
      </c>
      <c r="C22" s="616">
        <v>0</v>
      </c>
      <c r="D22" s="616">
        <v>0</v>
      </c>
      <c r="E22" s="616">
        <v>0</v>
      </c>
      <c r="F22" s="616">
        <v>0</v>
      </c>
      <c r="G22" s="616">
        <v>0</v>
      </c>
      <c r="H22" s="616">
        <v>0</v>
      </c>
      <c r="I22" s="616">
        <v>0</v>
      </c>
      <c r="J22" s="616">
        <v>0</v>
      </c>
      <c r="K22" s="616">
        <v>0</v>
      </c>
      <c r="L22" s="616">
        <v>0</v>
      </c>
      <c r="M22" s="616">
        <v>0</v>
      </c>
      <c r="N22" s="617">
        <f>SUM(B22:M22)</f>
        <v>0</v>
      </c>
    </row>
    <row r="23" spans="1:14" s="421" customFormat="1" ht="16.149999999999999" customHeight="1">
      <c r="A23" s="429" t="str">
        <v>Res. antes Int. e Imp. (BAII / EBIT)</v>
      </c>
      <c r="B23" s="617">
        <f t="array" ref="B23:M23" ca="1">B20:M20-B22:M22</f>
        <v>-626.12327272727271</v>
      </c>
      <c r="C23" s="617">
        <f ca="1"/>
        <v>-626.12327272727271</v>
      </c>
      <c r="D23" s="617">
        <f ca="1"/>
        <v>-626.12327272727271</v>
      </c>
      <c r="E23" s="617">
        <f ca="1"/>
        <v>-650.52099999999996</v>
      </c>
      <c r="F23" s="617">
        <f ca="1"/>
        <v>-650.52099999999996</v>
      </c>
      <c r="G23" s="617">
        <f ca="1"/>
        <v>-650.52099999999996</v>
      </c>
      <c r="H23" s="617">
        <f ca="1"/>
        <v>-650.52099999999996</v>
      </c>
      <c r="I23" s="617">
        <f ca="1"/>
        <v>-650.52099999999996</v>
      </c>
      <c r="J23" s="617">
        <f ca="1"/>
        <v>-650.52099999999996</v>
      </c>
      <c r="K23" s="617">
        <f ca="1"/>
        <v>-650.52099999999996</v>
      </c>
      <c r="L23" s="617">
        <f ca="1"/>
        <v>-650.52099999999996</v>
      </c>
      <c r="M23" s="617">
        <f ca="1"/>
        <v>-650.52099999999996</v>
      </c>
      <c r="N23" s="617">
        <f ca="1">SUM(B23:M23)</f>
        <v>-7733.0588181818157</v>
      </c>
    </row>
    <row r="24" spans="1:14" s="421" customFormat="1" ht="16.149999999999999" customHeight="1">
      <c r="A24" s="429"/>
      <c r="B24" s="423"/>
      <c r="C24" s="423"/>
      <c r="D24" s="423"/>
      <c r="E24" s="423"/>
      <c r="F24" s="423"/>
      <c r="G24" s="423"/>
      <c r="H24" s="423"/>
      <c r="I24" s="423"/>
      <c r="J24" s="423"/>
      <c r="K24" s="423"/>
      <c r="L24" s="423"/>
      <c r="M24" s="423"/>
      <c r="N24" s="1631"/>
    </row>
    <row r="25" spans="1:14" s="419" customFormat="1" ht="16.149999999999999" customHeight="1">
      <c r="A25" s="948" t="str">
        <f t="array" ref="A25:A27">'PPeGG anuais'!A25:A27</f>
        <v>Ingresos Financeiros</v>
      </c>
      <c r="B25" s="618">
        <f t="array" ref="B25:M25" ca="1">'Despesas Financeiras'!C92:N92</f>
        <v>0</v>
      </c>
      <c r="C25" s="618">
        <f ca="1"/>
        <v>0</v>
      </c>
      <c r="D25" s="618">
        <f ca="1"/>
        <v>0</v>
      </c>
      <c r="E25" s="618">
        <f ca="1"/>
        <v>0</v>
      </c>
      <c r="F25" s="618">
        <f ca="1"/>
        <v>0</v>
      </c>
      <c r="G25" s="618">
        <f ca="1"/>
        <v>0</v>
      </c>
      <c r="H25" s="618">
        <f ca="1"/>
        <v>0</v>
      </c>
      <c r="I25" s="618">
        <f ca="1"/>
        <v>0</v>
      </c>
      <c r="J25" s="618">
        <f ca="1"/>
        <v>0</v>
      </c>
      <c r="K25" s="618">
        <f ca="1"/>
        <v>0</v>
      </c>
      <c r="L25" s="618">
        <f ca="1"/>
        <v>0</v>
      </c>
      <c r="M25" s="618">
        <f ca="1"/>
        <v>0</v>
      </c>
      <c r="N25" s="619">
        <f ca="1">SUM(B25:M25)</f>
        <v>0</v>
      </c>
    </row>
    <row r="26" spans="1:14" s="419" customFormat="1" ht="16.149999999999999" customHeight="1">
      <c r="A26" s="948" t="str">
        <v>Gastos Financeiros</v>
      </c>
      <c r="B26" s="618">
        <f t="array" ref="B26:M26" ca="1">'Despesas Financeiras'!C34:N34</f>
        <v>12.462999999999999</v>
      </c>
      <c r="C26" s="618">
        <f ca="1"/>
        <v>12.462999999999999</v>
      </c>
      <c r="D26" s="618">
        <f ca="1"/>
        <v>12.462999999999999</v>
      </c>
      <c r="E26" s="618">
        <f ca="1"/>
        <v>12.462999999999999</v>
      </c>
      <c r="F26" s="618">
        <f ca="1"/>
        <v>12.462999999999999</v>
      </c>
      <c r="G26" s="618">
        <f ca="1"/>
        <v>12.462999999999999</v>
      </c>
      <c r="H26" s="618">
        <f ca="1"/>
        <v>12.462999999999999</v>
      </c>
      <c r="I26" s="618">
        <f ca="1"/>
        <v>12.462999999999999</v>
      </c>
      <c r="J26" s="618">
        <f ca="1"/>
        <v>12.462999999999999</v>
      </c>
      <c r="K26" s="618">
        <f ca="1"/>
        <v>12.462999999999999</v>
      </c>
      <c r="L26" s="618">
        <f ca="1"/>
        <v>12.462999999999999</v>
      </c>
      <c r="M26" s="618">
        <f ca="1"/>
        <v>12.462999999999999</v>
      </c>
      <c r="N26" s="619">
        <f ca="1">SUM(B26:M26)</f>
        <v>149.55599999999995</v>
      </c>
    </row>
    <row r="27" spans="1:14" s="421" customFormat="1" ht="16.149999999999999" customHeight="1">
      <c r="A27" s="429" t="str">
        <v>Resultado Financiero</v>
      </c>
      <c r="B27" s="619">
        <f t="array" ref="B27:M27" ca="1">B25:M25-B26:M26</f>
        <v>-12.462999999999999</v>
      </c>
      <c r="C27" s="619">
        <f ca="1"/>
        <v>-12.462999999999999</v>
      </c>
      <c r="D27" s="619">
        <f ca="1"/>
        <v>-12.462999999999999</v>
      </c>
      <c r="E27" s="619">
        <f ca="1"/>
        <v>-12.462999999999999</v>
      </c>
      <c r="F27" s="619">
        <f ca="1"/>
        <v>-12.462999999999999</v>
      </c>
      <c r="G27" s="619">
        <f ca="1"/>
        <v>-12.462999999999999</v>
      </c>
      <c r="H27" s="619">
        <f ca="1"/>
        <v>-12.462999999999999</v>
      </c>
      <c r="I27" s="619">
        <f ca="1"/>
        <v>-12.462999999999999</v>
      </c>
      <c r="J27" s="619">
        <f ca="1"/>
        <v>-12.462999999999999</v>
      </c>
      <c r="K27" s="619">
        <f ca="1"/>
        <v>-12.462999999999999</v>
      </c>
      <c r="L27" s="619">
        <f ca="1"/>
        <v>-12.462999999999999</v>
      </c>
      <c r="M27" s="619">
        <f ca="1"/>
        <v>-12.462999999999999</v>
      </c>
      <c r="N27" s="619">
        <f ca="1">SUM(B27:M27)</f>
        <v>-149.55599999999995</v>
      </c>
    </row>
    <row r="28" spans="1:14" s="421" customFormat="1" ht="16.149999999999999" customHeight="1">
      <c r="A28" s="429"/>
      <c r="B28" s="423"/>
      <c r="C28" s="423"/>
      <c r="D28" s="423"/>
      <c r="E28" s="423"/>
      <c r="F28" s="423"/>
      <c r="G28" s="423"/>
      <c r="H28" s="423"/>
      <c r="I28" s="423"/>
      <c r="J28" s="423"/>
      <c r="K28" s="423"/>
      <c r="L28" s="423"/>
      <c r="M28" s="423"/>
      <c r="N28" s="1631"/>
    </row>
    <row r="29" spans="1:14" s="421" customFormat="1" ht="16.149999999999999" customHeight="1">
      <c r="A29" s="429" t="str">
        <f>'PPeGG anuais'!A29</f>
        <v>Resultado antes Impostos (B.A.I.)</v>
      </c>
      <c r="B29" s="619">
        <f t="array" ref="B29:M29" ca="1">B23:M23+B27:M27</f>
        <v>-638.58627272727267</v>
      </c>
      <c r="C29" s="619">
        <f ca="1"/>
        <v>-638.58627272727267</v>
      </c>
      <c r="D29" s="619">
        <f ca="1"/>
        <v>-638.58627272727267</v>
      </c>
      <c r="E29" s="619">
        <f ca="1"/>
        <v>-662.98399999999992</v>
      </c>
      <c r="F29" s="619">
        <f ca="1"/>
        <v>-662.98399999999992</v>
      </c>
      <c r="G29" s="619">
        <f ca="1"/>
        <v>-662.98399999999992</v>
      </c>
      <c r="H29" s="619">
        <f ca="1"/>
        <v>-662.98399999999992</v>
      </c>
      <c r="I29" s="619">
        <f ca="1"/>
        <v>-662.98399999999992</v>
      </c>
      <c r="J29" s="619">
        <f ca="1"/>
        <v>-662.98399999999992</v>
      </c>
      <c r="K29" s="619">
        <f ca="1"/>
        <v>-662.98399999999992</v>
      </c>
      <c r="L29" s="619">
        <f ca="1"/>
        <v>-662.98399999999992</v>
      </c>
      <c r="M29" s="619">
        <f ca="1"/>
        <v>-662.98399999999992</v>
      </c>
      <c r="N29" s="619">
        <f ca="1">SUM(B29:M29)</f>
        <v>-7882.6148181818189</v>
      </c>
    </row>
    <row r="30" spans="1:14" s="421" customFormat="1" ht="16.149999999999999" customHeight="1" thickBot="1">
      <c r="A30" s="429"/>
      <c r="B30" s="423"/>
      <c r="C30" s="423"/>
      <c r="D30" s="423"/>
      <c r="E30" s="423"/>
      <c r="F30" s="423"/>
      <c r="G30" s="423"/>
      <c r="H30" s="423"/>
      <c r="I30" s="423"/>
      <c r="J30" s="423"/>
      <c r="K30" s="423"/>
      <c r="L30" s="423"/>
      <c r="M30" s="423"/>
      <c r="N30" s="1631"/>
    </row>
    <row r="31" spans="1:14" s="424" customFormat="1" ht="21.75" customHeight="1" thickBot="1">
      <c r="A31" s="430" t="str">
        <f>'PyG 0'!A31</f>
        <v>Res. Acumulado Exercicio</v>
      </c>
      <c r="B31" s="621">
        <f ca="1">B29</f>
        <v>-638.58627272727267</v>
      </c>
      <c r="C31" s="621">
        <f t="shared" ref="C31:M31" ca="1" si="1">B31+C29</f>
        <v>-1277.1725454545453</v>
      </c>
      <c r="D31" s="621">
        <f t="shared" ca="1" si="1"/>
        <v>-1915.758818181818</v>
      </c>
      <c r="E31" s="621">
        <f t="shared" ca="1" si="1"/>
        <v>-2578.7428181818177</v>
      </c>
      <c r="F31" s="621">
        <f t="shared" ca="1" si="1"/>
        <v>-3241.7268181818176</v>
      </c>
      <c r="G31" s="621">
        <f t="shared" ca="1" si="1"/>
        <v>-3904.7108181818176</v>
      </c>
      <c r="H31" s="621">
        <f t="shared" ca="1" si="1"/>
        <v>-4567.694818181817</v>
      </c>
      <c r="I31" s="621">
        <f t="shared" ca="1" si="1"/>
        <v>-5230.6788181818174</v>
      </c>
      <c r="J31" s="621">
        <f t="shared" ca="1" si="1"/>
        <v>-5893.6628181818178</v>
      </c>
      <c r="K31" s="621">
        <f t="shared" ca="1" si="1"/>
        <v>-6556.6468181818182</v>
      </c>
      <c r="L31" s="621">
        <f t="shared" ca="1" si="1"/>
        <v>-7219.6308181818185</v>
      </c>
      <c r="M31" s="621">
        <f t="shared" ca="1" si="1"/>
        <v>-7882.6148181818189</v>
      </c>
      <c r="N31" s="431"/>
    </row>
    <row r="32" spans="1:14" s="419" customFormat="1" ht="10.5">
      <c r="N32" s="421"/>
    </row>
    <row r="33" spans="14:14" s="419" customFormat="1" ht="10.5"/>
    <row r="34" spans="14:14">
      <c r="N34" s="62"/>
    </row>
  </sheetData>
  <sheetProtection sheet="1" objects="1" scenarios="1"/>
  <phoneticPr fontId="4" type="noConversion"/>
  <printOptions horizontalCentered="1" verticalCentered="1"/>
  <pageMargins left="0.39370078740157483" right="0.39370078740157483" top="0.59055118110236227"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indexed="42"/>
    <pageSetUpPr fitToPage="1"/>
  </sheetPr>
  <dimension ref="A1:N33"/>
  <sheetViews>
    <sheetView workbookViewId="0"/>
  </sheetViews>
  <sheetFormatPr baseColWidth="10" defaultColWidth="11" defaultRowHeight="12.75"/>
  <cols>
    <col min="1" max="1" width="30" style="62" customWidth="1"/>
    <col min="2" max="13" width="10.875" style="62" customWidth="1"/>
    <col min="14" max="14" width="12.25" style="239" customWidth="1"/>
    <col min="15" max="16384" width="11" style="62"/>
  </cols>
  <sheetData>
    <row r="1" spans="1:14" ht="22.5">
      <c r="A1" s="333" t="str">
        <f>'PyG 0'!A1</f>
        <v>Conta de Resultados, o de Perdas e Ganhos por meses</v>
      </c>
      <c r="E1" s="239"/>
      <c r="F1" s="239"/>
      <c r="I1" s="241" t="str">
        <f>Parametros!D$77</f>
        <v>Ano 2:  2028</v>
      </c>
      <c r="L1" s="418"/>
    </row>
    <row r="2" spans="1:14" s="419" customFormat="1" ht="22.5">
      <c r="A2" s="68" t="str">
        <f>'Dados Básicos'!B9</f>
        <v>WWW, S.L.</v>
      </c>
      <c r="C2" s="420"/>
      <c r="D2" s="285"/>
      <c r="N2" s="421"/>
    </row>
    <row r="3" spans="1:14" s="419" customFormat="1" ht="26.25" thickBot="1">
      <c r="A3" s="60"/>
      <c r="B3" s="2349">
        <v>1</v>
      </c>
      <c r="C3" s="2349">
        <v>2</v>
      </c>
      <c r="D3" s="2349">
        <v>3</v>
      </c>
      <c r="E3" s="2349">
        <v>4</v>
      </c>
      <c r="F3" s="2349">
        <v>5</v>
      </c>
      <c r="G3" s="2349">
        <v>6</v>
      </c>
      <c r="H3" s="2349">
        <v>7</v>
      </c>
      <c r="I3" s="2349">
        <v>8</v>
      </c>
      <c r="J3" s="2349">
        <v>9</v>
      </c>
      <c r="K3" s="2349">
        <v>10</v>
      </c>
      <c r="L3" s="2349">
        <v>11</v>
      </c>
      <c r="M3" s="2349">
        <v>12</v>
      </c>
      <c r="N3" s="421"/>
    </row>
    <row r="4" spans="1:14" s="422" customFormat="1" ht="21.75" customHeight="1" thickBot="1">
      <c r="A4" s="425" t="str">
        <f t="array" ref="A4:A7">'PPeGG anuais'!A4:A7</f>
        <v>Conceitos</v>
      </c>
      <c r="B4" s="426" t="str">
        <f t="array" ref="B4:M4">meses</f>
        <v>janeiro</v>
      </c>
      <c r="C4" s="426" t="str">
        <v>fevereiro</v>
      </c>
      <c r="D4" s="426" t="str">
        <v>março</v>
      </c>
      <c r="E4" s="426" t="str">
        <v>abril</v>
      </c>
      <c r="F4" s="426" t="str">
        <v>maio</v>
      </c>
      <c r="G4" s="426" t="str">
        <v>junho</v>
      </c>
      <c r="H4" s="426" t="str">
        <v>julho</v>
      </c>
      <c r="I4" s="426" t="str">
        <v>agosto</v>
      </c>
      <c r="J4" s="426" t="str">
        <v>setembro</v>
      </c>
      <c r="K4" s="426" t="str">
        <v>outubro</v>
      </c>
      <c r="L4" s="426" t="str">
        <v>novembro</v>
      </c>
      <c r="M4" s="426" t="str">
        <v>dezembro</v>
      </c>
      <c r="N4" s="426" t="s">
        <v>3</v>
      </c>
    </row>
    <row r="5" spans="1:14" s="421" customFormat="1" ht="16.149999999999999" customHeight="1">
      <c r="A5" s="427" t="str">
        <v>Ingresos de vendas</v>
      </c>
      <c r="B5" s="616">
        <f t="array" aca="1" ref="B5:M5" ca="1">'Prev.Vendas 2'!B25:M25</f>
        <v>1113.9449999999999</v>
      </c>
      <c r="C5" s="616">
        <f ca="1"/>
        <v>1113.9449999999999</v>
      </c>
      <c r="D5" s="616">
        <f ca="1"/>
        <v>1113.9449999999999</v>
      </c>
      <c r="E5" s="616">
        <f ca="1"/>
        <v>1113.9449999999999</v>
      </c>
      <c r="F5" s="616">
        <f ca="1"/>
        <v>1113.9449999999999</v>
      </c>
      <c r="G5" s="616">
        <f ca="1"/>
        <v>1113.9449999999999</v>
      </c>
      <c r="H5" s="616">
        <f ca="1"/>
        <v>1113.9449999999999</v>
      </c>
      <c r="I5" s="616">
        <f ca="1"/>
        <v>1113.9449999999999</v>
      </c>
      <c r="J5" s="616">
        <f ca="1"/>
        <v>1113.9449999999999</v>
      </c>
      <c r="K5" s="616">
        <f ca="1"/>
        <v>1113.9449999999999</v>
      </c>
      <c r="L5" s="616">
        <f ca="1"/>
        <v>1113.9449999999999</v>
      </c>
      <c r="M5" s="616">
        <f ca="1"/>
        <v>1113.9449999999999</v>
      </c>
      <c r="N5" s="617">
        <f ca="1">SUM(B5:M5)</f>
        <v>13367.339999999998</v>
      </c>
    </row>
    <row r="6" spans="1:14" s="421" customFormat="1" ht="16.149999999999999" customHeight="1">
      <c r="A6" s="1621" t="str">
        <v>Imputação de subvenções</v>
      </c>
      <c r="B6" s="620">
        <f>IF(B$3+24&gt;mes0+Parametros!$B$38*12-1,0,Finançamento!$C$19/Parametros!$B$38/12)
+IF(Parametros!$C$38&gt;2,Finançamento!$D$19/Parametros!$C$38/12,0)
+Finançamento!$E$19/Parametros!$D$38/12
+Finançamento!$F$19/Parametros!$E$38/12</f>
        <v>0</v>
      </c>
      <c r="C6" s="620">
        <f>IF(C$3+24&gt;mes0+Parametros!$B$38*12-1,0,Finançamento!$C$19/Parametros!$B$38/12)
+IF(Parametros!$C$38&gt;2,Finançamento!$D$19/Parametros!$C$38/12,0)
+Finançamento!$E$19/Parametros!$D$38/12
+Finançamento!$F$19/Parametros!$E$38/12</f>
        <v>0</v>
      </c>
      <c r="D6" s="620">
        <f>IF(D$3+24&gt;mes0+Parametros!$B$38*12-1,0,Finançamento!$C$19/Parametros!$B$38/12)
+IF(Parametros!$C$38&gt;2,Finançamento!$D$19/Parametros!$C$38/12,0)
+Finançamento!$E$19/Parametros!$D$38/12
+Finançamento!$F$19/Parametros!$E$38/12</f>
        <v>0</v>
      </c>
      <c r="E6" s="620">
        <f>IF(E$3+24&gt;mes0+Parametros!$B$38*12-1,0,Finançamento!$C$19/Parametros!$B$38/12)
+IF(Parametros!$C$38&gt;2,Finançamento!$D$19/Parametros!$C$38/12,0)
+Finançamento!$E$19/Parametros!$D$38/12
+Finançamento!$F$19/Parametros!$E$38/12</f>
        <v>0</v>
      </c>
      <c r="F6" s="620">
        <f>IF(F$3+24&gt;mes0+Parametros!$B$38*12-1,0,Finançamento!$C$19/Parametros!$B$38/12)
+IF(Parametros!$C$38&gt;2,Finançamento!$D$19/Parametros!$C$38/12,0)
+Finançamento!$E$19/Parametros!$D$38/12
+Finançamento!$F$19/Parametros!$E$38/12</f>
        <v>0</v>
      </c>
      <c r="G6" s="620">
        <f>IF(G$3+24&gt;mes0+Parametros!$B$38*12-1,0,Finançamento!$C$19/Parametros!$B$38/12)
+IF(Parametros!$C$38&gt;2,Finançamento!$D$19/Parametros!$C$38/12,0)
+Finançamento!$E$19/Parametros!$D$38/12
+Finançamento!$F$19/Parametros!$E$38/12</f>
        <v>0</v>
      </c>
      <c r="H6" s="620">
        <f>IF(H$3+24&gt;mes0+Parametros!$B$38*12-1,0,Finançamento!$C$19/Parametros!$B$38/12)
+IF(Parametros!$C$38&gt;2,Finançamento!$D$19/Parametros!$C$38/12,0)
+Finançamento!$E$19/Parametros!$D$38/12
+Finançamento!$F$19/Parametros!$E$38/12</f>
        <v>0</v>
      </c>
      <c r="I6" s="620">
        <f>IF(I$3+24&gt;mes0+Parametros!$B$38*12-1,0,Finançamento!$C$19/Parametros!$B$38/12)
+IF(Parametros!$C$38&gt;2,Finançamento!$D$19/Parametros!$C$38/12,0)
+Finançamento!$E$19/Parametros!$D$38/12
+Finançamento!$F$19/Parametros!$E$38/12</f>
        <v>0</v>
      </c>
      <c r="J6" s="620">
        <f>IF(J$3+24&gt;mes0+Parametros!$B$38*12-1,0,Finançamento!$C$19/Parametros!$B$38/12)
+IF(Parametros!$C$38&gt;2,Finançamento!$D$19/Parametros!$C$38/12,0)
+Finançamento!$E$19/Parametros!$D$38/12
+Finançamento!$F$19/Parametros!$E$38/12</f>
        <v>0</v>
      </c>
      <c r="K6" s="620">
        <f>IF(K$3+24&gt;mes0+Parametros!$B$38*12-1,0,Finançamento!$C$19/Parametros!$B$38/12)
+IF(Parametros!$C$38&gt;2,Finançamento!$D$19/Parametros!$C$38/12,0)
+Finançamento!$E$19/Parametros!$D$38/12
+Finançamento!$F$19/Parametros!$E$38/12</f>
        <v>0</v>
      </c>
      <c r="L6" s="620">
        <f>IF(L$3+24&gt;mes0+Parametros!$B$38*12-1,0,Finançamento!$C$19/Parametros!$B$38/12)
+IF(Parametros!$C$38&gt;2,Finançamento!$D$19/Parametros!$C$38/12,0)
+Finançamento!$E$19/Parametros!$D$38/12
+Finançamento!$F$19/Parametros!$E$38/12</f>
        <v>0</v>
      </c>
      <c r="M6" s="620">
        <f>IF(M$3+24&gt;mes0+Parametros!$B$38*12-1,0,Finançamento!$C$19/Parametros!$B$38/12)
+IF(Parametros!$C$38&gt;2,Finançamento!$D$19/Parametros!$C$38/12,0)
+Finançamento!$E$19/Parametros!$D$38/12
+Finançamento!$F$19/Parametros!$E$38/12</f>
        <v>0</v>
      </c>
      <c r="N6" s="619">
        <f>SUM(B6:M6)</f>
        <v>0</v>
      </c>
    </row>
    <row r="7" spans="1:14" s="421" customFormat="1" ht="16.149999999999999" customHeight="1">
      <c r="A7" s="1622" t="str">
        <v>Total Ingresos de Explotação</v>
      </c>
      <c r="B7" s="1623">
        <f t="array" aca="1" ref="B7:M7" ca="1">B5:M5+B6:M6</f>
        <v>1113.9449999999999</v>
      </c>
      <c r="C7" s="1623">
        <f ca="1"/>
        <v>1113.9449999999999</v>
      </c>
      <c r="D7" s="1623">
        <f ca="1"/>
        <v>1113.9449999999999</v>
      </c>
      <c r="E7" s="1623">
        <f ca="1"/>
        <v>1113.9449999999999</v>
      </c>
      <c r="F7" s="1623">
        <f ca="1"/>
        <v>1113.9449999999999</v>
      </c>
      <c r="G7" s="1623">
        <f ca="1"/>
        <v>1113.9449999999999</v>
      </c>
      <c r="H7" s="1623">
        <f ca="1"/>
        <v>1113.9449999999999</v>
      </c>
      <c r="I7" s="1623">
        <f ca="1"/>
        <v>1113.9449999999999</v>
      </c>
      <c r="J7" s="1623">
        <f ca="1"/>
        <v>1113.9449999999999</v>
      </c>
      <c r="K7" s="1623">
        <f ca="1"/>
        <v>1113.9449999999999</v>
      </c>
      <c r="L7" s="1623">
        <f ca="1"/>
        <v>1113.9449999999999</v>
      </c>
      <c r="M7" s="1623">
        <f ca="1"/>
        <v>1113.9449999999999</v>
      </c>
      <c r="N7" s="619">
        <f ca="1">SUM(B7:M7)</f>
        <v>13367.339999999998</v>
      </c>
    </row>
    <row r="8" spans="1:14" s="421" customFormat="1" ht="16.149999999999999" customHeight="1">
      <c r="A8" s="1621"/>
      <c r="B8" s="620"/>
      <c r="C8" s="620"/>
      <c r="D8" s="620"/>
      <c r="E8" s="620"/>
      <c r="F8" s="620"/>
      <c r="G8" s="620"/>
      <c r="H8" s="620"/>
      <c r="I8" s="620"/>
      <c r="J8" s="620"/>
      <c r="K8" s="620"/>
      <c r="L8" s="620"/>
      <c r="M8" s="620"/>
      <c r="N8" s="619"/>
    </row>
    <row r="9" spans="1:14" s="419" customFormat="1" ht="16.149999999999999" customHeight="1">
      <c r="A9" s="428" t="str">
        <f t="array" ref="A9:A11">'PPeGG anuais'!A9:A11</f>
        <v>Custos variáveis / Direitos</v>
      </c>
      <c r="B9" s="616">
        <f t="array" aca="1" ref="B9:M9" ca="1">'Distr CV 2'!B28:M28</f>
        <v>155.95230000000001</v>
      </c>
      <c r="C9" s="616">
        <f ca="1"/>
        <v>155.95230000000001</v>
      </c>
      <c r="D9" s="616">
        <f ca="1"/>
        <v>155.95230000000001</v>
      </c>
      <c r="E9" s="616">
        <f ca="1"/>
        <v>155.95230000000001</v>
      </c>
      <c r="F9" s="616">
        <f ca="1"/>
        <v>155.95230000000001</v>
      </c>
      <c r="G9" s="616">
        <f ca="1"/>
        <v>155.95230000000001</v>
      </c>
      <c r="H9" s="616">
        <f ca="1"/>
        <v>155.95230000000001</v>
      </c>
      <c r="I9" s="616">
        <f ca="1"/>
        <v>155.95230000000001</v>
      </c>
      <c r="J9" s="616">
        <f ca="1"/>
        <v>155.95230000000001</v>
      </c>
      <c r="K9" s="616">
        <f ca="1"/>
        <v>155.95230000000001</v>
      </c>
      <c r="L9" s="616">
        <f ca="1"/>
        <v>155.95230000000001</v>
      </c>
      <c r="M9" s="616">
        <f ca="1"/>
        <v>155.95230000000001</v>
      </c>
      <c r="N9" s="617">
        <f ca="1">SUM(B9:M9)</f>
        <v>1871.4275999999998</v>
      </c>
    </row>
    <row r="10" spans="1:14" s="419" customFormat="1" ht="16.149999999999999" customHeight="1">
      <c r="A10" s="428" t="str">
        <v>Pagamento em dúvida / Receitas falhidas</v>
      </c>
      <c r="B10" s="620">
        <f ca="1">-(1-recmorosos)*'Receitas e pagamentos 1'!B27</f>
        <v>0</v>
      </c>
      <c r="C10" s="620">
        <f ca="1">-(1-recmorosos)*'Receitas e pagamentos 1'!C27</f>
        <v>0</v>
      </c>
      <c r="D10" s="620">
        <f ca="1">-(1-recmorosos)*'Receitas e pagamentos 1'!D27</f>
        <v>0</v>
      </c>
      <c r="E10" s="620">
        <f ca="1">-(1-recmorosos)*'Receitas e pagamentos 1'!E27</f>
        <v>0</v>
      </c>
      <c r="F10" s="620">
        <f ca="1">-(1-recmorosos)*'Receitas e pagamentos 1'!F27</f>
        <v>0</v>
      </c>
      <c r="G10" s="620">
        <f ca="1">-(1-recmorosos)*'Receitas e pagamentos 1'!G27</f>
        <v>0</v>
      </c>
      <c r="H10" s="620">
        <f ca="1">-(1-recmorosos)*'Receitas e pagamentos 1'!H27</f>
        <v>0</v>
      </c>
      <c r="I10" s="620">
        <f ca="1">-(1-recmorosos)*'Receitas e pagamentos 1'!I27</f>
        <v>0</v>
      </c>
      <c r="J10" s="620">
        <f ca="1">-(1-recmorosos)*'Receitas e pagamentos 1'!J27</f>
        <v>0</v>
      </c>
      <c r="K10" s="620">
        <f ca="1">-(1-recmorosos)*'Receitas e pagamentos 1'!K27</f>
        <v>0</v>
      </c>
      <c r="L10" s="620">
        <f ca="1">-(1-recmorosos)*'Receitas e pagamentos 1'!L27</f>
        <v>0</v>
      </c>
      <c r="M10" s="620">
        <f ca="1">-(1-recmorosos)*'Receitas e pagamentos 1'!M27+'IVA 2'!O15</f>
        <v>0</v>
      </c>
      <c r="N10" s="619">
        <f ca="1">SUM(B10:M10)</f>
        <v>0</v>
      </c>
    </row>
    <row r="11" spans="1:14" s="419" customFormat="1" ht="16.149999999999999" customHeight="1">
      <c r="A11" s="1627" t="str">
        <v>Custos Direitos e Comerciais</v>
      </c>
      <c r="B11" s="1623">
        <f t="array" aca="1" ref="B11:M11" ca="1">B9:M9+B10:M10</f>
        <v>155.95230000000001</v>
      </c>
      <c r="C11" s="1623">
        <f ca="1"/>
        <v>155.95230000000001</v>
      </c>
      <c r="D11" s="1623">
        <f ca="1"/>
        <v>155.95230000000001</v>
      </c>
      <c r="E11" s="1623">
        <f ca="1"/>
        <v>155.95230000000001</v>
      </c>
      <c r="F11" s="1623">
        <f ca="1"/>
        <v>155.95230000000001</v>
      </c>
      <c r="G11" s="1623">
        <f ca="1"/>
        <v>155.95230000000001</v>
      </c>
      <c r="H11" s="1623">
        <f ca="1"/>
        <v>155.95230000000001</v>
      </c>
      <c r="I11" s="1623">
        <f ca="1"/>
        <v>155.95230000000001</v>
      </c>
      <c r="J11" s="1623">
        <f ca="1"/>
        <v>155.95230000000001</v>
      </c>
      <c r="K11" s="1623">
        <f ca="1"/>
        <v>155.95230000000001</v>
      </c>
      <c r="L11" s="1623">
        <f ca="1"/>
        <v>155.95230000000001</v>
      </c>
      <c r="M11" s="1623">
        <f ca="1"/>
        <v>155.95230000000001</v>
      </c>
      <c r="N11" s="619">
        <f ca="1">SUM(B11:M11)</f>
        <v>1871.4275999999998</v>
      </c>
    </row>
    <row r="12" spans="1:14" s="419" customFormat="1" ht="16.149999999999999" customHeight="1">
      <c r="A12" s="948"/>
      <c r="B12" s="620"/>
      <c r="C12" s="620"/>
      <c r="D12" s="620"/>
      <c r="E12" s="620"/>
      <c r="F12" s="620"/>
      <c r="G12" s="620"/>
      <c r="H12" s="620"/>
      <c r="I12" s="620"/>
      <c r="J12" s="620"/>
      <c r="K12" s="620"/>
      <c r="L12" s="620"/>
      <c r="M12" s="620"/>
      <c r="N12" s="619"/>
    </row>
    <row r="13" spans="1:14" s="421" customFormat="1" ht="16.149999999999999" customHeight="1">
      <c r="A13" s="429" t="str">
        <f>'PPeGG anuais'!A13</f>
        <v>Margem Bruto s/Vendas</v>
      </c>
      <c r="B13" s="615">
        <f t="array" aca="1" ref="B13:M13" ca="1">B7:M7-B11:M11</f>
        <v>957.9926999999999</v>
      </c>
      <c r="C13" s="615">
        <f ca="1"/>
        <v>957.9926999999999</v>
      </c>
      <c r="D13" s="615">
        <f ca="1"/>
        <v>957.9926999999999</v>
      </c>
      <c r="E13" s="615">
        <f ca="1"/>
        <v>957.9926999999999</v>
      </c>
      <c r="F13" s="615">
        <f ca="1"/>
        <v>957.9926999999999</v>
      </c>
      <c r="G13" s="615">
        <f ca="1"/>
        <v>957.9926999999999</v>
      </c>
      <c r="H13" s="615">
        <f ca="1"/>
        <v>957.9926999999999</v>
      </c>
      <c r="I13" s="615">
        <f ca="1"/>
        <v>957.9926999999999</v>
      </c>
      <c r="J13" s="615">
        <f ca="1"/>
        <v>957.9926999999999</v>
      </c>
      <c r="K13" s="615">
        <f ca="1"/>
        <v>957.9926999999999</v>
      </c>
      <c r="L13" s="615">
        <f ca="1"/>
        <v>957.9926999999999</v>
      </c>
      <c r="M13" s="615">
        <f ca="1"/>
        <v>957.9926999999999</v>
      </c>
      <c r="N13" s="617">
        <f ca="1">SUM(B13:M13)</f>
        <v>11495.912400000001</v>
      </c>
    </row>
    <row r="14" spans="1:14" s="421" customFormat="1" ht="16.149999999999999" customHeight="1">
      <c r="A14" s="429"/>
      <c r="B14" s="423"/>
      <c r="C14" s="423"/>
      <c r="D14" s="423"/>
      <c r="E14" s="423"/>
      <c r="F14" s="423"/>
      <c r="G14" s="423"/>
      <c r="H14" s="423"/>
      <c r="I14" s="423"/>
      <c r="J14" s="423"/>
      <c r="K14" s="423"/>
      <c r="L14" s="423"/>
      <c r="M14" s="423"/>
      <c r="N14" s="1631"/>
    </row>
    <row r="15" spans="1:14" s="419" customFormat="1" ht="16.149999999999999" customHeight="1">
      <c r="A15" s="948" t="str">
        <f t="array" ref="A15:A18">'PPeGG anuais'!A15:A18</f>
        <v>Despesas de Pessoal</v>
      </c>
      <c r="B15" s="616">
        <f t="array" ref="B15:M15" ca="1">'G.F. 2'!B27:M27-'G.F. 2'!B20:M20</f>
        <v>1297.92</v>
      </c>
      <c r="C15" s="616">
        <f ca="1"/>
        <v>1297.92</v>
      </c>
      <c r="D15" s="616">
        <f ca="1"/>
        <v>1297.92</v>
      </c>
      <c r="E15" s="616">
        <f ca="1"/>
        <v>1297.92</v>
      </c>
      <c r="F15" s="616">
        <f ca="1"/>
        <v>1297.92</v>
      </c>
      <c r="G15" s="616">
        <f ca="1"/>
        <v>1297.92</v>
      </c>
      <c r="H15" s="616">
        <f ca="1"/>
        <v>1297.92</v>
      </c>
      <c r="I15" s="616">
        <f ca="1"/>
        <v>1297.92</v>
      </c>
      <c r="J15" s="616">
        <f ca="1"/>
        <v>1297.92</v>
      </c>
      <c r="K15" s="616">
        <f ca="1"/>
        <v>1297.92</v>
      </c>
      <c r="L15" s="616">
        <f ca="1"/>
        <v>1297.92</v>
      </c>
      <c r="M15" s="616">
        <f ca="1"/>
        <v>1297.92</v>
      </c>
      <c r="N15" s="617">
        <f ca="1">SUM(B15:M15)</f>
        <v>15575.04</v>
      </c>
    </row>
    <row r="16" spans="1:14" s="419" customFormat="1" ht="16.149999999999999" customHeight="1">
      <c r="A16" s="948" t="str">
        <v>Despesas de Seguridade Social</v>
      </c>
      <c r="B16" s="616">
        <f t="array" ref="B16:M16" ca="1">+'G.F. 2'!B20:M20</f>
        <v>244.625</v>
      </c>
      <c r="C16" s="616">
        <f ca="1"/>
        <v>244.625</v>
      </c>
      <c r="D16" s="616">
        <f ca="1"/>
        <v>244.625</v>
      </c>
      <c r="E16" s="616">
        <f ca="1"/>
        <v>264.5619375</v>
      </c>
      <c r="F16" s="616">
        <f ca="1"/>
        <v>264.5619375</v>
      </c>
      <c r="G16" s="616">
        <f ca="1"/>
        <v>264.5619375</v>
      </c>
      <c r="H16" s="616">
        <f ca="1"/>
        <v>264.5619375</v>
      </c>
      <c r="I16" s="616">
        <f ca="1"/>
        <v>264.5619375</v>
      </c>
      <c r="J16" s="616">
        <f ca="1"/>
        <v>264.5619375</v>
      </c>
      <c r="K16" s="616">
        <f ca="1"/>
        <v>264.5619375</v>
      </c>
      <c r="L16" s="616">
        <f ca="1"/>
        <v>264.5619375</v>
      </c>
      <c r="M16" s="616">
        <f ca="1"/>
        <v>264.5619375</v>
      </c>
      <c r="N16" s="617">
        <f ca="1">SUM(B16:M16)</f>
        <v>3114.9324375000006</v>
      </c>
    </row>
    <row r="17" spans="1:14" s="419" customFormat="1" ht="16.149999999999999" customHeight="1">
      <c r="A17" s="948" t="str">
        <v>Outros Gastos Fixos</v>
      </c>
      <c r="B17" s="616">
        <f t="array" aca="1" ref="B17:M17" ca="1">'G.F. 2'!B55:M55+'IVA 2'!C13:N13</f>
        <v>47.15364000000001</v>
      </c>
      <c r="C17" s="616">
        <f ca="1"/>
        <v>47.15364000000001</v>
      </c>
      <c r="D17" s="616">
        <f ca="1"/>
        <v>47.15364000000001</v>
      </c>
      <c r="E17" s="616">
        <f ca="1"/>
        <v>47.15364000000001</v>
      </c>
      <c r="F17" s="616">
        <f ca="1"/>
        <v>47.15364000000001</v>
      </c>
      <c r="G17" s="616">
        <f ca="1"/>
        <v>47.15364000000001</v>
      </c>
      <c r="H17" s="616">
        <f ca="1"/>
        <v>47.15364000000001</v>
      </c>
      <c r="I17" s="616">
        <f ca="1"/>
        <v>47.15364000000001</v>
      </c>
      <c r="J17" s="616">
        <f ca="1"/>
        <v>47.15364000000001</v>
      </c>
      <c r="K17" s="616">
        <f ca="1"/>
        <v>47.15364000000001</v>
      </c>
      <c r="L17" s="616">
        <f ca="1"/>
        <v>47.15364000000001</v>
      </c>
      <c r="M17" s="616">
        <f ca="1"/>
        <v>47.15364000000001</v>
      </c>
      <c r="N17" s="617">
        <f ca="1">SUM(B17:M17)</f>
        <v>565.84368000000006</v>
      </c>
    </row>
    <row r="18" spans="1:14" s="421" customFormat="1" ht="16.149999999999999" customHeight="1">
      <c r="A18" s="429" t="str">
        <v>Gastos Explotação</v>
      </c>
      <c r="B18" s="615">
        <f t="shared" ref="B18:M18" ca="1" si="0">SUM(B15:B17)</f>
        <v>1589.6986400000001</v>
      </c>
      <c r="C18" s="615">
        <f t="shared" ca="1" si="0"/>
        <v>1589.6986400000001</v>
      </c>
      <c r="D18" s="615">
        <f t="shared" ca="1" si="0"/>
        <v>1589.6986400000001</v>
      </c>
      <c r="E18" s="615">
        <f t="shared" ca="1" si="0"/>
        <v>1609.6355775000002</v>
      </c>
      <c r="F18" s="615">
        <f t="shared" ca="1" si="0"/>
        <v>1609.6355775000002</v>
      </c>
      <c r="G18" s="615">
        <f t="shared" ca="1" si="0"/>
        <v>1609.6355775000002</v>
      </c>
      <c r="H18" s="615">
        <f t="shared" ca="1" si="0"/>
        <v>1609.6355775000002</v>
      </c>
      <c r="I18" s="615">
        <f t="shared" ca="1" si="0"/>
        <v>1609.6355775000002</v>
      </c>
      <c r="J18" s="615">
        <f t="shared" ca="1" si="0"/>
        <v>1609.6355775000002</v>
      </c>
      <c r="K18" s="615">
        <f t="shared" ca="1" si="0"/>
        <v>1609.6355775000002</v>
      </c>
      <c r="L18" s="615">
        <f t="shared" ca="1" si="0"/>
        <v>1609.6355775000002</v>
      </c>
      <c r="M18" s="615">
        <f t="shared" ca="1" si="0"/>
        <v>1609.6355775000002</v>
      </c>
      <c r="N18" s="617">
        <f ca="1">SUM(B18:M18)</f>
        <v>19255.816117500006</v>
      </c>
    </row>
    <row r="19" spans="1:14" s="421" customFormat="1" ht="16.149999999999999" customHeight="1">
      <c r="A19" s="429"/>
      <c r="B19" s="423"/>
      <c r="C19" s="423"/>
      <c r="D19" s="423"/>
      <c r="E19" s="423"/>
      <c r="F19" s="423"/>
      <c r="G19" s="423"/>
      <c r="H19" s="423"/>
      <c r="I19" s="423"/>
      <c r="J19" s="423"/>
      <c r="K19" s="423"/>
      <c r="L19" s="423"/>
      <c r="M19" s="423"/>
      <c r="N19" s="1631"/>
    </row>
    <row r="20" spans="1:14" s="421" customFormat="1" ht="16.149999999999999" customHeight="1">
      <c r="A20" s="429" t="str">
        <f>'PPeGG anuais'!A20</f>
        <v>E.B.I.T.D.A.</v>
      </c>
      <c r="B20" s="423">
        <f t="array" ref="B20:M20" ca="1">B13:M13-B18:M18</f>
        <v>-631.70594000000017</v>
      </c>
      <c r="C20" s="423">
        <f ca="1"/>
        <v>-631.70594000000017</v>
      </c>
      <c r="D20" s="423">
        <f ca="1"/>
        <v>-631.70594000000017</v>
      </c>
      <c r="E20" s="423">
        <f ca="1"/>
        <v>-651.64287750000028</v>
      </c>
      <c r="F20" s="423">
        <f ca="1"/>
        <v>-651.64287750000028</v>
      </c>
      <c r="G20" s="423">
        <f ca="1"/>
        <v>-651.64287750000028</v>
      </c>
      <c r="H20" s="423">
        <f ca="1"/>
        <v>-651.64287750000028</v>
      </c>
      <c r="I20" s="423">
        <f ca="1"/>
        <v>-651.64287750000028</v>
      </c>
      <c r="J20" s="423">
        <f ca="1"/>
        <v>-651.64287750000028</v>
      </c>
      <c r="K20" s="423">
        <f ca="1"/>
        <v>-651.64287750000028</v>
      </c>
      <c r="L20" s="423">
        <f ca="1"/>
        <v>-651.64287750000028</v>
      </c>
      <c r="M20" s="423">
        <f ca="1"/>
        <v>-651.64287750000028</v>
      </c>
      <c r="N20" s="617">
        <f ca="1">SUM(B20:M20)</f>
        <v>-7759.9037175000039</v>
      </c>
    </row>
    <row r="21" spans="1:14" s="421" customFormat="1" ht="16.149999999999999" customHeight="1">
      <c r="A21" s="429"/>
      <c r="B21" s="423"/>
      <c r="C21" s="423"/>
      <c r="D21" s="423"/>
      <c r="E21" s="423"/>
      <c r="F21" s="423"/>
      <c r="G21" s="423"/>
      <c r="H21" s="423"/>
      <c r="I21" s="423"/>
      <c r="J21" s="423"/>
      <c r="K21" s="423"/>
      <c r="L21" s="423"/>
      <c r="M21" s="423"/>
      <c r="N21" s="1631"/>
    </row>
    <row r="22" spans="1:14" s="419" customFormat="1" ht="16.149999999999999" customHeight="1">
      <c r="A22" s="948" t="str">
        <f t="array" ref="A22:A23">'PPeGG anuais'!A22:A23</f>
        <v>Dotação Amortiçações</v>
      </c>
      <c r="B22" s="616">
        <f t="array" ref="B22:M22">Amortiçações!$F$41/12</f>
        <v>0</v>
      </c>
      <c r="C22" s="616">
        <v>0</v>
      </c>
      <c r="D22" s="616">
        <v>0</v>
      </c>
      <c r="E22" s="616">
        <v>0</v>
      </c>
      <c r="F22" s="616">
        <v>0</v>
      </c>
      <c r="G22" s="616">
        <v>0</v>
      </c>
      <c r="H22" s="616">
        <v>0</v>
      </c>
      <c r="I22" s="616">
        <v>0</v>
      </c>
      <c r="J22" s="616">
        <v>0</v>
      </c>
      <c r="K22" s="616">
        <v>0</v>
      </c>
      <c r="L22" s="616">
        <v>0</v>
      </c>
      <c r="M22" s="616">
        <v>0</v>
      </c>
      <c r="N22" s="617">
        <f>SUM(B22:M22)</f>
        <v>0</v>
      </c>
    </row>
    <row r="23" spans="1:14" s="421" customFormat="1" ht="16.149999999999999" customHeight="1">
      <c r="A23" s="429" t="str">
        <v>Res. antes Int. e Imp. (BAII / EBIT)</v>
      </c>
      <c r="B23" s="617">
        <f t="array" ref="B23:M23" ca="1">B20:M20-B22:M22</f>
        <v>-631.70594000000017</v>
      </c>
      <c r="C23" s="617">
        <f ca="1"/>
        <v>-631.70594000000017</v>
      </c>
      <c r="D23" s="617">
        <f ca="1"/>
        <v>-631.70594000000017</v>
      </c>
      <c r="E23" s="617">
        <f ca="1"/>
        <v>-651.64287750000028</v>
      </c>
      <c r="F23" s="617">
        <f ca="1"/>
        <v>-651.64287750000028</v>
      </c>
      <c r="G23" s="617">
        <f ca="1"/>
        <v>-651.64287750000028</v>
      </c>
      <c r="H23" s="617">
        <f ca="1"/>
        <v>-651.64287750000028</v>
      </c>
      <c r="I23" s="617">
        <f ca="1"/>
        <v>-651.64287750000028</v>
      </c>
      <c r="J23" s="617">
        <f ca="1"/>
        <v>-651.64287750000028</v>
      </c>
      <c r="K23" s="617">
        <f ca="1"/>
        <v>-651.64287750000028</v>
      </c>
      <c r="L23" s="617">
        <f ca="1"/>
        <v>-651.64287750000028</v>
      </c>
      <c r="M23" s="617">
        <f ca="1"/>
        <v>-651.64287750000028</v>
      </c>
      <c r="N23" s="617">
        <f ca="1">SUM(B23:M23)</f>
        <v>-7759.9037175000039</v>
      </c>
    </row>
    <row r="24" spans="1:14" s="421" customFormat="1" ht="16.149999999999999" customHeight="1">
      <c r="A24" s="429"/>
      <c r="B24" s="423"/>
      <c r="C24" s="423"/>
      <c r="D24" s="423"/>
      <c r="E24" s="423"/>
      <c r="F24" s="423"/>
      <c r="G24" s="423"/>
      <c r="H24" s="423"/>
      <c r="I24" s="423"/>
      <c r="J24" s="423"/>
      <c r="K24" s="423"/>
      <c r="L24" s="423"/>
      <c r="M24" s="423"/>
      <c r="N24" s="1631"/>
    </row>
    <row r="25" spans="1:14" s="419" customFormat="1" ht="16.149999999999999" customHeight="1">
      <c r="A25" s="948" t="str">
        <f t="array" ref="A25:A27">'PPeGG anuais'!A25:A27</f>
        <v>Ingresos Financeiros</v>
      </c>
      <c r="B25" s="618">
        <f t="array" ref="B25:M25" ca="1">'Despesas Financeiras'!C97:N97</f>
        <v>0</v>
      </c>
      <c r="C25" s="618">
        <f ca="1"/>
        <v>0</v>
      </c>
      <c r="D25" s="618">
        <f ca="1"/>
        <v>0</v>
      </c>
      <c r="E25" s="618">
        <f ca="1"/>
        <v>0</v>
      </c>
      <c r="F25" s="618">
        <f ca="1"/>
        <v>0</v>
      </c>
      <c r="G25" s="618">
        <f ca="1"/>
        <v>0</v>
      </c>
      <c r="H25" s="618">
        <f ca="1"/>
        <v>0</v>
      </c>
      <c r="I25" s="618">
        <f ca="1"/>
        <v>0</v>
      </c>
      <c r="J25" s="618">
        <f ca="1"/>
        <v>0</v>
      </c>
      <c r="K25" s="618">
        <f ca="1"/>
        <v>0</v>
      </c>
      <c r="L25" s="618">
        <f ca="1"/>
        <v>0</v>
      </c>
      <c r="M25" s="618">
        <f ca="1"/>
        <v>0</v>
      </c>
      <c r="N25" s="619">
        <f ca="1">SUM(B25:M25)</f>
        <v>0</v>
      </c>
    </row>
    <row r="26" spans="1:14" s="419" customFormat="1" ht="16.149999999999999" customHeight="1">
      <c r="A26" s="948" t="str">
        <v>Gastos Financeiros</v>
      </c>
      <c r="B26" s="618">
        <f t="array" ref="B26:M26" ca="1">'Despesas Financeiras'!C49:N49</f>
        <v>13.478734499999998</v>
      </c>
      <c r="C26" s="618">
        <f ca="1"/>
        <v>13.478734499999998</v>
      </c>
      <c r="D26" s="618">
        <f ca="1"/>
        <v>13.478734499999998</v>
      </c>
      <c r="E26" s="618">
        <f ca="1"/>
        <v>13.478734499999998</v>
      </c>
      <c r="F26" s="618">
        <f ca="1"/>
        <v>13.478734499999998</v>
      </c>
      <c r="G26" s="618">
        <f ca="1"/>
        <v>13.478734499999998</v>
      </c>
      <c r="H26" s="618">
        <f ca="1"/>
        <v>13.478734499999998</v>
      </c>
      <c r="I26" s="618">
        <f ca="1"/>
        <v>13.478734499999998</v>
      </c>
      <c r="J26" s="618">
        <f ca="1"/>
        <v>13.478734499999998</v>
      </c>
      <c r="K26" s="618">
        <f ca="1"/>
        <v>13.478734499999998</v>
      </c>
      <c r="L26" s="618">
        <f ca="1"/>
        <v>13.478734499999998</v>
      </c>
      <c r="M26" s="618">
        <f ca="1"/>
        <v>13.478734499999998</v>
      </c>
      <c r="N26" s="619">
        <f ca="1">SUM(B26:M26)</f>
        <v>161.74481399999999</v>
      </c>
    </row>
    <row r="27" spans="1:14" s="421" customFormat="1" ht="16.149999999999999" customHeight="1">
      <c r="A27" s="429" t="str">
        <v>Resultado Financiero</v>
      </c>
      <c r="B27" s="619">
        <f t="array" ref="B27:M27" ca="1">B25:M25-B26:M26</f>
        <v>-13.478734499999998</v>
      </c>
      <c r="C27" s="619">
        <f ca="1"/>
        <v>-13.478734499999998</v>
      </c>
      <c r="D27" s="619">
        <f ca="1"/>
        <v>-13.478734499999998</v>
      </c>
      <c r="E27" s="619">
        <f ca="1"/>
        <v>-13.478734499999998</v>
      </c>
      <c r="F27" s="619">
        <f ca="1"/>
        <v>-13.478734499999998</v>
      </c>
      <c r="G27" s="619">
        <f ca="1"/>
        <v>-13.478734499999998</v>
      </c>
      <c r="H27" s="619">
        <f ca="1"/>
        <v>-13.478734499999998</v>
      </c>
      <c r="I27" s="619">
        <f ca="1"/>
        <v>-13.478734499999998</v>
      </c>
      <c r="J27" s="619">
        <f ca="1"/>
        <v>-13.478734499999998</v>
      </c>
      <c r="K27" s="619">
        <f ca="1"/>
        <v>-13.478734499999998</v>
      </c>
      <c r="L27" s="619">
        <f ca="1"/>
        <v>-13.478734499999998</v>
      </c>
      <c r="M27" s="619">
        <f ca="1"/>
        <v>-13.478734499999998</v>
      </c>
      <c r="N27" s="619">
        <f ca="1">SUM(B27:M27)</f>
        <v>-161.74481399999999</v>
      </c>
    </row>
    <row r="28" spans="1:14" s="421" customFormat="1" ht="16.149999999999999" customHeight="1">
      <c r="A28" s="429"/>
      <c r="B28" s="423"/>
      <c r="C28" s="423"/>
      <c r="D28" s="423"/>
      <c r="E28" s="423"/>
      <c r="F28" s="423"/>
      <c r="G28" s="423"/>
      <c r="H28" s="423"/>
      <c r="I28" s="423"/>
      <c r="J28" s="423"/>
      <c r="K28" s="423"/>
      <c r="L28" s="423"/>
      <c r="M28" s="423"/>
      <c r="N28" s="1631"/>
    </row>
    <row r="29" spans="1:14" s="421" customFormat="1" ht="16.149999999999999" customHeight="1">
      <c r="A29" s="429" t="str">
        <f>'PPeGG anuais'!A29</f>
        <v>Resultado antes Impostos (B.A.I.)</v>
      </c>
      <c r="B29" s="619">
        <f t="array" ref="B29:M29" ca="1">B23:M23+B27:M27</f>
        <v>-645.18467450000014</v>
      </c>
      <c r="C29" s="619">
        <f ca="1"/>
        <v>-645.18467450000014</v>
      </c>
      <c r="D29" s="619">
        <f ca="1"/>
        <v>-645.18467450000014</v>
      </c>
      <c r="E29" s="619">
        <f ca="1"/>
        <v>-665.12161200000025</v>
      </c>
      <c r="F29" s="619">
        <f ca="1"/>
        <v>-665.12161200000025</v>
      </c>
      <c r="G29" s="619">
        <f ca="1"/>
        <v>-665.12161200000025</v>
      </c>
      <c r="H29" s="619">
        <f ca="1"/>
        <v>-665.12161200000025</v>
      </c>
      <c r="I29" s="619">
        <f ca="1"/>
        <v>-665.12161200000025</v>
      </c>
      <c r="J29" s="619">
        <f ca="1"/>
        <v>-665.12161200000025</v>
      </c>
      <c r="K29" s="619">
        <f ca="1"/>
        <v>-665.12161200000025</v>
      </c>
      <c r="L29" s="619">
        <f ca="1"/>
        <v>-665.12161200000025</v>
      </c>
      <c r="M29" s="619">
        <f ca="1"/>
        <v>-665.12161200000025</v>
      </c>
      <c r="N29" s="619">
        <f ca="1">SUM(B29:M29)</f>
        <v>-7921.6485315000009</v>
      </c>
    </row>
    <row r="30" spans="1:14" s="421" customFormat="1" ht="16.149999999999999" customHeight="1" thickBot="1">
      <c r="A30" s="429"/>
      <c r="B30" s="423"/>
      <c r="C30" s="423"/>
      <c r="D30" s="423"/>
      <c r="E30" s="423"/>
      <c r="F30" s="423"/>
      <c r="G30" s="423"/>
      <c r="H30" s="423"/>
      <c r="I30" s="423"/>
      <c r="J30" s="423"/>
      <c r="K30" s="423"/>
      <c r="L30" s="423"/>
      <c r="M30" s="423"/>
      <c r="N30" s="1631"/>
    </row>
    <row r="31" spans="1:14" s="424" customFormat="1" ht="21.75" customHeight="1" thickBot="1">
      <c r="A31" s="430" t="str">
        <f>'PyG 0'!A31</f>
        <v>Res. Acumulado Exercicio</v>
      </c>
      <c r="B31" s="621">
        <f ca="1">B29</f>
        <v>-645.18467450000014</v>
      </c>
      <c r="C31" s="621">
        <f t="shared" ref="C31:M31" ca="1" si="1">B31+C29</f>
        <v>-1290.3693490000003</v>
      </c>
      <c r="D31" s="621">
        <f t="shared" ca="1" si="1"/>
        <v>-1935.5540235000003</v>
      </c>
      <c r="E31" s="621">
        <f t="shared" ca="1" si="1"/>
        <v>-2600.6756355000007</v>
      </c>
      <c r="F31" s="621">
        <f t="shared" ca="1" si="1"/>
        <v>-3265.797247500001</v>
      </c>
      <c r="G31" s="621">
        <f t="shared" ca="1" si="1"/>
        <v>-3930.9188595000014</v>
      </c>
      <c r="H31" s="621">
        <f t="shared" ca="1" si="1"/>
        <v>-4596.0404715000013</v>
      </c>
      <c r="I31" s="621">
        <f t="shared" ca="1" si="1"/>
        <v>-5261.1620835000012</v>
      </c>
      <c r="J31" s="621">
        <f t="shared" ca="1" si="1"/>
        <v>-5926.2836955000012</v>
      </c>
      <c r="K31" s="621">
        <f t="shared" ca="1" si="1"/>
        <v>-6591.4053075000011</v>
      </c>
      <c r="L31" s="621">
        <f t="shared" ca="1" si="1"/>
        <v>-7256.526919500001</v>
      </c>
      <c r="M31" s="621">
        <f t="shared" ca="1" si="1"/>
        <v>-7921.6485315000009</v>
      </c>
      <c r="N31" s="431"/>
    </row>
    <row r="32" spans="1:14" s="419" customFormat="1" ht="10.5">
      <c r="N32" s="421"/>
    </row>
    <row r="33" spans="12:14" s="419" customFormat="1">
      <c r="L33" s="62"/>
      <c r="M33" s="62"/>
      <c r="N33" s="239"/>
    </row>
  </sheetData>
  <sheetProtection sheet="1" objects="1" scenarios="1"/>
  <phoneticPr fontId="4"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3">
    <tabColor indexed="61"/>
    <pageSetUpPr fitToPage="1"/>
  </sheetPr>
  <dimension ref="A1:N33"/>
  <sheetViews>
    <sheetView workbookViewId="0"/>
  </sheetViews>
  <sheetFormatPr baseColWidth="10" defaultColWidth="11" defaultRowHeight="12.75"/>
  <cols>
    <col min="1" max="1" width="30" style="62" customWidth="1"/>
    <col min="2" max="13" width="10.875" style="62" customWidth="1"/>
    <col min="14" max="14" width="12.25" style="239" customWidth="1"/>
    <col min="15" max="16384" width="11" style="62"/>
  </cols>
  <sheetData>
    <row r="1" spans="1:14" ht="22.5">
      <c r="A1" s="333" t="str">
        <f>'PyG 0'!A1</f>
        <v>Conta de Resultados, o de Perdas e Ganhos por meses</v>
      </c>
      <c r="E1" s="239"/>
      <c r="F1" s="239"/>
      <c r="I1" s="241" t="str">
        <f>Parametros!E$77</f>
        <v>Ano 3:  2029</v>
      </c>
      <c r="L1" s="418"/>
    </row>
    <row r="2" spans="1:14" s="419" customFormat="1" ht="22.5">
      <c r="A2" s="68" t="str">
        <f>'Dados Básicos'!B9</f>
        <v>WWW, S.L.</v>
      </c>
      <c r="C2" s="420"/>
      <c r="D2" s="285"/>
      <c r="N2" s="421"/>
    </row>
    <row r="3" spans="1:14" s="419" customFormat="1" ht="26.25" thickBot="1">
      <c r="A3" s="60"/>
      <c r="B3" s="2349">
        <v>1</v>
      </c>
      <c r="C3" s="2349">
        <v>2</v>
      </c>
      <c r="D3" s="2349">
        <v>3</v>
      </c>
      <c r="E3" s="2349">
        <v>4</v>
      </c>
      <c r="F3" s="2349">
        <v>5</v>
      </c>
      <c r="G3" s="2349">
        <v>6</v>
      </c>
      <c r="H3" s="2349">
        <v>7</v>
      </c>
      <c r="I3" s="2349">
        <v>8</v>
      </c>
      <c r="J3" s="2349">
        <v>9</v>
      </c>
      <c r="K3" s="2349">
        <v>10</v>
      </c>
      <c r="L3" s="2349">
        <v>11</v>
      </c>
      <c r="M3" s="2349">
        <v>12</v>
      </c>
      <c r="N3" s="421"/>
    </row>
    <row r="4" spans="1:14" s="422" customFormat="1" ht="21.75" customHeight="1" thickBot="1">
      <c r="A4" s="425" t="str">
        <f t="array" ref="A4:A7">'PPeGG anuais'!A4:A7</f>
        <v>Conceitos</v>
      </c>
      <c r="B4" s="426" t="str">
        <f t="array" ref="B4:M4">meses</f>
        <v>janeiro</v>
      </c>
      <c r="C4" s="426" t="str">
        <v>fevereiro</v>
      </c>
      <c r="D4" s="426" t="str">
        <v>março</v>
      </c>
      <c r="E4" s="426" t="str">
        <v>abril</v>
      </c>
      <c r="F4" s="426" t="str">
        <v>maio</v>
      </c>
      <c r="G4" s="426" t="str">
        <v>junho</v>
      </c>
      <c r="H4" s="426" t="str">
        <v>julho</v>
      </c>
      <c r="I4" s="426" t="str">
        <v>agosto</v>
      </c>
      <c r="J4" s="426" t="str">
        <v>setembro</v>
      </c>
      <c r="K4" s="426" t="str">
        <v>outubro</v>
      </c>
      <c r="L4" s="426" t="str">
        <v>novembro</v>
      </c>
      <c r="M4" s="426" t="str">
        <v>dezembro</v>
      </c>
      <c r="N4" s="426" t="s">
        <v>3</v>
      </c>
    </row>
    <row r="5" spans="1:14" s="421" customFormat="1" ht="16.149999999999999" customHeight="1">
      <c r="A5" s="427" t="str">
        <v>Ingresos de vendas</v>
      </c>
      <c r="B5" s="616">
        <f t="array" aca="1" ref="B5:M5" ca="1">'Prev.Vendas 3'!B25:M25</f>
        <v>1205.277881</v>
      </c>
      <c r="C5" s="616">
        <f ca="1"/>
        <v>1205.277881</v>
      </c>
      <c r="D5" s="616">
        <f ca="1"/>
        <v>1205.277881</v>
      </c>
      <c r="E5" s="616">
        <f ca="1"/>
        <v>1205.277881</v>
      </c>
      <c r="F5" s="616">
        <f ca="1"/>
        <v>1205.277881</v>
      </c>
      <c r="G5" s="616">
        <f ca="1"/>
        <v>1205.277881</v>
      </c>
      <c r="H5" s="616">
        <f ca="1"/>
        <v>1205.277881</v>
      </c>
      <c r="I5" s="616">
        <f ca="1"/>
        <v>1205.277881</v>
      </c>
      <c r="J5" s="616">
        <f ca="1"/>
        <v>1205.277881</v>
      </c>
      <c r="K5" s="616">
        <f ca="1"/>
        <v>1205.277881</v>
      </c>
      <c r="L5" s="616">
        <f ca="1"/>
        <v>1205.277881</v>
      </c>
      <c r="M5" s="616">
        <f ca="1"/>
        <v>1205.277881</v>
      </c>
      <c r="N5" s="617">
        <f ca="1">SUM(B5:M5)</f>
        <v>14463.334572</v>
      </c>
    </row>
    <row r="6" spans="1:14" s="421" customFormat="1" ht="16.149999999999999" customHeight="1">
      <c r="A6" s="1621" t="str">
        <v>Imputação de subvenções</v>
      </c>
      <c r="B6" s="620">
        <f>IF(B$3+36&gt;mes0+Parametros!$B$38*12-1,0,Finançamento!$C$19/Parametros!$B$38/12)
+IF(Parametros!$C$38&gt;3,Finançamento!$D$19/Parametros!$C$38/12,0)
+IF(Parametros!$D$38&gt;2,Finançamento!$E$19/Parametros!$D$38/12,0)
+Finançamento!$F$19/Parametros!$E$38/12
+Finançamento!$G$19/Parametros!$F$38/12</f>
        <v>0</v>
      </c>
      <c r="C6" s="620">
        <f>IF(C$3+36&gt;mes0+Parametros!$B$38*12-1,0,Finançamento!$C$19/Parametros!$B$38/12)
+IF(Parametros!$C$38&gt;3,Finançamento!$D$19/Parametros!$C$38/12,0)
+IF(Parametros!$D$38&gt;2,Finançamento!$E$19/Parametros!$D$38/12,0)
+Finançamento!$F$19/Parametros!$E$38/12
+Finançamento!$G$19/Parametros!$F$38/12</f>
        <v>0</v>
      </c>
      <c r="D6" s="620">
        <f>IF(D$3+36&gt;mes0+Parametros!$B$38*12-1,0,Finançamento!$C$19/Parametros!$B$38/12)
+IF(Parametros!$C$38&gt;3,Finançamento!$D$19/Parametros!$C$38/12,0)
+IF(Parametros!$D$38&gt;2,Finançamento!$E$19/Parametros!$D$38/12,0)
+Finançamento!$F$19/Parametros!$E$38/12
+Finançamento!$G$19/Parametros!$F$38/12</f>
        <v>0</v>
      </c>
      <c r="E6" s="620">
        <f>IF(E$3+36&gt;mes0+Parametros!$B$38*12-1,0,Finançamento!$C$19/Parametros!$B$38/12)
+IF(Parametros!$C$38&gt;3,Finançamento!$D$19/Parametros!$C$38/12,0)
+IF(Parametros!$D$38&gt;2,Finançamento!$E$19/Parametros!$D$38/12,0)
+Finançamento!$F$19/Parametros!$E$38/12
+Finançamento!$G$19/Parametros!$F$38/12</f>
        <v>0</v>
      </c>
      <c r="F6" s="620">
        <f>IF(F$3+36&gt;mes0+Parametros!$B$38*12-1,0,Finançamento!$C$19/Parametros!$B$38/12)
+IF(Parametros!$C$38&gt;3,Finançamento!$D$19/Parametros!$C$38/12,0)
+IF(Parametros!$D$38&gt;2,Finançamento!$E$19/Parametros!$D$38/12,0)
+Finançamento!$F$19/Parametros!$E$38/12
+Finançamento!$G$19/Parametros!$F$38/12</f>
        <v>0</v>
      </c>
      <c r="G6" s="620">
        <f>IF(G$3+36&gt;mes0+Parametros!$B$38*12-1,0,Finançamento!$C$19/Parametros!$B$38/12)
+IF(Parametros!$C$38&gt;3,Finançamento!$D$19/Parametros!$C$38/12,0)
+IF(Parametros!$D$38&gt;2,Finançamento!$E$19/Parametros!$D$38/12,0)
+Finançamento!$F$19/Parametros!$E$38/12
+Finançamento!$G$19/Parametros!$F$38/12</f>
        <v>0</v>
      </c>
      <c r="H6" s="620">
        <f>IF(H$3+36&gt;mes0+Parametros!$B$38*12-1,0,Finançamento!$C$19/Parametros!$B$38/12)
+IF(Parametros!$C$38&gt;3,Finançamento!$D$19/Parametros!$C$38/12,0)
+IF(Parametros!$D$38&gt;2,Finançamento!$E$19/Parametros!$D$38/12,0)
+Finançamento!$F$19/Parametros!$E$38/12
+Finançamento!$G$19/Parametros!$F$38/12</f>
        <v>0</v>
      </c>
      <c r="I6" s="620">
        <f>IF(I$3+36&gt;mes0+Parametros!$B$38*12-1,0,Finançamento!$C$19/Parametros!$B$38/12)
+IF(Parametros!$C$38&gt;3,Finançamento!$D$19/Parametros!$C$38/12,0)
+IF(Parametros!$D$38&gt;2,Finançamento!$E$19/Parametros!$D$38/12,0)
+Finançamento!$F$19/Parametros!$E$38/12
+Finançamento!$G$19/Parametros!$F$38/12</f>
        <v>0</v>
      </c>
      <c r="J6" s="620">
        <f>IF(J$3+36&gt;mes0+Parametros!$B$38*12-1,0,Finançamento!$C$19/Parametros!$B$38/12)
+IF(Parametros!$C$38&gt;3,Finançamento!$D$19/Parametros!$C$38/12,0)
+IF(Parametros!$D$38&gt;2,Finançamento!$E$19/Parametros!$D$38/12,0)
+Finançamento!$F$19/Parametros!$E$38/12
+Finançamento!$G$19/Parametros!$F$38/12</f>
        <v>0</v>
      </c>
      <c r="K6" s="620">
        <f>IF(K$3+36&gt;mes0+Parametros!$B$38*12-1,0,Finançamento!$C$19/Parametros!$B$38/12)
+IF(Parametros!$C$38&gt;3,Finançamento!$D$19/Parametros!$C$38/12,0)
+IF(Parametros!$D$38&gt;2,Finançamento!$E$19/Parametros!$D$38/12,0)
+Finançamento!$F$19/Parametros!$E$38/12
+Finançamento!$G$19/Parametros!$F$38/12</f>
        <v>0</v>
      </c>
      <c r="L6" s="620">
        <f>IF(L$3+36&gt;mes0+Parametros!$B$38*12-1,0,Finançamento!$C$19/Parametros!$B$38/12)
+IF(Parametros!$C$38&gt;3,Finançamento!$D$19/Parametros!$C$38/12,0)
+IF(Parametros!$D$38&gt;2,Finançamento!$E$19/Parametros!$D$38/12,0)
+Finançamento!$F$19/Parametros!$E$38/12
+Finançamento!$G$19/Parametros!$F$38/12</f>
        <v>0</v>
      </c>
      <c r="M6" s="620">
        <f>IF(M$3+36&gt;mes0+Parametros!$B$38*12-1,0,Finançamento!$C$19/Parametros!$B$38/12)
+IF(Parametros!$C$38&gt;3,Finançamento!$D$19/Parametros!$C$38/12,0)
+IF(Parametros!$D$38&gt;2,Finançamento!$E$19/Parametros!$D$38/12,0)
+Finançamento!$F$19/Parametros!$E$38/12
+Finançamento!$G$19/Parametros!$F$38/12</f>
        <v>0</v>
      </c>
      <c r="N6" s="619">
        <f>SUM(B6:M6)</f>
        <v>0</v>
      </c>
    </row>
    <row r="7" spans="1:14" s="421" customFormat="1" ht="16.149999999999999" customHeight="1">
      <c r="A7" s="1622" t="str">
        <v>Total Ingresos de Explotação</v>
      </c>
      <c r="B7" s="1623">
        <f t="array" aca="1" ref="B7:M7" ca="1">B5:M5+B6:M6</f>
        <v>1205.277881</v>
      </c>
      <c r="C7" s="1623">
        <f ca="1"/>
        <v>1205.277881</v>
      </c>
      <c r="D7" s="1623">
        <f ca="1"/>
        <v>1205.277881</v>
      </c>
      <c r="E7" s="1623">
        <f ca="1"/>
        <v>1205.277881</v>
      </c>
      <c r="F7" s="1623">
        <f ca="1"/>
        <v>1205.277881</v>
      </c>
      <c r="G7" s="1623">
        <f ca="1"/>
        <v>1205.277881</v>
      </c>
      <c r="H7" s="1623">
        <f ca="1"/>
        <v>1205.277881</v>
      </c>
      <c r="I7" s="1623">
        <f ca="1"/>
        <v>1205.277881</v>
      </c>
      <c r="J7" s="1623">
        <f ca="1"/>
        <v>1205.277881</v>
      </c>
      <c r="K7" s="1623">
        <f ca="1"/>
        <v>1205.277881</v>
      </c>
      <c r="L7" s="1623">
        <f ca="1"/>
        <v>1205.277881</v>
      </c>
      <c r="M7" s="1623">
        <f ca="1"/>
        <v>1205.277881</v>
      </c>
      <c r="N7" s="619">
        <f ca="1">SUM(B7:M7)</f>
        <v>14463.334572</v>
      </c>
    </row>
    <row r="8" spans="1:14" s="421" customFormat="1" ht="16.149999999999999" customHeight="1">
      <c r="A8" s="1621"/>
      <c r="B8" s="620"/>
      <c r="C8" s="620"/>
      <c r="D8" s="620"/>
      <c r="E8" s="620"/>
      <c r="F8" s="620"/>
      <c r="G8" s="620"/>
      <c r="H8" s="620"/>
      <c r="I8" s="620"/>
      <c r="J8" s="620"/>
      <c r="K8" s="620"/>
      <c r="L8" s="620"/>
      <c r="M8" s="620"/>
      <c r="N8" s="619"/>
    </row>
    <row r="9" spans="1:14" s="419" customFormat="1" ht="16.149999999999999" customHeight="1">
      <c r="A9" s="428" t="str">
        <f t="array" ref="A9:A11">'PPeGG anuais'!A9:A11</f>
        <v>Custos variáveis / Direitos</v>
      </c>
      <c r="B9" s="616">
        <f t="array" aca="1" ref="B9:M9" ca="1">'Distr CV 3'!B28:M28</f>
        <v>168.73890334000001</v>
      </c>
      <c r="C9" s="616">
        <f ca="1"/>
        <v>168.73890334000001</v>
      </c>
      <c r="D9" s="616">
        <f ca="1"/>
        <v>168.73890334000001</v>
      </c>
      <c r="E9" s="616">
        <f ca="1"/>
        <v>168.73890334000001</v>
      </c>
      <c r="F9" s="616">
        <f ca="1"/>
        <v>168.73890334000001</v>
      </c>
      <c r="G9" s="616">
        <f ca="1"/>
        <v>168.73890334000001</v>
      </c>
      <c r="H9" s="616">
        <f ca="1"/>
        <v>168.73890334000001</v>
      </c>
      <c r="I9" s="616">
        <f ca="1"/>
        <v>168.73890334000001</v>
      </c>
      <c r="J9" s="616">
        <f ca="1"/>
        <v>168.73890334000001</v>
      </c>
      <c r="K9" s="616">
        <f ca="1"/>
        <v>168.73890334000001</v>
      </c>
      <c r="L9" s="616">
        <f ca="1"/>
        <v>168.73890334000001</v>
      </c>
      <c r="M9" s="616">
        <f ca="1"/>
        <v>168.73890334000001</v>
      </c>
      <c r="N9" s="617">
        <f ca="1">SUM(B9:M9)</f>
        <v>2024.86684008</v>
      </c>
    </row>
    <row r="10" spans="1:14" s="419" customFormat="1" ht="16.149999999999999" customHeight="1">
      <c r="A10" s="428" t="str">
        <v>Pagamento em dúvida / Receitas falhidas</v>
      </c>
      <c r="B10" s="620">
        <f ca="1">-(1-recmorosos)*'Receitas e pagamentos 2'!B27</f>
        <v>0</v>
      </c>
      <c r="C10" s="620">
        <f ca="1">-(1-recmorosos)*'Receitas e pagamentos 2'!C27</f>
        <v>0</v>
      </c>
      <c r="D10" s="620">
        <f ca="1">-(1-recmorosos)*'Receitas e pagamentos 2'!D27</f>
        <v>0</v>
      </c>
      <c r="E10" s="620">
        <f ca="1">-(1-recmorosos)*'Receitas e pagamentos 2'!E27</f>
        <v>0</v>
      </c>
      <c r="F10" s="620">
        <f ca="1">-(1-recmorosos)*'Receitas e pagamentos 2'!F27</f>
        <v>0</v>
      </c>
      <c r="G10" s="620">
        <f ca="1">-(1-recmorosos)*'Receitas e pagamentos 2'!G27</f>
        <v>0</v>
      </c>
      <c r="H10" s="620">
        <f ca="1">-(1-recmorosos)*'Receitas e pagamentos 2'!H27</f>
        <v>0</v>
      </c>
      <c r="I10" s="620">
        <f ca="1">-(1-recmorosos)*'Receitas e pagamentos 2'!I27</f>
        <v>0</v>
      </c>
      <c r="J10" s="620">
        <f ca="1">-(1-recmorosos)*'Receitas e pagamentos 2'!J27</f>
        <v>0</v>
      </c>
      <c r="K10" s="620">
        <f ca="1">-(1-recmorosos)*'Receitas e pagamentos 2'!K27</f>
        <v>0</v>
      </c>
      <c r="L10" s="620">
        <f ca="1">-(1-recmorosos)*'Receitas e pagamentos 2'!L27</f>
        <v>0</v>
      </c>
      <c r="M10" s="620">
        <f ca="1">-(1-recmorosos)*'Receitas e pagamentos 2'!M27+'IVA 3'!O15</f>
        <v>0</v>
      </c>
      <c r="N10" s="619">
        <f ca="1">SUM(B10:M10)</f>
        <v>0</v>
      </c>
    </row>
    <row r="11" spans="1:14" s="419" customFormat="1" ht="16.149999999999999" customHeight="1">
      <c r="A11" s="1627" t="str">
        <v>Custos Direitos e Comerciais</v>
      </c>
      <c r="B11" s="1623">
        <f t="array" aca="1" ref="B11:M11" ca="1">B9:M9+B10:M10</f>
        <v>168.73890334000001</v>
      </c>
      <c r="C11" s="1623">
        <f ca="1"/>
        <v>168.73890334000001</v>
      </c>
      <c r="D11" s="1623">
        <f ca="1"/>
        <v>168.73890334000001</v>
      </c>
      <c r="E11" s="1623">
        <f ca="1"/>
        <v>168.73890334000001</v>
      </c>
      <c r="F11" s="1623">
        <f ca="1"/>
        <v>168.73890334000001</v>
      </c>
      <c r="G11" s="1623">
        <f ca="1"/>
        <v>168.73890334000001</v>
      </c>
      <c r="H11" s="1623">
        <f ca="1"/>
        <v>168.73890334000001</v>
      </c>
      <c r="I11" s="1623">
        <f ca="1"/>
        <v>168.73890334000001</v>
      </c>
      <c r="J11" s="1623">
        <f ca="1"/>
        <v>168.73890334000001</v>
      </c>
      <c r="K11" s="1623">
        <f ca="1"/>
        <v>168.73890334000001</v>
      </c>
      <c r="L11" s="1623">
        <f ca="1"/>
        <v>168.73890334000001</v>
      </c>
      <c r="M11" s="1623">
        <f ca="1"/>
        <v>168.73890334000001</v>
      </c>
      <c r="N11" s="619">
        <f ca="1">SUM(B11:M11)</f>
        <v>2024.86684008</v>
      </c>
    </row>
    <row r="12" spans="1:14" s="419" customFormat="1" ht="16.149999999999999" customHeight="1">
      <c r="A12" s="948"/>
      <c r="B12" s="620"/>
      <c r="C12" s="620"/>
      <c r="D12" s="620"/>
      <c r="E12" s="620"/>
      <c r="F12" s="620"/>
      <c r="G12" s="620"/>
      <c r="H12" s="620"/>
      <c r="I12" s="620"/>
      <c r="J12" s="620"/>
      <c r="K12" s="620"/>
      <c r="L12" s="620"/>
      <c r="M12" s="620"/>
      <c r="N12" s="619"/>
    </row>
    <row r="13" spans="1:14" s="421" customFormat="1" ht="16.149999999999999" customHeight="1">
      <c r="A13" s="429" t="str">
        <f>'PPeGG anuais'!A13</f>
        <v>Margem Bruto s/Vendas</v>
      </c>
      <c r="B13" s="615">
        <f t="array" aca="1" ref="B13:M13" ca="1">B7:M7-B11:M11</f>
        <v>1036.53897766</v>
      </c>
      <c r="C13" s="615">
        <f ca="1"/>
        <v>1036.53897766</v>
      </c>
      <c r="D13" s="615">
        <f ca="1"/>
        <v>1036.53897766</v>
      </c>
      <c r="E13" s="615">
        <f ca="1"/>
        <v>1036.53897766</v>
      </c>
      <c r="F13" s="615">
        <f ca="1"/>
        <v>1036.53897766</v>
      </c>
      <c r="G13" s="615">
        <f ca="1"/>
        <v>1036.53897766</v>
      </c>
      <c r="H13" s="615">
        <f ca="1"/>
        <v>1036.53897766</v>
      </c>
      <c r="I13" s="615">
        <f ca="1"/>
        <v>1036.53897766</v>
      </c>
      <c r="J13" s="615">
        <f ca="1"/>
        <v>1036.53897766</v>
      </c>
      <c r="K13" s="615">
        <f ca="1"/>
        <v>1036.53897766</v>
      </c>
      <c r="L13" s="615">
        <f ca="1"/>
        <v>1036.53897766</v>
      </c>
      <c r="M13" s="615">
        <f ca="1"/>
        <v>1036.53897766</v>
      </c>
      <c r="N13" s="617">
        <f ca="1">SUM(B13:M13)</f>
        <v>12438.467731920004</v>
      </c>
    </row>
    <row r="14" spans="1:14" s="421" customFormat="1" ht="16.149999999999999" customHeight="1">
      <c r="A14" s="429"/>
      <c r="B14" s="423"/>
      <c r="C14" s="423"/>
      <c r="D14" s="423"/>
      <c r="E14" s="423"/>
      <c r="F14" s="423"/>
      <c r="G14" s="423"/>
      <c r="H14" s="423"/>
      <c r="I14" s="423"/>
      <c r="J14" s="423"/>
      <c r="K14" s="423"/>
      <c r="L14" s="423"/>
      <c r="M14" s="423"/>
      <c r="N14" s="1631"/>
    </row>
    <row r="15" spans="1:14" s="419" customFormat="1" ht="16.149999999999999" customHeight="1">
      <c r="A15" s="948" t="str">
        <f t="array" ref="A15:A18">'PPeGG anuais'!A15:A18</f>
        <v>Despesas de Pessoal</v>
      </c>
      <c r="B15" s="616">
        <f t="array" ref="B15:M15" ca="1">'G.F. 3'!B27:M27-'G.F. 3'!B20:M20</f>
        <v>1349.8368</v>
      </c>
      <c r="C15" s="616">
        <f ca="1"/>
        <v>1349.8368</v>
      </c>
      <c r="D15" s="616">
        <f ca="1"/>
        <v>1349.8368</v>
      </c>
      <c r="E15" s="616">
        <f ca="1"/>
        <v>1349.8368</v>
      </c>
      <c r="F15" s="616">
        <f ca="1"/>
        <v>1349.8368</v>
      </c>
      <c r="G15" s="616">
        <f ca="1"/>
        <v>1349.8368</v>
      </c>
      <c r="H15" s="616">
        <f ca="1"/>
        <v>1349.8368</v>
      </c>
      <c r="I15" s="616">
        <f ca="1"/>
        <v>1349.8368</v>
      </c>
      <c r="J15" s="616">
        <f ca="1"/>
        <v>1349.8368</v>
      </c>
      <c r="K15" s="616">
        <f ca="1"/>
        <v>1349.8368</v>
      </c>
      <c r="L15" s="616">
        <f ca="1"/>
        <v>1349.8368</v>
      </c>
      <c r="M15" s="616">
        <f ca="1"/>
        <v>1349.8368</v>
      </c>
      <c r="N15" s="617">
        <f ca="1">SUM(B15:M15)</f>
        <v>16198.041600000004</v>
      </c>
    </row>
    <row r="16" spans="1:14" s="419" customFormat="1" ht="16.149999999999999" customHeight="1">
      <c r="A16" s="948" t="str">
        <v>Despesas de Seguridade Social</v>
      </c>
      <c r="B16" s="616">
        <f t="array" ref="B16:M16" ca="1">+'G.F. 3'!B20:M20</f>
        <v>264.5619375</v>
      </c>
      <c r="C16" s="616">
        <f ca="1"/>
        <v>264.5619375</v>
      </c>
      <c r="D16" s="616">
        <f ca="1"/>
        <v>264.5619375</v>
      </c>
      <c r="E16" s="616">
        <f ca="1"/>
        <v>286.25349673749997</v>
      </c>
      <c r="F16" s="616">
        <f ca="1"/>
        <v>286.25349673749997</v>
      </c>
      <c r="G16" s="616">
        <f ca="1"/>
        <v>286.25349673749997</v>
      </c>
      <c r="H16" s="616">
        <f ca="1"/>
        <v>286.25349673749997</v>
      </c>
      <c r="I16" s="616">
        <f ca="1"/>
        <v>286.25349673749997</v>
      </c>
      <c r="J16" s="616">
        <f ca="1"/>
        <v>286.25349673749997</v>
      </c>
      <c r="K16" s="616">
        <f ca="1"/>
        <v>286.25349673749997</v>
      </c>
      <c r="L16" s="616">
        <f ca="1"/>
        <v>286.25349673749997</v>
      </c>
      <c r="M16" s="616">
        <f ca="1"/>
        <v>286.25349673749997</v>
      </c>
      <c r="N16" s="617">
        <f ca="1">SUM(B16:M16)</f>
        <v>3369.9672831374996</v>
      </c>
    </row>
    <row r="17" spans="1:14" s="419" customFormat="1" ht="16.149999999999999" customHeight="1">
      <c r="A17" s="948" t="str">
        <v>Outros Gastos Fixos</v>
      </c>
      <c r="B17" s="616">
        <f t="array" aca="1" ref="B17:M17" ca="1">'G.F. 3'!B55:M55+'IVA 3'!C13:N13</f>
        <v>50.910788840000009</v>
      </c>
      <c r="C17" s="616">
        <f ca="1"/>
        <v>50.910788840000009</v>
      </c>
      <c r="D17" s="616">
        <f ca="1"/>
        <v>50.910788840000009</v>
      </c>
      <c r="E17" s="616">
        <f ca="1"/>
        <v>50.910788840000009</v>
      </c>
      <c r="F17" s="616">
        <f ca="1"/>
        <v>50.910788840000009</v>
      </c>
      <c r="G17" s="616">
        <f ca="1"/>
        <v>50.910788840000009</v>
      </c>
      <c r="H17" s="616">
        <f ca="1"/>
        <v>50.910788840000009</v>
      </c>
      <c r="I17" s="616">
        <f ca="1"/>
        <v>50.910788840000009</v>
      </c>
      <c r="J17" s="616">
        <f ca="1"/>
        <v>50.910788840000009</v>
      </c>
      <c r="K17" s="616">
        <f ca="1"/>
        <v>50.910788840000009</v>
      </c>
      <c r="L17" s="616">
        <f ca="1"/>
        <v>50.910788840000009</v>
      </c>
      <c r="M17" s="616">
        <f ca="1"/>
        <v>50.910788840000009</v>
      </c>
      <c r="N17" s="617">
        <f ca="1">SUM(B17:M17)</f>
        <v>610.92946608000011</v>
      </c>
    </row>
    <row r="18" spans="1:14" s="421" customFormat="1" ht="16.149999999999999" customHeight="1">
      <c r="A18" s="429" t="str">
        <v>Gastos Explotação</v>
      </c>
      <c r="B18" s="615">
        <f t="shared" ref="B18:M18" ca="1" si="0">SUM(B15:B17)</f>
        <v>1665.30952634</v>
      </c>
      <c r="C18" s="615">
        <f t="shared" ca="1" si="0"/>
        <v>1665.30952634</v>
      </c>
      <c r="D18" s="615">
        <f t="shared" ca="1" si="0"/>
        <v>1665.30952634</v>
      </c>
      <c r="E18" s="615">
        <f t="shared" ca="1" si="0"/>
        <v>1687.0010855774999</v>
      </c>
      <c r="F18" s="615">
        <f t="shared" ca="1" si="0"/>
        <v>1687.0010855774999</v>
      </c>
      <c r="G18" s="615">
        <f t="shared" ca="1" si="0"/>
        <v>1687.0010855774999</v>
      </c>
      <c r="H18" s="615">
        <f t="shared" ca="1" si="0"/>
        <v>1687.0010855774999</v>
      </c>
      <c r="I18" s="615">
        <f t="shared" ca="1" si="0"/>
        <v>1687.0010855774999</v>
      </c>
      <c r="J18" s="615">
        <f t="shared" ca="1" si="0"/>
        <v>1687.0010855774999</v>
      </c>
      <c r="K18" s="615">
        <f t="shared" ca="1" si="0"/>
        <v>1687.0010855774999</v>
      </c>
      <c r="L18" s="615">
        <f t="shared" ca="1" si="0"/>
        <v>1687.0010855774999</v>
      </c>
      <c r="M18" s="615">
        <f t="shared" ca="1" si="0"/>
        <v>1687.0010855774999</v>
      </c>
      <c r="N18" s="617">
        <f ca="1">SUM(B18:M18)</f>
        <v>20178.9383492175</v>
      </c>
    </row>
    <row r="19" spans="1:14" s="421" customFormat="1" ht="16.149999999999999" customHeight="1">
      <c r="A19" s="429"/>
      <c r="B19" s="423"/>
      <c r="C19" s="423"/>
      <c r="D19" s="423"/>
      <c r="E19" s="423"/>
      <c r="F19" s="423"/>
      <c r="G19" s="423"/>
      <c r="H19" s="423"/>
      <c r="I19" s="423"/>
      <c r="J19" s="423"/>
      <c r="K19" s="423"/>
      <c r="L19" s="423"/>
      <c r="M19" s="423"/>
      <c r="N19" s="1631"/>
    </row>
    <row r="20" spans="1:14" s="421" customFormat="1" ht="16.149999999999999" customHeight="1">
      <c r="A20" s="429" t="str">
        <f>'PPeGG anuais'!A20</f>
        <v>E.B.I.T.D.A.</v>
      </c>
      <c r="B20" s="423">
        <f t="array" ref="B20:M20" ca="1">B13:M13-B18:M18</f>
        <v>-628.77054868000005</v>
      </c>
      <c r="C20" s="423">
        <f ca="1"/>
        <v>-628.77054868000005</v>
      </c>
      <c r="D20" s="423">
        <f ca="1"/>
        <v>-628.77054868000005</v>
      </c>
      <c r="E20" s="423">
        <f ca="1"/>
        <v>-650.46210791749991</v>
      </c>
      <c r="F20" s="423">
        <f ca="1"/>
        <v>-650.46210791749991</v>
      </c>
      <c r="G20" s="423">
        <f ca="1"/>
        <v>-650.46210791749991</v>
      </c>
      <c r="H20" s="423">
        <f ca="1"/>
        <v>-650.46210791749991</v>
      </c>
      <c r="I20" s="423">
        <f ca="1"/>
        <v>-650.46210791749991</v>
      </c>
      <c r="J20" s="423">
        <f ca="1"/>
        <v>-650.46210791749991</v>
      </c>
      <c r="K20" s="423">
        <f ca="1"/>
        <v>-650.46210791749991</v>
      </c>
      <c r="L20" s="423">
        <f ca="1"/>
        <v>-650.46210791749991</v>
      </c>
      <c r="M20" s="423">
        <f ca="1"/>
        <v>-650.46210791749991</v>
      </c>
      <c r="N20" s="617">
        <f ca="1">SUM(B20:M20)</f>
        <v>-7740.4706172974966</v>
      </c>
    </row>
    <row r="21" spans="1:14" s="421" customFormat="1" ht="16.149999999999999" customHeight="1">
      <c r="A21" s="429"/>
      <c r="B21" s="423"/>
      <c r="C21" s="423"/>
      <c r="D21" s="423"/>
      <c r="E21" s="423"/>
      <c r="F21" s="423"/>
      <c r="G21" s="423"/>
      <c r="H21" s="423"/>
      <c r="I21" s="423"/>
      <c r="J21" s="423"/>
      <c r="K21" s="423"/>
      <c r="L21" s="423"/>
      <c r="M21" s="423"/>
      <c r="N21" s="1631"/>
    </row>
    <row r="22" spans="1:14" s="419" customFormat="1" ht="16.149999999999999" customHeight="1">
      <c r="A22" s="948" t="str">
        <f t="array" ref="A22:A23">'PPeGG anuais'!A22:A23</f>
        <v>Dotação Amortiçações</v>
      </c>
      <c r="B22" s="616">
        <f t="array" ref="B22:M22">Amortiçações!$G$41/12</f>
        <v>0</v>
      </c>
      <c r="C22" s="616">
        <v>0</v>
      </c>
      <c r="D22" s="616">
        <v>0</v>
      </c>
      <c r="E22" s="616">
        <v>0</v>
      </c>
      <c r="F22" s="616">
        <v>0</v>
      </c>
      <c r="G22" s="616">
        <v>0</v>
      </c>
      <c r="H22" s="616">
        <v>0</v>
      </c>
      <c r="I22" s="616">
        <v>0</v>
      </c>
      <c r="J22" s="616">
        <v>0</v>
      </c>
      <c r="K22" s="616">
        <v>0</v>
      </c>
      <c r="L22" s="616">
        <v>0</v>
      </c>
      <c r="M22" s="616">
        <v>0</v>
      </c>
      <c r="N22" s="617">
        <f>SUM(B22:M22)</f>
        <v>0</v>
      </c>
    </row>
    <row r="23" spans="1:14" s="421" customFormat="1" ht="16.149999999999999" customHeight="1">
      <c r="A23" s="429" t="str">
        <v>Res. antes Int. e Imp. (BAII / EBIT)</v>
      </c>
      <c r="B23" s="617">
        <f t="array" ref="B23:M23" ca="1">B20:M20-B22:M22</f>
        <v>-628.77054868000005</v>
      </c>
      <c r="C23" s="617">
        <f ca="1"/>
        <v>-628.77054868000005</v>
      </c>
      <c r="D23" s="617">
        <f ca="1"/>
        <v>-628.77054868000005</v>
      </c>
      <c r="E23" s="617">
        <f ca="1"/>
        <v>-650.46210791749991</v>
      </c>
      <c r="F23" s="617">
        <f ca="1"/>
        <v>-650.46210791749991</v>
      </c>
      <c r="G23" s="617">
        <f ca="1"/>
        <v>-650.46210791749991</v>
      </c>
      <c r="H23" s="617">
        <f ca="1"/>
        <v>-650.46210791749991</v>
      </c>
      <c r="I23" s="617">
        <f ca="1"/>
        <v>-650.46210791749991</v>
      </c>
      <c r="J23" s="617">
        <f ca="1"/>
        <v>-650.46210791749991</v>
      </c>
      <c r="K23" s="617">
        <f ca="1"/>
        <v>-650.46210791749991</v>
      </c>
      <c r="L23" s="617">
        <f ca="1"/>
        <v>-650.46210791749991</v>
      </c>
      <c r="M23" s="617">
        <f ca="1"/>
        <v>-650.46210791749991</v>
      </c>
      <c r="N23" s="617">
        <f ca="1">SUM(B23:M23)</f>
        <v>-7740.4706172974966</v>
      </c>
    </row>
    <row r="24" spans="1:14" s="421" customFormat="1" ht="16.149999999999999" customHeight="1">
      <c r="A24" s="429"/>
      <c r="B24" s="423"/>
      <c r="C24" s="423"/>
      <c r="D24" s="423"/>
      <c r="E24" s="423"/>
      <c r="F24" s="423"/>
      <c r="G24" s="423"/>
      <c r="H24" s="423"/>
      <c r="I24" s="423"/>
      <c r="J24" s="423"/>
      <c r="K24" s="423"/>
      <c r="L24" s="423"/>
      <c r="M24" s="423"/>
      <c r="N24" s="1631"/>
    </row>
    <row r="25" spans="1:14" s="419" customFormat="1" ht="16.149999999999999" customHeight="1">
      <c r="A25" s="948" t="str">
        <f t="array" ref="A25:A27">'PPeGG anuais'!A25:A27</f>
        <v>Ingresos Financeiros</v>
      </c>
      <c r="B25" s="618">
        <f t="array" ref="B25:M25" ca="1">'Despesas Financeiras'!C102:N102</f>
        <v>0</v>
      </c>
      <c r="C25" s="618">
        <f ca="1"/>
        <v>0</v>
      </c>
      <c r="D25" s="618">
        <f ca="1"/>
        <v>0</v>
      </c>
      <c r="E25" s="618">
        <f ca="1"/>
        <v>0</v>
      </c>
      <c r="F25" s="618">
        <f ca="1"/>
        <v>0</v>
      </c>
      <c r="G25" s="618">
        <f ca="1"/>
        <v>0</v>
      </c>
      <c r="H25" s="618">
        <f ca="1"/>
        <v>0</v>
      </c>
      <c r="I25" s="618">
        <f ca="1"/>
        <v>0</v>
      </c>
      <c r="J25" s="618">
        <f ca="1"/>
        <v>0</v>
      </c>
      <c r="K25" s="618">
        <f ca="1"/>
        <v>0</v>
      </c>
      <c r="L25" s="618">
        <f ca="1"/>
        <v>0</v>
      </c>
      <c r="M25" s="618">
        <f ca="1"/>
        <v>0</v>
      </c>
      <c r="N25" s="619">
        <f ca="1">SUM(B25:M25)</f>
        <v>0</v>
      </c>
    </row>
    <row r="26" spans="1:14" s="419" customFormat="1" ht="16.149999999999999" customHeight="1">
      <c r="A26" s="948" t="str">
        <v>Gastos Financeiros</v>
      </c>
      <c r="B26" s="618">
        <f t="array" ref="B26:M26" ca="1">'Despesas Financeiras'!C64:N64</f>
        <v>14.583862360099999</v>
      </c>
      <c r="C26" s="618">
        <f ca="1"/>
        <v>14.583862360099999</v>
      </c>
      <c r="D26" s="618">
        <f ca="1"/>
        <v>14.583862360099999</v>
      </c>
      <c r="E26" s="618">
        <f ca="1"/>
        <v>14.583862360099999</v>
      </c>
      <c r="F26" s="618">
        <f ca="1"/>
        <v>14.583862360099999</v>
      </c>
      <c r="G26" s="618">
        <f ca="1"/>
        <v>14.583862360099999</v>
      </c>
      <c r="H26" s="618">
        <f ca="1"/>
        <v>14.583862360099999</v>
      </c>
      <c r="I26" s="618">
        <f ca="1"/>
        <v>14.583862360099999</v>
      </c>
      <c r="J26" s="618">
        <f ca="1"/>
        <v>14.583862360099999</v>
      </c>
      <c r="K26" s="618">
        <f ca="1"/>
        <v>14.583862360099999</v>
      </c>
      <c r="L26" s="618">
        <f ca="1"/>
        <v>14.583862360099999</v>
      </c>
      <c r="M26" s="618">
        <f ca="1"/>
        <v>14.583862360099999</v>
      </c>
      <c r="N26" s="619">
        <f ca="1">SUM(B26:M26)</f>
        <v>175.00634832119999</v>
      </c>
    </row>
    <row r="27" spans="1:14" s="421" customFormat="1" ht="16.149999999999999" customHeight="1">
      <c r="A27" s="429" t="str">
        <v>Resultado Financiero</v>
      </c>
      <c r="B27" s="619">
        <f t="array" ref="B27:M27" ca="1">B25:M25-B26:M26</f>
        <v>-14.583862360099999</v>
      </c>
      <c r="C27" s="619">
        <f ca="1"/>
        <v>-14.583862360099999</v>
      </c>
      <c r="D27" s="619">
        <f ca="1"/>
        <v>-14.583862360099999</v>
      </c>
      <c r="E27" s="619">
        <f ca="1"/>
        <v>-14.583862360099999</v>
      </c>
      <c r="F27" s="619">
        <f ca="1"/>
        <v>-14.583862360099999</v>
      </c>
      <c r="G27" s="619">
        <f ca="1"/>
        <v>-14.583862360099999</v>
      </c>
      <c r="H27" s="619">
        <f ca="1"/>
        <v>-14.583862360099999</v>
      </c>
      <c r="I27" s="619">
        <f ca="1"/>
        <v>-14.583862360099999</v>
      </c>
      <c r="J27" s="619">
        <f ca="1"/>
        <v>-14.583862360099999</v>
      </c>
      <c r="K27" s="619">
        <f ca="1"/>
        <v>-14.583862360099999</v>
      </c>
      <c r="L27" s="619">
        <f ca="1"/>
        <v>-14.583862360099999</v>
      </c>
      <c r="M27" s="619">
        <f ca="1"/>
        <v>-14.583862360099999</v>
      </c>
      <c r="N27" s="619">
        <f ca="1">SUM(B27:M27)</f>
        <v>-175.00634832119999</v>
      </c>
    </row>
    <row r="28" spans="1:14" s="421" customFormat="1" ht="16.149999999999999" customHeight="1">
      <c r="A28" s="429"/>
      <c r="B28" s="423"/>
      <c r="C28" s="423"/>
      <c r="D28" s="423"/>
      <c r="E28" s="423"/>
      <c r="F28" s="423"/>
      <c r="G28" s="423"/>
      <c r="H28" s="423"/>
      <c r="I28" s="423"/>
      <c r="J28" s="423"/>
      <c r="K28" s="423"/>
      <c r="L28" s="423"/>
      <c r="M28" s="423"/>
      <c r="N28" s="1631"/>
    </row>
    <row r="29" spans="1:14" s="421" customFormat="1" ht="16.149999999999999" customHeight="1">
      <c r="A29" s="429" t="str">
        <f>'PPeGG anuais'!A29</f>
        <v>Resultado antes Impostos (B.A.I.)</v>
      </c>
      <c r="B29" s="619">
        <f t="array" ref="B29:M29" ca="1">B23:M23+B27:M27</f>
        <v>-643.3544110401001</v>
      </c>
      <c r="C29" s="619">
        <f ca="1"/>
        <v>-643.3544110401001</v>
      </c>
      <c r="D29" s="619">
        <f ca="1"/>
        <v>-643.3544110401001</v>
      </c>
      <c r="E29" s="619">
        <f ca="1"/>
        <v>-665.04597027759996</v>
      </c>
      <c r="F29" s="619">
        <f ca="1"/>
        <v>-665.04597027759996</v>
      </c>
      <c r="G29" s="619">
        <f ca="1"/>
        <v>-665.04597027759996</v>
      </c>
      <c r="H29" s="619">
        <f ca="1"/>
        <v>-665.04597027759996</v>
      </c>
      <c r="I29" s="619">
        <f ca="1"/>
        <v>-665.04597027759996</v>
      </c>
      <c r="J29" s="619">
        <f ca="1"/>
        <v>-665.04597027759996</v>
      </c>
      <c r="K29" s="619">
        <f ca="1"/>
        <v>-665.04597027759996</v>
      </c>
      <c r="L29" s="619">
        <f ca="1"/>
        <v>-665.04597027759996</v>
      </c>
      <c r="M29" s="619">
        <f ca="1"/>
        <v>-665.04597027759996</v>
      </c>
      <c r="N29" s="619">
        <f ca="1">SUM(B29:M29)</f>
        <v>-7915.4769656186982</v>
      </c>
    </row>
    <row r="30" spans="1:14" s="421" customFormat="1" ht="16.149999999999999" customHeight="1" thickBot="1">
      <c r="A30" s="429"/>
      <c r="B30" s="423"/>
      <c r="C30" s="423"/>
      <c r="D30" s="423"/>
      <c r="E30" s="423"/>
      <c r="F30" s="423"/>
      <c r="G30" s="423"/>
      <c r="H30" s="423"/>
      <c r="I30" s="423"/>
      <c r="J30" s="423"/>
      <c r="K30" s="423"/>
      <c r="L30" s="423"/>
      <c r="M30" s="423"/>
      <c r="N30" s="1631"/>
    </row>
    <row r="31" spans="1:14" s="424" customFormat="1" ht="21.75" customHeight="1" thickBot="1">
      <c r="A31" s="430" t="str">
        <f>'PyG 0'!A31</f>
        <v>Res. Acumulado Exercicio</v>
      </c>
      <c r="B31" s="621">
        <f ca="1">B29</f>
        <v>-643.3544110401001</v>
      </c>
      <c r="C31" s="621">
        <f t="shared" ref="C31:M31" ca="1" si="1">B31+C29</f>
        <v>-1286.7088220802002</v>
      </c>
      <c r="D31" s="621">
        <f t="shared" ca="1" si="1"/>
        <v>-1930.0632331203003</v>
      </c>
      <c r="E31" s="621">
        <f t="shared" ca="1" si="1"/>
        <v>-2595.1092033979003</v>
      </c>
      <c r="F31" s="621">
        <f t="shared" ca="1" si="1"/>
        <v>-3260.1551736755</v>
      </c>
      <c r="G31" s="621">
        <f t="shared" ca="1" si="1"/>
        <v>-3925.2011439530997</v>
      </c>
      <c r="H31" s="621">
        <f t="shared" ca="1" si="1"/>
        <v>-4590.2471142306995</v>
      </c>
      <c r="I31" s="621">
        <f t="shared" ca="1" si="1"/>
        <v>-5255.2930845082992</v>
      </c>
      <c r="J31" s="621">
        <f t="shared" ca="1" si="1"/>
        <v>-5920.339054785899</v>
      </c>
      <c r="K31" s="621">
        <f t="shared" ca="1" si="1"/>
        <v>-6585.3850250634987</v>
      </c>
      <c r="L31" s="621">
        <f t="shared" ca="1" si="1"/>
        <v>-7250.4309953410984</v>
      </c>
      <c r="M31" s="621">
        <f t="shared" ca="1" si="1"/>
        <v>-7915.4769656186982</v>
      </c>
      <c r="N31" s="431"/>
    </row>
    <row r="32" spans="1:14" s="419" customFormat="1" ht="10.5">
      <c r="N32" s="421"/>
    </row>
    <row r="33" spans="12:14" s="419" customFormat="1">
      <c r="L33" s="62"/>
      <c r="M33" s="62"/>
      <c r="N33" s="239"/>
    </row>
  </sheetData>
  <sheetProtection sheet="1" objects="1" scenarios="1"/>
  <phoneticPr fontId="4"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4">
    <tabColor indexed="61"/>
    <pageSetUpPr fitToPage="1"/>
  </sheetPr>
  <dimension ref="A1:N33"/>
  <sheetViews>
    <sheetView workbookViewId="0"/>
  </sheetViews>
  <sheetFormatPr baseColWidth="10" defaultColWidth="11" defaultRowHeight="12.75"/>
  <cols>
    <col min="1" max="1" width="30" style="62" customWidth="1"/>
    <col min="2" max="13" width="10.875" style="62" customWidth="1"/>
    <col min="14" max="14" width="12.25" style="239" customWidth="1"/>
    <col min="15" max="16384" width="11" style="62"/>
  </cols>
  <sheetData>
    <row r="1" spans="1:14" ht="22.5">
      <c r="A1" s="333" t="str">
        <f>'PyG 0'!A1</f>
        <v>Conta de Resultados, o de Perdas e Ganhos por meses</v>
      </c>
      <c r="E1" s="239"/>
      <c r="F1" s="239"/>
      <c r="I1" s="241" t="str">
        <f>Parametros!F$77</f>
        <v>Ano 4:  2030</v>
      </c>
      <c r="L1" s="418"/>
    </row>
    <row r="2" spans="1:14" s="419" customFormat="1" ht="22.5">
      <c r="A2" s="68" t="str">
        <f>'Dados Básicos'!B9</f>
        <v>WWW, S.L.</v>
      </c>
      <c r="C2" s="420"/>
      <c r="D2" s="285"/>
      <c r="N2" s="421"/>
    </row>
    <row r="3" spans="1:14" s="419" customFormat="1" ht="26.25" thickBot="1">
      <c r="A3" s="60"/>
      <c r="B3" s="2349">
        <v>1</v>
      </c>
      <c r="C3" s="2349">
        <v>2</v>
      </c>
      <c r="D3" s="2349">
        <v>3</v>
      </c>
      <c r="E3" s="2349">
        <v>4</v>
      </c>
      <c r="F3" s="2349">
        <v>5</v>
      </c>
      <c r="G3" s="2349">
        <v>6</v>
      </c>
      <c r="H3" s="2349">
        <v>7</v>
      </c>
      <c r="I3" s="2349">
        <v>8</v>
      </c>
      <c r="J3" s="2349">
        <v>9</v>
      </c>
      <c r="K3" s="2349">
        <v>10</v>
      </c>
      <c r="L3" s="2349">
        <v>11</v>
      </c>
      <c r="M3" s="2349">
        <v>12</v>
      </c>
      <c r="N3" s="421"/>
    </row>
    <row r="4" spans="1:14" s="422" customFormat="1" ht="21.75" customHeight="1" thickBot="1">
      <c r="A4" s="425" t="str">
        <f t="array" ref="A4:A7">'PPeGG anuais'!A4:A7</f>
        <v>Conceitos</v>
      </c>
      <c r="B4" s="426" t="str">
        <f t="array" ref="B4:M4">meses</f>
        <v>janeiro</v>
      </c>
      <c r="C4" s="426" t="str">
        <v>fevereiro</v>
      </c>
      <c r="D4" s="426" t="str">
        <v>março</v>
      </c>
      <c r="E4" s="426" t="str">
        <v>abril</v>
      </c>
      <c r="F4" s="426" t="str">
        <v>maio</v>
      </c>
      <c r="G4" s="426" t="str">
        <v>junho</v>
      </c>
      <c r="H4" s="426" t="str">
        <v>julho</v>
      </c>
      <c r="I4" s="426" t="str">
        <v>agosto</v>
      </c>
      <c r="J4" s="426" t="str">
        <v>setembro</v>
      </c>
      <c r="K4" s="426" t="str">
        <v>outubro</v>
      </c>
      <c r="L4" s="426" t="str">
        <v>novembro</v>
      </c>
      <c r="M4" s="426" t="str">
        <v>dezembro</v>
      </c>
      <c r="N4" s="426" t="s">
        <v>3</v>
      </c>
    </row>
    <row r="5" spans="1:14" s="421" customFormat="1" ht="16.149999999999999" customHeight="1">
      <c r="A5" s="427" t="str">
        <v>Ingresos de vendas</v>
      </c>
      <c r="B5" s="616">
        <f t="array" aca="1" ref="B5:M5" ca="1">'Prev.Vendas 4'!B25:M25</f>
        <v>1303.3392019800001</v>
      </c>
      <c r="C5" s="616">
        <f ca="1"/>
        <v>1303.3392019800001</v>
      </c>
      <c r="D5" s="616">
        <f ca="1"/>
        <v>1303.3392019800001</v>
      </c>
      <c r="E5" s="616">
        <f ca="1"/>
        <v>1303.3392019800001</v>
      </c>
      <c r="F5" s="616">
        <f ca="1"/>
        <v>1303.3392019800001</v>
      </c>
      <c r="G5" s="616">
        <f ca="1"/>
        <v>1303.3392019800001</v>
      </c>
      <c r="H5" s="616">
        <f ca="1"/>
        <v>1303.3392019800001</v>
      </c>
      <c r="I5" s="616">
        <f ca="1"/>
        <v>1303.3392019800001</v>
      </c>
      <c r="J5" s="616">
        <f ca="1"/>
        <v>1303.3392019800001</v>
      </c>
      <c r="K5" s="616">
        <f ca="1"/>
        <v>1303.3392019800001</v>
      </c>
      <c r="L5" s="616">
        <f ca="1"/>
        <v>1303.3392019800001</v>
      </c>
      <c r="M5" s="616">
        <f ca="1"/>
        <v>1303.3392019800001</v>
      </c>
      <c r="N5" s="617">
        <f ca="1">SUM(B5:M5)</f>
        <v>15640.070423759998</v>
      </c>
    </row>
    <row r="6" spans="1:14" s="421" customFormat="1" ht="16.149999999999999" customHeight="1">
      <c r="A6" s="1621" t="str">
        <v>Imputação de subvenções</v>
      </c>
      <c r="B6" s="620">
        <f>IF(B$3+48&gt;mes0+Parametros!$B$38*12-1,0,Finançamento!$C$19/Parametros!$B$38/12)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C6" s="620">
        <f>IF(C$3+48&gt;mes0+Parametros!$B$38*12-1,0,Finançamento!$C$19/Parametros!$B$38/12)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D6" s="620">
        <f>IF(D$3+48&gt;mes0+Parametros!$B$38*12-1,0,Finançamento!$C$19/Parametros!$B$38/12)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E6" s="620">
        <f>IF(E$3+48&gt;mes0+Parametros!$B$38*12-1,0,Finançamento!$C$19/Parametros!$B$38/12)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F6" s="620">
        <f>IF(F$3+48&gt;mes0+Parametros!$B$38*12-1,0,Finançamento!$C$19/Parametros!$B$38/12)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G6" s="620">
        <f>IF(G$3+48&gt;mes0+Parametros!$B$38*12-1,0,Finançamento!$C$19/Parametros!$B$38/12)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H6" s="620">
        <f>IF(H$3+48&gt;mes0+Parametros!$B$38*12-1,0,Finançamento!$C$19/Parametros!$B$38/12)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I6" s="620">
        <f>IF(I$3+48&gt;mes0+Parametros!$B$38*12-1,0,Finançamento!$C$19/Parametros!$B$38/12)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J6" s="620">
        <f>IF(J$3+48&gt;mes0+Parametros!$B$38*12-1,0,Finançamento!$C$19/Parametros!$B$38/12)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K6" s="620">
        <f>IF(K$3+48&gt;mes0+Parametros!$B$38*12-1,0,Finançamento!$C$19/Parametros!$B$38/12)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L6" s="620">
        <f>IF(L$3+48&gt;mes0+Parametros!$B$38*12-1,0,Finançamento!$C$19/Parametros!$B$38/12)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M6" s="620">
        <f>IF(M$3+48&gt;mes0+Parametros!$B$38*12-1,0,Finançamento!$C$19/Parametros!$B$38/12)
+IF(Parametros!$C$38&gt;4,Finançamento!$D$19/Parametros!$C$38/12,0)
+IF(Parametros!$D$38&gt;3,Finançamento!$E$19/Parametros!$D$38/12,0)
+IF(Parametros!$E$38&gt;2,Finançamento!$F$19/Parametros!$E$38/12,0)
+Finançamento!$G$19/Parametros!$F$38/12
+Finançamento!$H$19/Parametros!$G$38/12</f>
        <v>0</v>
      </c>
      <c r="N6" s="619">
        <f>SUM(B6:M6)</f>
        <v>0</v>
      </c>
    </row>
    <row r="7" spans="1:14" s="421" customFormat="1" ht="16.149999999999999" customHeight="1">
      <c r="A7" s="1622" t="str">
        <v>Total Ingresos de Explotação</v>
      </c>
      <c r="B7" s="1623">
        <f t="array" aca="1" ref="B7:M7" ca="1">B5:M5+B6:M6</f>
        <v>1303.3392019800001</v>
      </c>
      <c r="C7" s="1623">
        <f ca="1"/>
        <v>1303.3392019800001</v>
      </c>
      <c r="D7" s="1623">
        <f ca="1"/>
        <v>1303.3392019800001</v>
      </c>
      <c r="E7" s="1623">
        <f ca="1"/>
        <v>1303.3392019800001</v>
      </c>
      <c r="F7" s="1623">
        <f ca="1"/>
        <v>1303.3392019800001</v>
      </c>
      <c r="G7" s="1623">
        <f ca="1"/>
        <v>1303.3392019800001</v>
      </c>
      <c r="H7" s="1623">
        <f ca="1"/>
        <v>1303.3392019800001</v>
      </c>
      <c r="I7" s="1623">
        <f ca="1"/>
        <v>1303.3392019800001</v>
      </c>
      <c r="J7" s="1623">
        <f ca="1"/>
        <v>1303.3392019800001</v>
      </c>
      <c r="K7" s="1623">
        <f ca="1"/>
        <v>1303.3392019800001</v>
      </c>
      <c r="L7" s="1623">
        <f ca="1"/>
        <v>1303.3392019800001</v>
      </c>
      <c r="M7" s="1623">
        <f ca="1"/>
        <v>1303.3392019800001</v>
      </c>
      <c r="N7" s="619">
        <f ca="1">SUM(B7:M7)</f>
        <v>15640.070423759998</v>
      </c>
    </row>
    <row r="8" spans="1:14" s="421" customFormat="1" ht="16.149999999999999" customHeight="1">
      <c r="A8" s="1621"/>
      <c r="B8" s="620"/>
      <c r="C8" s="620"/>
      <c r="D8" s="620"/>
      <c r="E8" s="620"/>
      <c r="F8" s="620"/>
      <c r="G8" s="620"/>
      <c r="H8" s="620"/>
      <c r="I8" s="620"/>
      <c r="J8" s="620"/>
      <c r="K8" s="620"/>
      <c r="L8" s="620"/>
      <c r="M8" s="620"/>
      <c r="N8" s="619"/>
    </row>
    <row r="9" spans="1:14" s="419" customFormat="1" ht="16.149999999999999" customHeight="1">
      <c r="A9" s="428" t="str">
        <f t="array" ref="A9:A11">'PPeGG anuais'!A9:A11</f>
        <v>Custos variáveis / Direitos</v>
      </c>
      <c r="B9" s="616">
        <f t="array" aca="1" ref="B9:M9" ca="1">'Distr CV 4'!B28:M28</f>
        <v>182.4674882772</v>
      </c>
      <c r="C9" s="616">
        <f ca="1"/>
        <v>182.4674882772</v>
      </c>
      <c r="D9" s="616">
        <f ca="1"/>
        <v>182.4674882772</v>
      </c>
      <c r="E9" s="616">
        <f ca="1"/>
        <v>182.4674882772</v>
      </c>
      <c r="F9" s="616">
        <f ca="1"/>
        <v>182.4674882772</v>
      </c>
      <c r="G9" s="616">
        <f ca="1"/>
        <v>182.4674882772</v>
      </c>
      <c r="H9" s="616">
        <f ca="1"/>
        <v>182.4674882772</v>
      </c>
      <c r="I9" s="616">
        <f ca="1"/>
        <v>182.4674882772</v>
      </c>
      <c r="J9" s="616">
        <f ca="1"/>
        <v>182.4674882772</v>
      </c>
      <c r="K9" s="616">
        <f ca="1"/>
        <v>182.4674882772</v>
      </c>
      <c r="L9" s="616">
        <f ca="1"/>
        <v>182.4674882772</v>
      </c>
      <c r="M9" s="616">
        <f ca="1"/>
        <v>182.4674882772</v>
      </c>
      <c r="N9" s="617">
        <f ca="1">SUM(B9:M9)</f>
        <v>2189.6098593264005</v>
      </c>
    </row>
    <row r="10" spans="1:14" s="419" customFormat="1" ht="16.149999999999999" customHeight="1">
      <c r="A10" s="428" t="str">
        <v>Pagamento em dúvida / Receitas falhidas</v>
      </c>
      <c r="B10" s="620">
        <f ca="1">-(1-recmorosos)*'Receitas e pagamentos 3'!B27</f>
        <v>0</v>
      </c>
      <c r="C10" s="620">
        <f ca="1">-(1-recmorosos)*'Receitas e pagamentos 3'!C27</f>
        <v>0</v>
      </c>
      <c r="D10" s="620">
        <f ca="1">-(1-recmorosos)*'Receitas e pagamentos 3'!D27</f>
        <v>0</v>
      </c>
      <c r="E10" s="620">
        <f ca="1">-(1-recmorosos)*'Receitas e pagamentos 3'!E27</f>
        <v>0</v>
      </c>
      <c r="F10" s="620">
        <f ca="1">-(1-recmorosos)*'Receitas e pagamentos 3'!F27</f>
        <v>0</v>
      </c>
      <c r="G10" s="620">
        <f ca="1">-(1-recmorosos)*'Receitas e pagamentos 3'!G27</f>
        <v>0</v>
      </c>
      <c r="H10" s="620">
        <f ca="1">-(1-recmorosos)*'Receitas e pagamentos 3'!H27</f>
        <v>0</v>
      </c>
      <c r="I10" s="620">
        <f ca="1">-(1-recmorosos)*'Receitas e pagamentos 3'!I27</f>
        <v>0</v>
      </c>
      <c r="J10" s="620">
        <f ca="1">-(1-recmorosos)*'Receitas e pagamentos 3'!J27</f>
        <v>0</v>
      </c>
      <c r="K10" s="620">
        <f ca="1">-(1-recmorosos)*'Receitas e pagamentos 3'!K27</f>
        <v>0</v>
      </c>
      <c r="L10" s="620">
        <f ca="1">-(1-recmorosos)*'Receitas e pagamentos 3'!L27</f>
        <v>0</v>
      </c>
      <c r="M10" s="620">
        <f ca="1">-(1-recmorosos)*'Receitas e pagamentos 3'!M27+'IVA 4'!O15</f>
        <v>0</v>
      </c>
      <c r="N10" s="619">
        <f ca="1">SUM(B10:M10)</f>
        <v>0</v>
      </c>
    </row>
    <row r="11" spans="1:14" s="419" customFormat="1" ht="16.149999999999999" customHeight="1">
      <c r="A11" s="1627" t="str">
        <v>Custos Direitos e Comerciais</v>
      </c>
      <c r="B11" s="1623">
        <f t="array" aca="1" ref="B11:M11" ca="1">B9:M9+B10:M10</f>
        <v>182.4674882772</v>
      </c>
      <c r="C11" s="1623">
        <f ca="1"/>
        <v>182.4674882772</v>
      </c>
      <c r="D11" s="1623">
        <f ca="1"/>
        <v>182.4674882772</v>
      </c>
      <c r="E11" s="1623">
        <f ca="1"/>
        <v>182.4674882772</v>
      </c>
      <c r="F11" s="1623">
        <f ca="1"/>
        <v>182.4674882772</v>
      </c>
      <c r="G11" s="1623">
        <f ca="1"/>
        <v>182.4674882772</v>
      </c>
      <c r="H11" s="1623">
        <f ca="1"/>
        <v>182.4674882772</v>
      </c>
      <c r="I11" s="1623">
        <f ca="1"/>
        <v>182.4674882772</v>
      </c>
      <c r="J11" s="1623">
        <f ca="1"/>
        <v>182.4674882772</v>
      </c>
      <c r="K11" s="1623">
        <f ca="1"/>
        <v>182.4674882772</v>
      </c>
      <c r="L11" s="1623">
        <f ca="1"/>
        <v>182.4674882772</v>
      </c>
      <c r="M11" s="1623">
        <f ca="1"/>
        <v>182.4674882772</v>
      </c>
      <c r="N11" s="619">
        <f ca="1">SUM(B11:M11)</f>
        <v>2189.6098593264005</v>
      </c>
    </row>
    <row r="12" spans="1:14" s="419" customFormat="1" ht="16.149999999999999" customHeight="1">
      <c r="A12" s="948"/>
      <c r="B12" s="620"/>
      <c r="C12" s="620"/>
      <c r="D12" s="620"/>
      <c r="E12" s="620"/>
      <c r="F12" s="620"/>
      <c r="G12" s="620"/>
      <c r="H12" s="620"/>
      <c r="I12" s="620"/>
      <c r="J12" s="620"/>
      <c r="K12" s="620"/>
      <c r="L12" s="620"/>
      <c r="M12" s="620"/>
      <c r="N12" s="619"/>
    </row>
    <row r="13" spans="1:14" s="421" customFormat="1" ht="16.149999999999999" customHeight="1">
      <c r="A13" s="429" t="str">
        <f>'PPeGG anuais'!A13</f>
        <v>Margem Bruto s/Vendas</v>
      </c>
      <c r="B13" s="615">
        <f t="array" aca="1" ref="B13:M13" ca="1">B7:M7-B11:M11</f>
        <v>1120.8717137028002</v>
      </c>
      <c r="C13" s="615">
        <f ca="1"/>
        <v>1120.8717137028002</v>
      </c>
      <c r="D13" s="615">
        <f ca="1"/>
        <v>1120.8717137028002</v>
      </c>
      <c r="E13" s="615">
        <f ca="1"/>
        <v>1120.8717137028002</v>
      </c>
      <c r="F13" s="615">
        <f ca="1"/>
        <v>1120.8717137028002</v>
      </c>
      <c r="G13" s="615">
        <f ca="1"/>
        <v>1120.8717137028002</v>
      </c>
      <c r="H13" s="615">
        <f ca="1"/>
        <v>1120.8717137028002</v>
      </c>
      <c r="I13" s="615">
        <f ca="1"/>
        <v>1120.8717137028002</v>
      </c>
      <c r="J13" s="615">
        <f ca="1"/>
        <v>1120.8717137028002</v>
      </c>
      <c r="K13" s="615">
        <f ca="1"/>
        <v>1120.8717137028002</v>
      </c>
      <c r="L13" s="615">
        <f ca="1"/>
        <v>1120.8717137028002</v>
      </c>
      <c r="M13" s="615">
        <f ca="1"/>
        <v>1120.8717137028002</v>
      </c>
      <c r="N13" s="617">
        <f ca="1">SUM(B13:M13)</f>
        <v>13450.460564433599</v>
      </c>
    </row>
    <row r="14" spans="1:14" s="421" customFormat="1" ht="16.149999999999999" customHeight="1">
      <c r="A14" s="429"/>
      <c r="B14" s="423"/>
      <c r="C14" s="423"/>
      <c r="D14" s="423"/>
      <c r="E14" s="423"/>
      <c r="F14" s="423"/>
      <c r="G14" s="423"/>
      <c r="H14" s="423"/>
      <c r="I14" s="423"/>
      <c r="J14" s="423"/>
      <c r="K14" s="423"/>
      <c r="L14" s="423"/>
      <c r="M14" s="423"/>
      <c r="N14" s="1631"/>
    </row>
    <row r="15" spans="1:14" s="419" customFormat="1" ht="16.149999999999999" customHeight="1">
      <c r="A15" s="948" t="str">
        <f t="array" ref="A15:A18">'PPeGG anuais'!A15:A18</f>
        <v>Despesas de Pessoal</v>
      </c>
      <c r="B15" s="616">
        <f t="array" ref="B15:M15" ca="1">'G.F. 4'!B27:M27-'G.F. 4'!B20:M20</f>
        <v>1403.8302720000002</v>
      </c>
      <c r="C15" s="616">
        <f ca="1"/>
        <v>1403.8302720000002</v>
      </c>
      <c r="D15" s="616">
        <f ca="1"/>
        <v>1403.8302720000002</v>
      </c>
      <c r="E15" s="616">
        <f ca="1"/>
        <v>1403.8302720000002</v>
      </c>
      <c r="F15" s="616">
        <f ca="1"/>
        <v>1403.8302720000002</v>
      </c>
      <c r="G15" s="616">
        <f ca="1"/>
        <v>1403.8302720000002</v>
      </c>
      <c r="H15" s="616">
        <f ca="1"/>
        <v>1403.8302720000002</v>
      </c>
      <c r="I15" s="616">
        <f ca="1"/>
        <v>1403.8302720000002</v>
      </c>
      <c r="J15" s="616">
        <f ca="1"/>
        <v>1403.8302720000002</v>
      </c>
      <c r="K15" s="616">
        <f ca="1"/>
        <v>1403.8302720000002</v>
      </c>
      <c r="L15" s="616">
        <f ca="1"/>
        <v>1403.8302720000002</v>
      </c>
      <c r="M15" s="616">
        <f ca="1"/>
        <v>1403.8302720000002</v>
      </c>
      <c r="N15" s="617">
        <f ca="1">SUM(B15:M15)</f>
        <v>16845.963263999998</v>
      </c>
    </row>
    <row r="16" spans="1:14" s="419" customFormat="1" ht="16.149999999999999" customHeight="1">
      <c r="A16" s="948" t="str">
        <v>Despesas de Seguridade Social</v>
      </c>
      <c r="B16" s="616">
        <f t="array" ref="B16:M16" ca="1">+'G.F. 4'!B20:M20</f>
        <v>286.25349673749997</v>
      </c>
      <c r="C16" s="616">
        <f ca="1"/>
        <v>286.25349673749997</v>
      </c>
      <c r="D16" s="616">
        <f ca="1"/>
        <v>286.25349673749997</v>
      </c>
      <c r="E16" s="616">
        <f ca="1"/>
        <v>309.54306047025</v>
      </c>
      <c r="F16" s="616">
        <f ca="1"/>
        <v>309.54306047025</v>
      </c>
      <c r="G16" s="616">
        <f ca="1"/>
        <v>309.54306047025</v>
      </c>
      <c r="H16" s="616">
        <f ca="1"/>
        <v>309.54306047025</v>
      </c>
      <c r="I16" s="616">
        <f ca="1"/>
        <v>309.54306047025</v>
      </c>
      <c r="J16" s="616">
        <f ca="1"/>
        <v>309.54306047025</v>
      </c>
      <c r="K16" s="616">
        <f ca="1"/>
        <v>309.54306047025</v>
      </c>
      <c r="L16" s="616">
        <f ca="1"/>
        <v>309.54306047025</v>
      </c>
      <c r="M16" s="616">
        <f ca="1"/>
        <v>309.54306047025</v>
      </c>
      <c r="N16" s="617">
        <f ca="1">SUM(B16:M16)</f>
        <v>3644.6480344447509</v>
      </c>
    </row>
    <row r="17" spans="1:14" s="419" customFormat="1" ht="16.149999999999999" customHeight="1">
      <c r="A17" s="948" t="str">
        <v>Outros Gastos Fixos</v>
      </c>
      <c r="B17" s="616">
        <f t="array" aca="1" ref="B17:M17" ca="1">'G.F. 4'!B55:M55+'IVA 4'!C13:N13</f>
        <v>54.941228623199997</v>
      </c>
      <c r="C17" s="616">
        <f ca="1"/>
        <v>54.941228623199997</v>
      </c>
      <c r="D17" s="616">
        <f ca="1"/>
        <v>54.941228623199997</v>
      </c>
      <c r="E17" s="616">
        <f ca="1"/>
        <v>54.941228623199997</v>
      </c>
      <c r="F17" s="616">
        <f ca="1"/>
        <v>54.941228623199997</v>
      </c>
      <c r="G17" s="616">
        <f ca="1"/>
        <v>54.941228623199997</v>
      </c>
      <c r="H17" s="616">
        <f ca="1"/>
        <v>54.941228623199997</v>
      </c>
      <c r="I17" s="616">
        <f ca="1"/>
        <v>54.941228623199997</v>
      </c>
      <c r="J17" s="616">
        <f ca="1"/>
        <v>54.941228623199997</v>
      </c>
      <c r="K17" s="616">
        <f ca="1"/>
        <v>54.941228623199997</v>
      </c>
      <c r="L17" s="616">
        <f ca="1"/>
        <v>54.941228623199997</v>
      </c>
      <c r="M17" s="616">
        <f ca="1"/>
        <v>54.941228623199997</v>
      </c>
      <c r="N17" s="617">
        <f ca="1">SUM(B17:M17)</f>
        <v>659.29474347839994</v>
      </c>
    </row>
    <row r="18" spans="1:14" s="421" customFormat="1" ht="16.149999999999999" customHeight="1">
      <c r="A18" s="429" t="str">
        <v>Gastos Explotação</v>
      </c>
      <c r="B18" s="615">
        <f t="shared" ref="B18:M18" ca="1" si="0">SUM(B15:B17)</f>
        <v>1745.0249973607001</v>
      </c>
      <c r="C18" s="615">
        <f t="shared" ca="1" si="0"/>
        <v>1745.0249973607001</v>
      </c>
      <c r="D18" s="615">
        <f t="shared" ca="1" si="0"/>
        <v>1745.0249973607001</v>
      </c>
      <c r="E18" s="615">
        <f t="shared" ca="1" si="0"/>
        <v>1768.3145610934503</v>
      </c>
      <c r="F18" s="615">
        <f t="shared" ca="1" si="0"/>
        <v>1768.3145610934503</v>
      </c>
      <c r="G18" s="615">
        <f t="shared" ca="1" si="0"/>
        <v>1768.3145610934503</v>
      </c>
      <c r="H18" s="615">
        <f t="shared" ca="1" si="0"/>
        <v>1768.3145610934503</v>
      </c>
      <c r="I18" s="615">
        <f t="shared" ca="1" si="0"/>
        <v>1768.3145610934503</v>
      </c>
      <c r="J18" s="615">
        <f t="shared" ca="1" si="0"/>
        <v>1768.3145610934503</v>
      </c>
      <c r="K18" s="615">
        <f t="shared" ca="1" si="0"/>
        <v>1768.3145610934503</v>
      </c>
      <c r="L18" s="615">
        <f t="shared" ca="1" si="0"/>
        <v>1768.3145610934503</v>
      </c>
      <c r="M18" s="615">
        <f t="shared" ca="1" si="0"/>
        <v>1768.3145610934503</v>
      </c>
      <c r="N18" s="617">
        <f ca="1">SUM(B18:M18)</f>
        <v>21149.906041923154</v>
      </c>
    </row>
    <row r="19" spans="1:14" s="421" customFormat="1" ht="16.149999999999999" customHeight="1">
      <c r="A19" s="429"/>
      <c r="B19" s="423"/>
      <c r="C19" s="423"/>
      <c r="D19" s="423"/>
      <c r="E19" s="423"/>
      <c r="F19" s="423"/>
      <c r="G19" s="423"/>
      <c r="H19" s="423"/>
      <c r="I19" s="423"/>
      <c r="J19" s="423"/>
      <c r="K19" s="423"/>
      <c r="L19" s="423"/>
      <c r="M19" s="423"/>
      <c r="N19" s="1631"/>
    </row>
    <row r="20" spans="1:14" s="421" customFormat="1" ht="16.149999999999999" customHeight="1">
      <c r="A20" s="429" t="str">
        <f>'PPeGG anuais'!A20</f>
        <v>E.B.I.T.D.A.</v>
      </c>
      <c r="B20" s="423">
        <f t="array" ref="B20:M20" ca="1">B13:M13-B18:M18</f>
        <v>-624.15328365789992</v>
      </c>
      <c r="C20" s="423">
        <f ca="1"/>
        <v>-624.15328365789992</v>
      </c>
      <c r="D20" s="423">
        <f ca="1"/>
        <v>-624.15328365789992</v>
      </c>
      <c r="E20" s="423">
        <f ca="1"/>
        <v>-647.44284739065006</v>
      </c>
      <c r="F20" s="423">
        <f ca="1"/>
        <v>-647.44284739065006</v>
      </c>
      <c r="G20" s="423">
        <f ca="1"/>
        <v>-647.44284739065006</v>
      </c>
      <c r="H20" s="423">
        <f ca="1"/>
        <v>-647.44284739065006</v>
      </c>
      <c r="I20" s="423">
        <f ca="1"/>
        <v>-647.44284739065006</v>
      </c>
      <c r="J20" s="423">
        <f ca="1"/>
        <v>-647.44284739065006</v>
      </c>
      <c r="K20" s="423">
        <f ca="1"/>
        <v>-647.44284739065006</v>
      </c>
      <c r="L20" s="423">
        <f ca="1"/>
        <v>-647.44284739065006</v>
      </c>
      <c r="M20" s="423">
        <f ca="1"/>
        <v>-647.44284739065006</v>
      </c>
      <c r="N20" s="617">
        <f ca="1">SUM(B20:M20)</f>
        <v>-7699.4454774895503</v>
      </c>
    </row>
    <row r="21" spans="1:14" s="421" customFormat="1" ht="16.149999999999999" customHeight="1">
      <c r="A21" s="429"/>
      <c r="B21" s="423"/>
      <c r="C21" s="423"/>
      <c r="D21" s="423"/>
      <c r="E21" s="423"/>
      <c r="F21" s="423"/>
      <c r="G21" s="423"/>
      <c r="H21" s="423"/>
      <c r="I21" s="423"/>
      <c r="J21" s="423"/>
      <c r="K21" s="423"/>
      <c r="L21" s="423"/>
      <c r="M21" s="423"/>
      <c r="N21" s="1631"/>
    </row>
    <row r="22" spans="1:14" s="419" customFormat="1" ht="16.149999999999999" customHeight="1">
      <c r="A22" s="948" t="str">
        <f t="array" ref="A22:A23">'PPeGG anuais'!A22:A23</f>
        <v>Dotação Amortiçações</v>
      </c>
      <c r="B22" s="616">
        <f t="array" ref="B22:M22">Amortiçações!$H$41/12</f>
        <v>0</v>
      </c>
      <c r="C22" s="616">
        <v>0</v>
      </c>
      <c r="D22" s="616">
        <v>0</v>
      </c>
      <c r="E22" s="616">
        <v>0</v>
      </c>
      <c r="F22" s="616">
        <v>0</v>
      </c>
      <c r="G22" s="616">
        <v>0</v>
      </c>
      <c r="H22" s="616">
        <v>0</v>
      </c>
      <c r="I22" s="616">
        <v>0</v>
      </c>
      <c r="J22" s="616">
        <v>0</v>
      </c>
      <c r="K22" s="616">
        <v>0</v>
      </c>
      <c r="L22" s="616">
        <v>0</v>
      </c>
      <c r="M22" s="616">
        <v>0</v>
      </c>
      <c r="N22" s="617">
        <f>SUM(B22:M22)</f>
        <v>0</v>
      </c>
    </row>
    <row r="23" spans="1:14" s="421" customFormat="1" ht="16.149999999999999" customHeight="1">
      <c r="A23" s="429" t="str">
        <v>Res. antes Int. e Imp. (BAII / EBIT)</v>
      </c>
      <c r="B23" s="617">
        <f t="array" ref="B23:M23" ca="1">B20:M20-B22:M22</f>
        <v>-624.15328365789992</v>
      </c>
      <c r="C23" s="617">
        <f ca="1"/>
        <v>-624.15328365789992</v>
      </c>
      <c r="D23" s="617">
        <f ca="1"/>
        <v>-624.15328365789992</v>
      </c>
      <c r="E23" s="617">
        <f ca="1"/>
        <v>-647.44284739065006</v>
      </c>
      <c r="F23" s="617">
        <f ca="1"/>
        <v>-647.44284739065006</v>
      </c>
      <c r="G23" s="617">
        <f ca="1"/>
        <v>-647.44284739065006</v>
      </c>
      <c r="H23" s="617">
        <f ca="1"/>
        <v>-647.44284739065006</v>
      </c>
      <c r="I23" s="617">
        <f ca="1"/>
        <v>-647.44284739065006</v>
      </c>
      <c r="J23" s="617">
        <f ca="1"/>
        <v>-647.44284739065006</v>
      </c>
      <c r="K23" s="617">
        <f ca="1"/>
        <v>-647.44284739065006</v>
      </c>
      <c r="L23" s="617">
        <f ca="1"/>
        <v>-647.44284739065006</v>
      </c>
      <c r="M23" s="617">
        <f ca="1"/>
        <v>-647.44284739065006</v>
      </c>
      <c r="N23" s="617">
        <f ca="1">SUM(B23:M23)</f>
        <v>-7699.4454774895503</v>
      </c>
    </row>
    <row r="24" spans="1:14" s="421" customFormat="1" ht="16.149999999999999" customHeight="1">
      <c r="A24" s="429"/>
      <c r="B24" s="423"/>
      <c r="C24" s="423"/>
      <c r="D24" s="423"/>
      <c r="E24" s="423"/>
      <c r="F24" s="423"/>
      <c r="G24" s="423"/>
      <c r="H24" s="423"/>
      <c r="I24" s="423"/>
      <c r="J24" s="423"/>
      <c r="K24" s="423"/>
      <c r="L24" s="423"/>
      <c r="M24" s="423"/>
      <c r="N24" s="1631"/>
    </row>
    <row r="25" spans="1:14" s="419" customFormat="1" ht="16.149999999999999" customHeight="1">
      <c r="A25" s="948" t="str">
        <f t="array" ref="A25:A27">'PPeGG anuais'!A25:A27</f>
        <v>Ingresos Financeiros</v>
      </c>
      <c r="B25" s="618">
        <f t="array" ref="B25:M25" ca="1">'Despesas Financeiras'!C107:N107</f>
        <v>0</v>
      </c>
      <c r="C25" s="618">
        <f ca="1"/>
        <v>0</v>
      </c>
      <c r="D25" s="618">
        <f ca="1"/>
        <v>0</v>
      </c>
      <c r="E25" s="618">
        <f ca="1"/>
        <v>0</v>
      </c>
      <c r="F25" s="618">
        <f ca="1"/>
        <v>0</v>
      </c>
      <c r="G25" s="618">
        <f ca="1"/>
        <v>0</v>
      </c>
      <c r="H25" s="618">
        <f ca="1"/>
        <v>0</v>
      </c>
      <c r="I25" s="618">
        <f ca="1"/>
        <v>0</v>
      </c>
      <c r="J25" s="618">
        <f ca="1"/>
        <v>0</v>
      </c>
      <c r="K25" s="618">
        <f ca="1"/>
        <v>0</v>
      </c>
      <c r="L25" s="618">
        <f ca="1"/>
        <v>0</v>
      </c>
      <c r="M25" s="618">
        <f ca="1"/>
        <v>0</v>
      </c>
      <c r="N25" s="619">
        <f ca="1">SUM(B25:M25)</f>
        <v>0</v>
      </c>
    </row>
    <row r="26" spans="1:14" s="419" customFormat="1" ht="16.149999999999999" customHeight="1">
      <c r="A26" s="948" t="str">
        <v>Gastos Financeiros</v>
      </c>
      <c r="B26" s="618">
        <f t="array" ref="B26:M26" ca="1">'Despesas Financeiras'!C79:N79</f>
        <v>15.770404343958001</v>
      </c>
      <c r="C26" s="618">
        <f ca="1"/>
        <v>15.770404343958001</v>
      </c>
      <c r="D26" s="618">
        <f ca="1"/>
        <v>15.770404343958001</v>
      </c>
      <c r="E26" s="618">
        <f ca="1"/>
        <v>15.770404343958001</v>
      </c>
      <c r="F26" s="618">
        <f ca="1"/>
        <v>15.770404343958001</v>
      </c>
      <c r="G26" s="618">
        <f ca="1"/>
        <v>15.770404343958001</v>
      </c>
      <c r="H26" s="618">
        <f ca="1"/>
        <v>15.770404343958001</v>
      </c>
      <c r="I26" s="618">
        <f ca="1"/>
        <v>15.770404343958001</v>
      </c>
      <c r="J26" s="618">
        <f ca="1"/>
        <v>15.770404343958001</v>
      </c>
      <c r="K26" s="618">
        <f ca="1"/>
        <v>15.770404343958001</v>
      </c>
      <c r="L26" s="618">
        <f ca="1"/>
        <v>15.770404343958001</v>
      </c>
      <c r="M26" s="618">
        <f ca="1"/>
        <v>15.770404343958001</v>
      </c>
      <c r="N26" s="619">
        <f ca="1">SUM(B26:M26)</f>
        <v>189.24485212749605</v>
      </c>
    </row>
    <row r="27" spans="1:14" s="421" customFormat="1" ht="16.149999999999999" customHeight="1">
      <c r="A27" s="429" t="str">
        <v>Resultado Financiero</v>
      </c>
      <c r="B27" s="619">
        <f t="array" ref="B27:M27" ca="1">B25:M25-B26:M26</f>
        <v>-15.770404343958001</v>
      </c>
      <c r="C27" s="619">
        <f ca="1"/>
        <v>-15.770404343958001</v>
      </c>
      <c r="D27" s="619">
        <f ca="1"/>
        <v>-15.770404343958001</v>
      </c>
      <c r="E27" s="619">
        <f ca="1"/>
        <v>-15.770404343958001</v>
      </c>
      <c r="F27" s="619">
        <f ca="1"/>
        <v>-15.770404343958001</v>
      </c>
      <c r="G27" s="619">
        <f ca="1"/>
        <v>-15.770404343958001</v>
      </c>
      <c r="H27" s="619">
        <f ca="1"/>
        <v>-15.770404343958001</v>
      </c>
      <c r="I27" s="619">
        <f ca="1"/>
        <v>-15.770404343958001</v>
      </c>
      <c r="J27" s="619">
        <f ca="1"/>
        <v>-15.770404343958001</v>
      </c>
      <c r="K27" s="619">
        <f ca="1"/>
        <v>-15.770404343958001</v>
      </c>
      <c r="L27" s="619">
        <f ca="1"/>
        <v>-15.770404343958001</v>
      </c>
      <c r="M27" s="619">
        <f ca="1"/>
        <v>-15.770404343958001</v>
      </c>
      <c r="N27" s="619">
        <f ca="1">SUM(B27:M27)</f>
        <v>-189.24485212749605</v>
      </c>
    </row>
    <row r="28" spans="1:14" s="421" customFormat="1" ht="16.149999999999999" customHeight="1">
      <c r="A28" s="429"/>
      <c r="B28" s="423"/>
      <c r="C28" s="423"/>
      <c r="D28" s="423"/>
      <c r="E28" s="423"/>
      <c r="F28" s="423"/>
      <c r="G28" s="423"/>
      <c r="H28" s="423"/>
      <c r="I28" s="423"/>
      <c r="J28" s="423"/>
      <c r="K28" s="423"/>
      <c r="L28" s="423"/>
      <c r="M28" s="423"/>
      <c r="N28" s="1631"/>
    </row>
    <row r="29" spans="1:14" s="421" customFormat="1" ht="16.149999999999999" customHeight="1">
      <c r="A29" s="429" t="str">
        <f>'PPeGG anuais'!A29</f>
        <v>Resultado antes Impostos (B.A.I.)</v>
      </c>
      <c r="B29" s="619">
        <f t="array" ref="B29:M29" ca="1">B23:M23+B27:M27</f>
        <v>-639.92368800185795</v>
      </c>
      <c r="C29" s="619">
        <f ca="1"/>
        <v>-639.92368800185795</v>
      </c>
      <c r="D29" s="619">
        <f ca="1"/>
        <v>-639.92368800185795</v>
      </c>
      <c r="E29" s="619">
        <f ca="1"/>
        <v>-663.21325173460809</v>
      </c>
      <c r="F29" s="619">
        <f ca="1"/>
        <v>-663.21325173460809</v>
      </c>
      <c r="G29" s="619">
        <f ca="1"/>
        <v>-663.21325173460809</v>
      </c>
      <c r="H29" s="619">
        <f ca="1"/>
        <v>-663.21325173460809</v>
      </c>
      <c r="I29" s="619">
        <f ca="1"/>
        <v>-663.21325173460809</v>
      </c>
      <c r="J29" s="619">
        <f ca="1"/>
        <v>-663.21325173460809</v>
      </c>
      <c r="K29" s="619">
        <f ca="1"/>
        <v>-663.21325173460809</v>
      </c>
      <c r="L29" s="619">
        <f ca="1"/>
        <v>-663.21325173460809</v>
      </c>
      <c r="M29" s="619">
        <f ca="1"/>
        <v>-663.21325173460809</v>
      </c>
      <c r="N29" s="619">
        <f ca="1">SUM(B29:M29)</f>
        <v>-7888.6903296170467</v>
      </c>
    </row>
    <row r="30" spans="1:14" s="421" customFormat="1" ht="16.149999999999999" customHeight="1" thickBot="1">
      <c r="A30" s="429"/>
      <c r="B30" s="423"/>
      <c r="C30" s="423"/>
      <c r="D30" s="423"/>
      <c r="E30" s="423"/>
      <c r="F30" s="423"/>
      <c r="G30" s="423"/>
      <c r="H30" s="423"/>
      <c r="I30" s="423"/>
      <c r="J30" s="423"/>
      <c r="K30" s="423"/>
      <c r="L30" s="423"/>
      <c r="M30" s="423"/>
      <c r="N30" s="1631"/>
    </row>
    <row r="31" spans="1:14" s="424" customFormat="1" ht="21.75" customHeight="1" thickBot="1">
      <c r="A31" s="430" t="str">
        <f>'PyG 0'!A31</f>
        <v>Res. Acumulado Exercicio</v>
      </c>
      <c r="B31" s="621">
        <f ca="1">B29</f>
        <v>-639.92368800185795</v>
      </c>
      <c r="C31" s="621">
        <f t="shared" ref="C31:M31" ca="1" si="1">B31+C29</f>
        <v>-1279.8473760037159</v>
      </c>
      <c r="D31" s="621">
        <f t="shared" ca="1" si="1"/>
        <v>-1919.7710640055739</v>
      </c>
      <c r="E31" s="621">
        <f t="shared" ca="1" si="1"/>
        <v>-2582.984315740182</v>
      </c>
      <c r="F31" s="621">
        <f t="shared" ca="1" si="1"/>
        <v>-3246.19756747479</v>
      </c>
      <c r="G31" s="621">
        <f t="shared" ca="1" si="1"/>
        <v>-3909.4108192093981</v>
      </c>
      <c r="H31" s="621">
        <f t="shared" ca="1" si="1"/>
        <v>-4572.6240709440062</v>
      </c>
      <c r="I31" s="621">
        <f t="shared" ca="1" si="1"/>
        <v>-5235.8373226786143</v>
      </c>
      <c r="J31" s="621">
        <f t="shared" ca="1" si="1"/>
        <v>-5899.0505744132224</v>
      </c>
      <c r="K31" s="621">
        <f t="shared" ca="1" si="1"/>
        <v>-6562.2638261478305</v>
      </c>
      <c r="L31" s="621">
        <f t="shared" ca="1" si="1"/>
        <v>-7225.4770778824386</v>
      </c>
      <c r="M31" s="621">
        <f t="shared" ca="1" si="1"/>
        <v>-7888.6903296170467</v>
      </c>
      <c r="N31" s="431"/>
    </row>
    <row r="32" spans="1:14" s="419" customFormat="1" ht="10.5">
      <c r="N32" s="421"/>
    </row>
    <row r="33" spans="12:14" s="419" customFormat="1">
      <c r="L33" s="62"/>
      <c r="M33" s="62"/>
      <c r="N33" s="239"/>
    </row>
  </sheetData>
  <sheetProtection sheet="1" objects="1" scenarios="1"/>
  <phoneticPr fontId="4"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8">
    <tabColor indexed="44"/>
    <pageSetUpPr fitToPage="1"/>
  </sheetPr>
  <dimension ref="A1:N109"/>
  <sheetViews>
    <sheetView workbookViewId="0"/>
  </sheetViews>
  <sheetFormatPr baseColWidth="10" defaultColWidth="11" defaultRowHeight="18"/>
  <cols>
    <col min="1" max="1" width="25.75" style="646" customWidth="1"/>
    <col min="2" max="2" width="13.125" style="717" customWidth="1"/>
    <col min="3" max="3" width="11.375" style="717" customWidth="1"/>
    <col min="4" max="4" width="9.75" style="717" customWidth="1"/>
    <col min="5" max="5" width="11.5" style="717" customWidth="1"/>
    <col min="6" max="6" width="10.75" style="717" customWidth="1"/>
    <col min="7" max="7" width="11.25" style="717" customWidth="1"/>
    <col min="8" max="8" width="11.125" style="717" customWidth="1"/>
    <col min="9" max="12" width="10.125" style="717" customWidth="1"/>
    <col min="13" max="13" width="10.25" style="717" customWidth="1"/>
    <col min="14" max="14" width="8" style="717" bestFit="1" customWidth="1"/>
    <col min="15" max="16384" width="11" style="694"/>
  </cols>
  <sheetData>
    <row r="1" spans="1:13" ht="25.5">
      <c r="A1" s="417" t="s">
        <v>426</v>
      </c>
      <c r="J1" s="18" t="s">
        <v>427</v>
      </c>
    </row>
    <row r="2" spans="1:13" ht="22.5">
      <c r="A2" s="417" t="str">
        <f>'Dados Básicos'!B9</f>
        <v>WWW, S.L.</v>
      </c>
      <c r="J2" s="2450" t="s">
        <v>592</v>
      </c>
    </row>
    <row r="3" spans="1:13">
      <c r="G3" s="694"/>
      <c r="H3" s="694"/>
    </row>
    <row r="4" spans="1:13" ht="18.75" thickBot="1">
      <c r="E4" s="264"/>
      <c r="F4" s="719"/>
      <c r="G4" s="719"/>
    </row>
    <row r="5" spans="1:13" ht="15.75" thickBot="1">
      <c r="A5" s="741" t="s">
        <v>428</v>
      </c>
      <c r="B5" s="738"/>
      <c r="C5" s="737"/>
      <c r="E5" s="740" t="s">
        <v>429</v>
      </c>
      <c r="F5" s="734"/>
      <c r="G5" s="735"/>
      <c r="H5" s="736"/>
    </row>
    <row r="6" spans="1:13" ht="20.25" customHeight="1" thickBot="1">
      <c r="A6" s="1553"/>
      <c r="B6" s="1554" t="s">
        <v>430</v>
      </c>
      <c r="C6" s="1555">
        <v>0</v>
      </c>
      <c r="E6" s="720"/>
      <c r="F6" s="721"/>
      <c r="G6" s="732" t="s">
        <v>432</v>
      </c>
      <c r="H6" s="1373">
        <v>0</v>
      </c>
      <c r="I6" s="1832">
        <f ca="1">(H6-H6*H7/2)+RAND()*H6*H7</f>
        <v>0</v>
      </c>
      <c r="L6" s="2066" t="s">
        <v>283</v>
      </c>
    </row>
    <row r="7" spans="1:13" ht="21" customHeight="1" thickBot="1">
      <c r="A7" s="1556"/>
      <c r="B7" s="1557" t="s">
        <v>431</v>
      </c>
      <c r="C7" s="1558">
        <v>0</v>
      </c>
      <c r="E7" s="720"/>
      <c r="F7" s="721"/>
      <c r="G7" s="732" t="s">
        <v>433</v>
      </c>
      <c r="H7" s="1373">
        <v>0</v>
      </c>
      <c r="I7" s="694"/>
      <c r="L7" s="2042" t="s">
        <v>281</v>
      </c>
      <c r="M7" s="2042" t="s">
        <v>282</v>
      </c>
    </row>
    <row r="8" spans="1:13" ht="21.75" customHeight="1" thickBot="1">
      <c r="E8" s="722"/>
      <c r="F8" s="723"/>
      <c r="G8" s="733" t="s">
        <v>434</v>
      </c>
      <c r="H8" s="1384">
        <v>0.5</v>
      </c>
      <c r="I8" s="1832">
        <f ca="1">(H8+H8*H7/2)+RAND()*H8*H7</f>
        <v>0.5</v>
      </c>
      <c r="L8" s="2043" t="s">
        <v>37</v>
      </c>
      <c r="M8" s="2044" t="s">
        <v>278</v>
      </c>
    </row>
    <row r="9" spans="1:13" ht="21.75" customHeight="1" thickBot="1">
      <c r="A9" s="1498"/>
      <c r="B9" s="1499" t="s">
        <v>435</v>
      </c>
      <c r="C9" s="1611">
        <v>1000</v>
      </c>
      <c r="L9" s="2043" t="s">
        <v>276</v>
      </c>
      <c r="M9" s="2044" t="s">
        <v>277</v>
      </c>
    </row>
    <row r="10" spans="1:13" ht="18.75" thickBot="1">
      <c r="L10" s="2043" t="s">
        <v>327</v>
      </c>
      <c r="M10" s="2044" t="s">
        <v>279</v>
      </c>
    </row>
    <row r="11" spans="1:13" ht="21" customHeight="1" thickBot="1">
      <c r="A11" s="1498"/>
      <c r="B11" s="1499" t="s">
        <v>439</v>
      </c>
      <c r="C11" s="1521">
        <v>0.04</v>
      </c>
      <c r="E11" s="767"/>
      <c r="F11" s="2832" t="s">
        <v>436</v>
      </c>
      <c r="G11" s="1516" t="s">
        <v>37</v>
      </c>
      <c r="H11" s="3" t="str">
        <f>VLOOKUP(Moneda,$L$8:$M$14,2,0)</f>
        <v>€</v>
      </c>
      <c r="L11" s="2043" t="s">
        <v>326</v>
      </c>
      <c r="M11" s="2044" t="s">
        <v>280</v>
      </c>
    </row>
    <row r="12" spans="1:13" ht="18.75" thickBot="1">
      <c r="F12" s="756" t="s">
        <v>36</v>
      </c>
      <c r="G12" s="756"/>
      <c r="H12" s="756"/>
      <c r="L12" s="2043" t="s">
        <v>316</v>
      </c>
      <c r="M12" s="2044" t="s">
        <v>317</v>
      </c>
    </row>
    <row r="13" spans="1:13" ht="19.5" thickBot="1">
      <c r="A13" s="2451" t="s">
        <v>284</v>
      </c>
      <c r="B13" s="2452" t="s">
        <v>285</v>
      </c>
      <c r="C13" s="816" t="s">
        <v>437</v>
      </c>
      <c r="E13" s="2037" t="str">
        <f>IF(finTemporada&lt;=inicioTemporada,"ERROR EN MESES DE TEMPORADA","")</f>
        <v/>
      </c>
      <c r="F13" s="757" t="s">
        <v>33</v>
      </c>
      <c r="G13" s="758">
        <v>166.386</v>
      </c>
      <c r="H13" s="759" t="s">
        <v>32</v>
      </c>
      <c r="L13" s="2043" t="s">
        <v>340</v>
      </c>
      <c r="M13" s="2542" t="s">
        <v>341</v>
      </c>
    </row>
    <row r="14" spans="1:13" ht="18.75" thickBot="1">
      <c r="A14" s="2036" t="s">
        <v>438</v>
      </c>
      <c r="B14" s="2034">
        <v>1</v>
      </c>
      <c r="C14" s="2035">
        <v>12</v>
      </c>
      <c r="D14" s="694"/>
      <c r="E14" s="2940"/>
      <c r="F14" s="2941"/>
      <c r="G14" s="2942" t="s">
        <v>1176</v>
      </c>
      <c r="H14" s="2943">
        <v>0.01</v>
      </c>
      <c r="L14" s="2043" t="s">
        <v>329</v>
      </c>
      <c r="M14" s="2542" t="s">
        <v>330</v>
      </c>
    </row>
    <row r="15" spans="1:13" ht="18.75" thickBot="1">
      <c r="A15" s="2039"/>
      <c r="B15" s="2040" t="str">
        <f>INDEX($B$61:$B$72,inicioTemporada)</f>
        <v>janeiro</v>
      </c>
      <c r="C15" s="2041" t="str">
        <f>INDEX($B$61:$B$72,finTemporada)</f>
        <v>dezembro</v>
      </c>
      <c r="D15" s="694"/>
      <c r="E15" s="2037"/>
      <c r="L15" s="694"/>
      <c r="M15" s="694"/>
    </row>
    <row r="16" spans="1:13">
      <c r="A16" s="2037"/>
      <c r="B16" s="2037"/>
      <c r="C16" s="2037"/>
      <c r="D16" s="2037"/>
      <c r="E16" s="2037"/>
      <c r="L16" s="694"/>
      <c r="M16" s="694"/>
    </row>
    <row r="17" spans="1:6" ht="30" hidden="1">
      <c r="A17" s="2751" t="s">
        <v>337</v>
      </c>
      <c r="B17" s="2752" t="str">
        <f t="array" ref="B17:F17">anni</f>
        <v>Ano 0:  2026</v>
      </c>
      <c r="C17" s="2752" t="str">
        <v>Ano 1:  2027</v>
      </c>
      <c r="D17" s="2753" t="str">
        <v>Ano 2:  2028</v>
      </c>
      <c r="E17" s="2752" t="str">
        <v>Ano 3:  2029</v>
      </c>
      <c r="F17" s="2754" t="str">
        <v>Ano 4:  2030</v>
      </c>
    </row>
    <row r="18" spans="1:6" ht="25.5" hidden="1" customHeight="1" thickBot="1">
      <c r="A18" s="1497" t="s">
        <v>143</v>
      </c>
      <c r="B18" s="1432"/>
      <c r="C18" s="1433">
        <v>0.04</v>
      </c>
      <c r="D18" s="1434">
        <f>C18</f>
        <v>0.04</v>
      </c>
      <c r="E18" s="1433">
        <f>D18</f>
        <v>0.04</v>
      </c>
      <c r="F18" s="1435">
        <f>E18</f>
        <v>0.04</v>
      </c>
    </row>
    <row r="19" spans="1:6" ht="18.75" thickBot="1"/>
    <row r="20" spans="1:6" ht="20.25" customHeight="1" thickBot="1">
      <c r="A20" s="3305" t="s">
        <v>440</v>
      </c>
      <c r="B20" s="3306"/>
      <c r="C20" s="3306"/>
      <c r="D20" s="3307"/>
      <c r="E20" s="1521">
        <v>0</v>
      </c>
    </row>
    <row r="21" spans="1:6" ht="18.75" thickBot="1"/>
    <row r="22" spans="1:6" ht="30" customHeight="1" thickBot="1">
      <c r="A22" s="742" t="str">
        <f>CONCATENATE("Taxas de ",'Dados Básicos'!A28," detalhados por cada famila de produtos")</f>
        <v>Taxas de IVA detalhados por cada famila de produtos</v>
      </c>
      <c r="B22" s="734"/>
      <c r="C22" s="734"/>
      <c r="D22" s="734"/>
      <c r="E22" s="734"/>
      <c r="F22" s="735"/>
    </row>
    <row r="23" spans="1:6" ht="30.75" thickBot="1">
      <c r="A23" s="399" t="s">
        <v>441</v>
      </c>
      <c r="B23" s="718"/>
      <c r="C23" s="718"/>
      <c r="D23" s="63"/>
      <c r="E23" s="17" t="str">
        <f>CONCATENATE("Tipo ",'Dados Básicos'!$A$28," Venda")</f>
        <v>Tipo IVA Venda</v>
      </c>
      <c r="F23" s="568" t="str">
        <f>CONCATENATE("Tipo ",'Dados Básicos'!$A$28," C.V.")</f>
        <v>Tipo IVA C.V.</v>
      </c>
    </row>
    <row r="24" spans="1:6">
      <c r="A24" s="3308" t="str">
        <f>IF('Preços-CV'!A7="","",'Preços-CV'!A7)</f>
        <v>produto 1</v>
      </c>
      <c r="B24" s="3309"/>
      <c r="C24" s="3309"/>
      <c r="D24" s="3310"/>
      <c r="E24" s="728">
        <f>'Dados Básicos'!C28</f>
        <v>0.21</v>
      </c>
      <c r="F24" s="728">
        <f>'Dados Básicos'!C29</f>
        <v>0.21</v>
      </c>
    </row>
    <row r="25" spans="1:6">
      <c r="A25" s="3308" t="str">
        <f>IF('Preços-CV'!A8="","",'Preços-CV'!A8)</f>
        <v/>
      </c>
      <c r="B25" s="3309"/>
      <c r="C25" s="3309"/>
      <c r="D25" s="3310"/>
      <c r="E25" s="729">
        <f t="shared" ref="E25:E31" si="0">$E$24</f>
        <v>0.21</v>
      </c>
      <c r="F25" s="729">
        <f t="shared" ref="F25:F31" si="1">$F$24</f>
        <v>0.21</v>
      </c>
    </row>
    <row r="26" spans="1:6">
      <c r="A26" s="3308" t="str">
        <f>IF('Preços-CV'!A9="","",'Preços-CV'!A9)</f>
        <v/>
      </c>
      <c r="B26" s="3309"/>
      <c r="C26" s="3309"/>
      <c r="D26" s="3310"/>
      <c r="E26" s="729">
        <f t="shared" si="0"/>
        <v>0.21</v>
      </c>
      <c r="F26" s="729">
        <f t="shared" si="1"/>
        <v>0.21</v>
      </c>
    </row>
    <row r="27" spans="1:6">
      <c r="A27" s="3308" t="str">
        <f>IF('Preços-CV'!A10="","",'Preços-CV'!A10)</f>
        <v/>
      </c>
      <c r="B27" s="3309"/>
      <c r="C27" s="3309"/>
      <c r="D27" s="3310"/>
      <c r="E27" s="729">
        <f t="shared" si="0"/>
        <v>0.21</v>
      </c>
      <c r="F27" s="729">
        <f t="shared" si="1"/>
        <v>0.21</v>
      </c>
    </row>
    <row r="28" spans="1:6">
      <c r="A28" s="3308" t="str">
        <f>IF('Preços-CV'!A11="","",'Preços-CV'!A11)</f>
        <v/>
      </c>
      <c r="B28" s="3309"/>
      <c r="C28" s="3309"/>
      <c r="D28" s="3310"/>
      <c r="E28" s="729">
        <f t="shared" si="0"/>
        <v>0.21</v>
      </c>
      <c r="F28" s="729">
        <f t="shared" si="1"/>
        <v>0.21</v>
      </c>
    </row>
    <row r="29" spans="1:6">
      <c r="A29" s="3308" t="str">
        <f>IF('Preços-CV'!A12="","",'Preços-CV'!A12)</f>
        <v/>
      </c>
      <c r="B29" s="3309"/>
      <c r="C29" s="3309"/>
      <c r="D29" s="3310"/>
      <c r="E29" s="729">
        <f t="shared" si="0"/>
        <v>0.21</v>
      </c>
      <c r="F29" s="729">
        <f t="shared" si="1"/>
        <v>0.21</v>
      </c>
    </row>
    <row r="30" spans="1:6">
      <c r="A30" s="3308" t="str">
        <f>IF('Preços-CV'!A13="","",'Preços-CV'!A13)</f>
        <v/>
      </c>
      <c r="B30" s="3309"/>
      <c r="C30" s="3309"/>
      <c r="D30" s="3310"/>
      <c r="E30" s="729">
        <f t="shared" si="0"/>
        <v>0.21</v>
      </c>
      <c r="F30" s="729">
        <f t="shared" si="1"/>
        <v>0.21</v>
      </c>
    </row>
    <row r="31" spans="1:6" ht="18.75" thickBot="1">
      <c r="A31" s="3311" t="str">
        <f>IF('Preços-CV'!A14="","",'Preços-CV'!A14)</f>
        <v/>
      </c>
      <c r="B31" s="3312"/>
      <c r="C31" s="3312"/>
      <c r="D31" s="3313"/>
      <c r="E31" s="730">
        <f t="shared" si="0"/>
        <v>0.21</v>
      </c>
      <c r="F31" s="730">
        <f t="shared" si="1"/>
        <v>0.21</v>
      </c>
    </row>
    <row r="32" spans="1:6">
      <c r="D32" s="36"/>
    </row>
    <row r="33" spans="1:7">
      <c r="E33" s="1164" t="str">
        <f>CONCATENATE("Tipo de ",'Dados Básicos'!A28," soportado para Gastos Fixos e Investimentos")</f>
        <v>Tipo de IVA soportado para Gastos Fixos e Investimentos</v>
      </c>
      <c r="F33" s="731">
        <f>'Dados Básicos'!C28</f>
        <v>0.21</v>
      </c>
    </row>
    <row r="36" spans="1:7" ht="18.75" thickBot="1">
      <c r="A36" s="669" t="s">
        <v>442</v>
      </c>
      <c r="B36" s="743"/>
      <c r="C36" s="743"/>
      <c r="D36" s="743"/>
      <c r="E36" s="743"/>
      <c r="F36" s="743"/>
    </row>
    <row r="37" spans="1:7" ht="30.75" customHeight="1">
      <c r="A37" s="744"/>
      <c r="B37" s="2126" t="s">
        <v>443</v>
      </c>
      <c r="C37" s="2126" t="str">
        <f t="array" ref="C37:G37">anni</f>
        <v>Ano 0:  2026</v>
      </c>
      <c r="D37" s="2126" t="str">
        <v>Ano 1:  2027</v>
      </c>
      <c r="E37" s="2350" t="str">
        <v>Ano 2:  2028</v>
      </c>
      <c r="F37" s="2126" t="str">
        <v>Ano 3:  2029</v>
      </c>
      <c r="G37" s="2351" t="str">
        <v>Ano 4:  2030</v>
      </c>
    </row>
    <row r="38" spans="1:7" ht="22.5" customHeight="1" thickBot="1">
      <c r="A38" s="2359" t="s">
        <v>444</v>
      </c>
      <c r="B38" s="2360">
        <f>+'Bal. Inicial Previo'!D42/12</f>
        <v>4.333333333333333</v>
      </c>
      <c r="C38" s="2361">
        <v>5</v>
      </c>
      <c r="D38" s="2361">
        <f>C38</f>
        <v>5</v>
      </c>
      <c r="E38" s="2361">
        <f>D38</f>
        <v>5</v>
      </c>
      <c r="F38" s="2361">
        <f>E38</f>
        <v>5</v>
      </c>
      <c r="G38" s="2362">
        <f>F38</f>
        <v>5</v>
      </c>
    </row>
    <row r="39" spans="1:7" ht="18.75" thickBot="1"/>
    <row r="40" spans="1:7" ht="20.25" thickBot="1">
      <c r="A40" s="724" t="s">
        <v>445</v>
      </c>
      <c r="B40" s="725"/>
      <c r="C40" s="725"/>
      <c r="D40" s="725"/>
      <c r="E40" s="726"/>
      <c r="F40" s="726"/>
      <c r="G40" s="726"/>
    </row>
    <row r="41" spans="1:7" ht="36.75" customHeight="1">
      <c r="A41" s="739" t="s">
        <v>446</v>
      </c>
      <c r="B41" s="2126" t="s">
        <v>443</v>
      </c>
      <c r="C41" s="2126" t="str">
        <f t="array" ref="C41:G41">anni</f>
        <v>Ano 0:  2026</v>
      </c>
      <c r="D41" s="2126" t="str">
        <v>Ano 1:  2027</v>
      </c>
      <c r="E41" s="2350" t="str">
        <v>Ano 2:  2028</v>
      </c>
      <c r="F41" s="2126" t="str">
        <v>Ano 3:  2029</v>
      </c>
      <c r="G41" s="2351" t="str">
        <v>Ano 4:  2030</v>
      </c>
    </row>
    <row r="42" spans="1:7" ht="15.75" customHeight="1">
      <c r="A42" s="1423" t="s">
        <v>447</v>
      </c>
      <c r="B42" s="2404">
        <v>1</v>
      </c>
      <c r="C42" s="1424">
        <v>1</v>
      </c>
      <c r="D42" s="1424">
        <f>C42</f>
        <v>1</v>
      </c>
      <c r="E42" s="1425">
        <f>D42</f>
        <v>1</v>
      </c>
      <c r="F42" s="1424">
        <f>E42</f>
        <v>1</v>
      </c>
      <c r="G42" s="1426">
        <f>F42</f>
        <v>1</v>
      </c>
    </row>
    <row r="43" spans="1:7" ht="15.75" customHeight="1" thickBot="1">
      <c r="A43" s="1427" t="s">
        <v>22</v>
      </c>
      <c r="B43" s="2403">
        <f t="array" ref="B43:G43">1-B42:G42</f>
        <v>0</v>
      </c>
      <c r="C43" s="1428">
        <v>0</v>
      </c>
      <c r="D43" s="1428">
        <v>0</v>
      </c>
      <c r="E43" s="1429">
        <v>0</v>
      </c>
      <c r="F43" s="1430">
        <v>0</v>
      </c>
      <c r="G43" s="1431">
        <v>0</v>
      </c>
    </row>
    <row r="45" spans="1:7" ht="18.75" thickBot="1"/>
    <row r="46" spans="1:7" ht="24" customHeight="1" thickBot="1">
      <c r="A46" s="895"/>
      <c r="B46" s="2453" t="s">
        <v>448</v>
      </c>
      <c r="C46" s="896">
        <f>IF(consolidacion=1,3,0)</f>
        <v>0</v>
      </c>
    </row>
    <row r="47" spans="1:7" ht="18.75" thickBot="1">
      <c r="F47" s="694"/>
      <c r="G47" s="694"/>
    </row>
    <row r="48" spans="1:7" ht="22.5" customHeight="1" thickBot="1">
      <c r="A48" s="895"/>
      <c r="B48" s="2453" t="s">
        <v>449</v>
      </c>
      <c r="C48" s="896" t="s">
        <v>60</v>
      </c>
      <c r="D48" s="2768">
        <f>IF(C48="Sí",1,0)</f>
        <v>0</v>
      </c>
    </row>
    <row r="49" spans="1:14" ht="15">
      <c r="A49" s="717"/>
    </row>
    <row r="50" spans="1:14" ht="15">
      <c r="A50" s="717"/>
    </row>
    <row r="51" spans="1:14" ht="29.25" customHeight="1" thickBot="1">
      <c r="A51" s="2638" t="s">
        <v>450</v>
      </c>
    </row>
    <row r="52" spans="1:14" ht="15.75" thickBot="1">
      <c r="A52" s="174" t="s">
        <v>451</v>
      </c>
      <c r="B52" s="2641" t="str">
        <f t="array" ref="B52:M52">meses</f>
        <v>janeiro</v>
      </c>
      <c r="C52" s="2641" t="str">
        <v>fevereiro</v>
      </c>
      <c r="D52" s="2641" t="str">
        <v>março</v>
      </c>
      <c r="E52" s="2641" t="str">
        <v>abril</v>
      </c>
      <c r="F52" s="2641" t="str">
        <v>maio</v>
      </c>
      <c r="G52" s="2641" t="str">
        <v>junho</v>
      </c>
      <c r="H52" s="2641" t="str">
        <v>julho</v>
      </c>
      <c r="I52" s="2641" t="str">
        <v>agosto</v>
      </c>
      <c r="J52" s="2641" t="str">
        <v>setembro</v>
      </c>
      <c r="K52" s="2641" t="str">
        <v>outubro</v>
      </c>
      <c r="L52" s="2641" t="str">
        <v>novembro</v>
      </c>
      <c r="M52" s="2641" t="str">
        <v>dezembro</v>
      </c>
    </row>
    <row r="53" spans="1:14" ht="15">
      <c r="A53" s="2636" t="str">
        <f>C37</f>
        <v>Ano 0:  2026</v>
      </c>
      <c r="B53" s="2644">
        <f>IF(SUM(C53:M53)&gt;1,"ERROR",1-SUM(C53:M53))</f>
        <v>1</v>
      </c>
      <c r="C53" s="2642">
        <v>0</v>
      </c>
      <c r="D53" s="2642">
        <v>0</v>
      </c>
      <c r="E53" s="2642">
        <v>0</v>
      </c>
      <c r="F53" s="2642">
        <v>0</v>
      </c>
      <c r="G53" s="2642">
        <v>0</v>
      </c>
      <c r="H53" s="2642">
        <v>0</v>
      </c>
      <c r="I53" s="2642">
        <v>0</v>
      </c>
      <c r="J53" s="2642">
        <v>0</v>
      </c>
      <c r="K53" s="2642">
        <v>0</v>
      </c>
      <c r="L53" s="2642">
        <v>0</v>
      </c>
      <c r="M53" s="2643">
        <v>0</v>
      </c>
    </row>
    <row r="54" spans="1:14" ht="15">
      <c r="A54" s="2639" t="str">
        <f>+D37</f>
        <v>Ano 1:  2027</v>
      </c>
      <c r="B54" s="2645">
        <f>IF(SUM(C54:M54)&gt;1,"ERROR",1-SUM(C54:M54))</f>
        <v>1</v>
      </c>
      <c r="C54" s="2646">
        <f t="shared" ref="C54:M57" si="2">C53</f>
        <v>0</v>
      </c>
      <c r="D54" s="2646">
        <f t="shared" si="2"/>
        <v>0</v>
      </c>
      <c r="E54" s="2646">
        <f t="shared" si="2"/>
        <v>0</v>
      </c>
      <c r="F54" s="2646">
        <f t="shared" si="2"/>
        <v>0</v>
      </c>
      <c r="G54" s="2646">
        <f t="shared" si="2"/>
        <v>0</v>
      </c>
      <c r="H54" s="2646">
        <f t="shared" si="2"/>
        <v>0</v>
      </c>
      <c r="I54" s="2646">
        <f t="shared" si="2"/>
        <v>0</v>
      </c>
      <c r="J54" s="2646">
        <f t="shared" si="2"/>
        <v>0</v>
      </c>
      <c r="K54" s="2646">
        <f t="shared" si="2"/>
        <v>0</v>
      </c>
      <c r="L54" s="2646">
        <f t="shared" si="2"/>
        <v>0</v>
      </c>
      <c r="M54" s="2647">
        <f t="shared" si="2"/>
        <v>0</v>
      </c>
    </row>
    <row r="55" spans="1:14" ht="15">
      <c r="A55" s="2639" t="str">
        <f>+E37</f>
        <v>Ano 2:  2028</v>
      </c>
      <c r="B55" s="2645">
        <f>IF(SUM(C55:M55)&gt;1,"ERROR",1-SUM(C55:M55))</f>
        <v>1</v>
      </c>
      <c r="C55" s="2646">
        <f t="shared" si="2"/>
        <v>0</v>
      </c>
      <c r="D55" s="2646">
        <f t="shared" si="2"/>
        <v>0</v>
      </c>
      <c r="E55" s="2646">
        <f t="shared" si="2"/>
        <v>0</v>
      </c>
      <c r="F55" s="2646">
        <f t="shared" si="2"/>
        <v>0</v>
      </c>
      <c r="G55" s="2646">
        <f t="shared" si="2"/>
        <v>0</v>
      </c>
      <c r="H55" s="2646">
        <f t="shared" si="2"/>
        <v>0</v>
      </c>
      <c r="I55" s="2646">
        <f t="shared" si="2"/>
        <v>0</v>
      </c>
      <c r="J55" s="2646">
        <f t="shared" si="2"/>
        <v>0</v>
      </c>
      <c r="K55" s="2646">
        <f t="shared" si="2"/>
        <v>0</v>
      </c>
      <c r="L55" s="2646">
        <f t="shared" si="2"/>
        <v>0</v>
      </c>
      <c r="M55" s="2647">
        <f t="shared" si="2"/>
        <v>0</v>
      </c>
    </row>
    <row r="56" spans="1:14" ht="15">
      <c r="A56" s="2639" t="str">
        <f>+F37</f>
        <v>Ano 3:  2029</v>
      </c>
      <c r="B56" s="2645">
        <f>IF(SUM(C56:M56)&gt;1,"ERROR",1-SUM(C56:M56))</f>
        <v>1</v>
      </c>
      <c r="C56" s="2646">
        <f t="shared" si="2"/>
        <v>0</v>
      </c>
      <c r="D56" s="2646">
        <f t="shared" si="2"/>
        <v>0</v>
      </c>
      <c r="E56" s="2646">
        <f t="shared" si="2"/>
        <v>0</v>
      </c>
      <c r="F56" s="2646">
        <f t="shared" si="2"/>
        <v>0</v>
      </c>
      <c r="G56" s="2646">
        <f t="shared" si="2"/>
        <v>0</v>
      </c>
      <c r="H56" s="2646">
        <f t="shared" si="2"/>
        <v>0</v>
      </c>
      <c r="I56" s="2646">
        <f t="shared" si="2"/>
        <v>0</v>
      </c>
      <c r="J56" s="2646">
        <f t="shared" si="2"/>
        <v>0</v>
      </c>
      <c r="K56" s="2646">
        <f t="shared" si="2"/>
        <v>0</v>
      </c>
      <c r="L56" s="2646">
        <f t="shared" si="2"/>
        <v>0</v>
      </c>
      <c r="M56" s="2647">
        <f t="shared" si="2"/>
        <v>0</v>
      </c>
    </row>
    <row r="57" spans="1:14" ht="15.75" thickBot="1">
      <c r="A57" s="2640" t="str">
        <f>+G37</f>
        <v>Ano 4:  2030</v>
      </c>
      <c r="B57" s="2648">
        <f>IF(SUM(C57:M57)&gt;1,"ERROR",1-SUM(C57:M57))</f>
        <v>1</v>
      </c>
      <c r="C57" s="2649">
        <f t="shared" si="2"/>
        <v>0</v>
      </c>
      <c r="D57" s="2649">
        <f t="shared" si="2"/>
        <v>0</v>
      </c>
      <c r="E57" s="2649">
        <f t="shared" si="2"/>
        <v>0</v>
      </c>
      <c r="F57" s="2649">
        <f t="shared" si="2"/>
        <v>0</v>
      </c>
      <c r="G57" s="2649">
        <f t="shared" si="2"/>
        <v>0</v>
      </c>
      <c r="H57" s="2649">
        <f t="shared" si="2"/>
        <v>0</v>
      </c>
      <c r="I57" s="2649">
        <f t="shared" si="2"/>
        <v>0</v>
      </c>
      <c r="J57" s="2649">
        <f t="shared" si="2"/>
        <v>0</v>
      </c>
      <c r="K57" s="2649">
        <f t="shared" si="2"/>
        <v>0</v>
      </c>
      <c r="L57" s="2649">
        <f t="shared" si="2"/>
        <v>0</v>
      </c>
      <c r="M57" s="2650">
        <f t="shared" si="2"/>
        <v>0</v>
      </c>
    </row>
    <row r="58" spans="1:14" ht="15">
      <c r="A58" s="2637"/>
    </row>
    <row r="59" spans="1:14" ht="15">
      <c r="A59" s="717"/>
    </row>
    <row r="60" spans="1:14" ht="15">
      <c r="A60" s="717"/>
    </row>
    <row r="61" spans="1:14" s="727" customFormat="1">
      <c r="A61" s="3106">
        <f>DATE('Dados Básicos'!B15,'Dados Básicos'!B16,1)</f>
        <v>46023</v>
      </c>
      <c r="B61" s="2758" t="str">
        <f t="array" ref="B61:B72">TEXT(A61:A72,"[$-16]mmmm")</f>
        <v>janeiro</v>
      </c>
      <c r="C61" s="789"/>
      <c r="D61" s="789" t="s">
        <v>452</v>
      </c>
      <c r="E61" s="789"/>
      <c r="F61" s="789"/>
      <c r="G61" s="789"/>
      <c r="H61" s="789"/>
      <c r="I61" s="789"/>
      <c r="J61" s="789"/>
      <c r="K61" s="789"/>
      <c r="L61" s="789"/>
      <c r="M61" s="789"/>
      <c r="N61" s="789"/>
    </row>
    <row r="62" spans="1:14" s="727" customFormat="1">
      <c r="A62" s="3106">
        <f t="shared" ref="A62:A72" si="3">EOMONTH(A61,0)+1</f>
        <v>46054</v>
      </c>
      <c r="B62" s="2758" t="str">
        <v>fevereiro</v>
      </c>
      <c r="C62" s="789"/>
      <c r="D62" s="3107" t="str">
        <f>'Dados Básicos'!B18</f>
        <v>Ano 0</v>
      </c>
      <c r="E62" s="3108">
        <f>'Dados Básicos'!C18</f>
        <v>1</v>
      </c>
      <c r="F62" s="3108">
        <f>E62+1</f>
        <v>2</v>
      </c>
      <c r="G62" s="3108">
        <f>F62+1</f>
        <v>3</v>
      </c>
      <c r="H62" s="3108">
        <f>G62+1</f>
        <v>4</v>
      </c>
      <c r="I62" s="3108">
        <f>H62+1</f>
        <v>5</v>
      </c>
      <c r="J62" s="789"/>
      <c r="K62" s="789"/>
      <c r="L62" s="789"/>
      <c r="M62" s="789"/>
      <c r="N62" s="789"/>
    </row>
    <row r="63" spans="1:14" s="727" customFormat="1">
      <c r="A63" s="3106">
        <f t="shared" si="3"/>
        <v>46082</v>
      </c>
      <c r="B63" s="2758" t="str">
        <v>março</v>
      </c>
      <c r="C63" s="789"/>
      <c r="D63" s="3109">
        <f>A61</f>
        <v>46023</v>
      </c>
      <c r="E63" s="3109">
        <f>DATE(YEAR(D63)+1,MONTH(D63),1)</f>
        <v>46388</v>
      </c>
      <c r="F63" s="3109">
        <f t="shared" ref="F63:I63" si="4">DATE(YEAR(E63)+1,MONTH(E63),1)</f>
        <v>46753</v>
      </c>
      <c r="G63" s="3109">
        <f t="shared" si="4"/>
        <v>47119</v>
      </c>
      <c r="H63" s="3109">
        <f t="shared" si="4"/>
        <v>47484</v>
      </c>
      <c r="I63" s="3109">
        <f t="shared" si="4"/>
        <v>47849</v>
      </c>
      <c r="J63" s="789"/>
      <c r="K63" s="789"/>
      <c r="L63" s="789"/>
      <c r="M63" s="789"/>
      <c r="N63" s="789"/>
    </row>
    <row r="64" spans="1:14" s="727" customFormat="1">
      <c r="A64" s="3106">
        <f t="shared" si="3"/>
        <v>46113</v>
      </c>
      <c r="B64" s="2758" t="str">
        <v>abril</v>
      </c>
      <c r="C64" s="789"/>
      <c r="D64" s="3109">
        <f>A72</f>
        <v>46357</v>
      </c>
      <c r="E64" s="3109">
        <f>DATE(YEAR(D64)+1,MONTH(D64),1)</f>
        <v>46722</v>
      </c>
      <c r="F64" s="3109">
        <f t="shared" ref="F64:I64" si="5">DATE(YEAR(E64)+1,MONTH(E64),1)</f>
        <v>47088</v>
      </c>
      <c r="G64" s="3109">
        <f t="shared" si="5"/>
        <v>47453</v>
      </c>
      <c r="H64" s="3109">
        <f t="shared" si="5"/>
        <v>47818</v>
      </c>
      <c r="I64" s="3109">
        <f t="shared" si="5"/>
        <v>48183</v>
      </c>
      <c r="J64" s="789"/>
      <c r="K64" s="789"/>
      <c r="L64" s="789"/>
      <c r="M64" s="789"/>
      <c r="N64" s="789"/>
    </row>
    <row r="65" spans="1:14" s="727" customFormat="1">
      <c r="A65" s="3106">
        <f t="shared" si="3"/>
        <v>46143</v>
      </c>
      <c r="B65" s="2758" t="str">
        <v>maio</v>
      </c>
      <c r="C65" s="789"/>
      <c r="D65" s="792" t="str">
        <f>IF('Dados Básicos'!$B$16=1,TEXT(D64,aa&amp;aa),CONCATENATE(TEXT($A$61,aa&amp;aa&amp;"-"),TEXT($A$72,aa)))</f>
        <v>2026</v>
      </c>
      <c r="E65" s="792" t="str">
        <f t="array" ref="E65:I65">IF('Dados Básicos'!$B$16=1,TEXT(E63:I63,aa&amp;aa),CONCATENATE(TEXT(E63:I63,aa&amp;aa&amp;"-"),TEXT(E64:I64,aa)))</f>
        <v>2027</v>
      </c>
      <c r="F65" s="792" t="str">
        <v>2028</v>
      </c>
      <c r="G65" s="792" t="str">
        <v>2029</v>
      </c>
      <c r="H65" s="792" t="str">
        <v>2030</v>
      </c>
      <c r="I65" s="792" t="str">
        <v>2031</v>
      </c>
      <c r="J65" s="789"/>
      <c r="K65" s="789"/>
      <c r="L65" s="789"/>
      <c r="M65" s="789"/>
      <c r="N65" s="789"/>
    </row>
    <row r="66" spans="1:14" s="727" customFormat="1">
      <c r="A66" s="3106">
        <f t="shared" si="3"/>
        <v>46174</v>
      </c>
      <c r="B66" s="2758" t="str">
        <v>junho</v>
      </c>
      <c r="C66" s="789"/>
      <c r="D66" s="792" t="str">
        <f>IF('Dados Básicos'!$B$16=1,TEXT(D64-365,aa&amp;aa),CONCATENATE(TEXT($A$61-365,aa&amp;aa&amp;"-"),TEXT($A$72-365,aa)))</f>
        <v>2025</v>
      </c>
      <c r="E66" s="789"/>
      <c r="F66" s="789"/>
      <c r="G66" s="789"/>
      <c r="H66" s="789"/>
      <c r="I66" s="789"/>
      <c r="J66" s="789"/>
      <c r="K66" s="789"/>
      <c r="L66" s="789"/>
      <c r="M66" s="789"/>
      <c r="N66" s="789"/>
    </row>
    <row r="67" spans="1:14" s="727" customFormat="1">
      <c r="A67" s="3106">
        <f t="shared" si="3"/>
        <v>46204</v>
      </c>
      <c r="B67" s="2758" t="str">
        <v>julho</v>
      </c>
      <c r="C67" s="789"/>
      <c r="D67" s="789"/>
      <c r="E67" s="789"/>
      <c r="F67" s="789"/>
      <c r="G67" s="789"/>
      <c r="H67" s="789"/>
      <c r="I67" s="789"/>
      <c r="J67" s="789"/>
      <c r="K67" s="789"/>
      <c r="L67" s="789"/>
      <c r="M67" s="789"/>
      <c r="N67" s="789"/>
    </row>
    <row r="68" spans="1:14" s="727" customFormat="1">
      <c r="A68" s="3106">
        <f t="shared" si="3"/>
        <v>46235</v>
      </c>
      <c r="B68" s="2758" t="str">
        <v>agosto</v>
      </c>
      <c r="C68" s="789"/>
      <c r="D68" s="789"/>
      <c r="E68" s="789"/>
      <c r="F68" s="789"/>
      <c r="G68" s="789"/>
      <c r="H68" s="789"/>
      <c r="I68" s="789"/>
      <c r="J68" s="789"/>
      <c r="K68" s="789"/>
      <c r="L68" s="789"/>
      <c r="M68" s="789"/>
      <c r="N68" s="789"/>
    </row>
    <row r="69" spans="1:14" s="727" customFormat="1">
      <c r="A69" s="3106">
        <f t="shared" si="3"/>
        <v>46266</v>
      </c>
      <c r="B69" s="2758" t="str">
        <v>setembro</v>
      </c>
      <c r="C69" s="789"/>
      <c r="D69" s="789"/>
      <c r="E69" s="789"/>
      <c r="F69" s="789"/>
      <c r="G69" s="789"/>
      <c r="H69" s="789"/>
      <c r="I69" s="789"/>
      <c r="J69" s="789"/>
      <c r="K69" s="789"/>
      <c r="L69" s="789"/>
      <c r="M69" s="789"/>
      <c r="N69" s="789"/>
    </row>
    <row r="70" spans="1:14" s="727" customFormat="1">
      <c r="A70" s="3106">
        <f t="shared" si="3"/>
        <v>46296</v>
      </c>
      <c r="B70" s="2758" t="str">
        <v>outubro</v>
      </c>
      <c r="C70" s="789"/>
      <c r="D70" s="789"/>
      <c r="E70" s="789"/>
      <c r="F70" s="789"/>
      <c r="G70" s="789"/>
      <c r="H70" s="789"/>
      <c r="I70" s="789"/>
      <c r="J70" s="789"/>
      <c r="K70" s="789"/>
      <c r="L70" s="789"/>
      <c r="M70" s="789"/>
      <c r="N70" s="789"/>
    </row>
    <row r="71" spans="1:14" s="727" customFormat="1">
      <c r="A71" s="3106">
        <f t="shared" si="3"/>
        <v>46327</v>
      </c>
      <c r="B71" s="2758" t="str">
        <v>novembro</v>
      </c>
      <c r="C71" s="789"/>
      <c r="D71" s="789"/>
      <c r="E71" s="789"/>
      <c r="F71" s="789"/>
      <c r="G71" s="789"/>
      <c r="H71" s="789"/>
      <c r="I71" s="789"/>
      <c r="J71" s="789"/>
      <c r="K71" s="789"/>
      <c r="L71" s="789"/>
      <c r="M71" s="789"/>
      <c r="N71" s="789"/>
    </row>
    <row r="72" spans="1:14" s="727" customFormat="1">
      <c r="A72" s="3106">
        <f t="shared" si="3"/>
        <v>46357</v>
      </c>
      <c r="B72" s="2758" t="str">
        <v>dezembro</v>
      </c>
      <c r="C72" s="789"/>
      <c r="D72" s="789"/>
      <c r="E72" s="789"/>
      <c r="F72" s="789"/>
      <c r="G72" s="789"/>
      <c r="H72" s="789"/>
      <c r="I72" s="789"/>
      <c r="J72" s="789"/>
      <c r="K72" s="789"/>
      <c r="L72" s="789"/>
      <c r="M72" s="789"/>
      <c r="N72" s="789"/>
    </row>
    <row r="73" spans="1:14">
      <c r="A73" s="2758"/>
      <c r="B73" s="2758"/>
      <c r="C73" s="2758"/>
      <c r="D73" s="2758"/>
      <c r="E73" s="2758"/>
      <c r="F73" s="2758"/>
      <c r="G73" s="2758"/>
      <c r="H73" s="2758"/>
      <c r="I73" s="2758"/>
      <c r="J73" s="2758"/>
      <c r="K73" s="2758"/>
      <c r="L73" s="2758"/>
      <c r="M73" s="2758"/>
    </row>
    <row r="74" spans="1:14">
      <c r="A74" s="2758"/>
      <c r="B74" s="2758" t="s">
        <v>453</v>
      </c>
      <c r="C74" s="2758"/>
      <c r="D74" s="2758"/>
      <c r="E74" s="2758"/>
      <c r="F74" s="2758"/>
      <c r="G74" s="2758"/>
      <c r="H74" s="2758"/>
      <c r="I74" s="2758"/>
      <c r="J74" s="2758"/>
      <c r="K74" s="2758"/>
      <c r="L74" s="2758"/>
      <c r="M74" s="2758"/>
    </row>
    <row r="75" spans="1:14">
      <c r="A75" s="2758"/>
      <c r="B75" s="2758" t="str">
        <f>B61</f>
        <v>janeiro</v>
      </c>
      <c r="C75" s="3110" t="str">
        <f>B62</f>
        <v>fevereiro</v>
      </c>
      <c r="D75" s="3110" t="str">
        <f>B63</f>
        <v>março</v>
      </c>
      <c r="E75" s="3110" t="str">
        <f>B64</f>
        <v>abril</v>
      </c>
      <c r="F75" s="3110" t="str">
        <f>B65</f>
        <v>maio</v>
      </c>
      <c r="G75" s="3110" t="str">
        <f>B66</f>
        <v>junho</v>
      </c>
      <c r="H75" s="3110" t="str">
        <f>B67</f>
        <v>julho</v>
      </c>
      <c r="I75" s="3110" t="str">
        <f>B68</f>
        <v>agosto</v>
      </c>
      <c r="J75" s="3110" t="str">
        <f>B69</f>
        <v>setembro</v>
      </c>
      <c r="K75" s="3110" t="str">
        <f>B70</f>
        <v>outubro</v>
      </c>
      <c r="L75" s="3110" t="str">
        <f>B71</f>
        <v>novembro</v>
      </c>
      <c r="M75" s="3110" t="str">
        <f>B72</f>
        <v>dezembro</v>
      </c>
    </row>
    <row r="76" spans="1:14">
      <c r="A76" s="2758"/>
      <c r="B76" s="3111" t="str">
        <f>TEXT(A61,aa&amp;aa)</f>
        <v>2026</v>
      </c>
      <c r="C76" s="3111" t="str">
        <f>TEXT($A62,aa&amp;aa)</f>
        <v>2026</v>
      </c>
      <c r="D76" s="3111" t="str">
        <f>TEXT($A63,aa&amp;aa)</f>
        <v>2026</v>
      </c>
      <c r="E76" s="3111" t="str">
        <f>TEXT($A64,aa&amp;aa)</f>
        <v>2026</v>
      </c>
      <c r="F76" s="3111" t="str">
        <f>TEXT($A65,aa&amp;aa)</f>
        <v>2026</v>
      </c>
      <c r="G76" s="3111" t="str">
        <f>TEXT($A66,aa&amp;aa)</f>
        <v>2026</v>
      </c>
      <c r="H76" s="3111" t="str">
        <f>TEXT($A67,aa&amp;aa)</f>
        <v>2026</v>
      </c>
      <c r="I76" s="3111" t="str">
        <f>TEXT($A68,aa&amp;aa)</f>
        <v>2026</v>
      </c>
      <c r="J76" s="3111" t="str">
        <f>TEXT($A69,aa&amp;aa)</f>
        <v>2026</v>
      </c>
      <c r="K76" s="3111" t="str">
        <f>TEXT($A70,aa&amp;aa)</f>
        <v>2026</v>
      </c>
      <c r="L76" s="3111" t="str">
        <f>TEXT($A71,aa&amp;aa)</f>
        <v>2026</v>
      </c>
      <c r="M76" s="3111" t="str">
        <f>TEXT($A72,aa&amp;aa)</f>
        <v>2026</v>
      </c>
    </row>
    <row r="77" spans="1:14" ht="32.25" customHeight="1">
      <c r="A77" s="3112" t="s">
        <v>454</v>
      </c>
      <c r="B77" s="3113" t="str">
        <f>CONCATENATE('Dados Básicos'!B18,":  ",D65)</f>
        <v>Ano 0:  2026</v>
      </c>
      <c r="C77" s="3113" t="str">
        <f t="array" ref="C77:F77">CONCATENATE("Ano ",'Dados Básicos'!C18:F18,":  ",E65:H65)</f>
        <v>Ano 1:  2027</v>
      </c>
      <c r="D77" s="3113" t="str">
        <v>Ano 2:  2028</v>
      </c>
      <c r="E77" s="3113" t="str">
        <v>Ano 3:  2029</v>
      </c>
      <c r="F77" s="3113" t="str">
        <v>Ano 4:  2030</v>
      </c>
      <c r="G77" s="3113" t="str">
        <f>CONCATENATE("Ano ",'Dados Básicos'!F18+1,":  ",I65)</f>
        <v>Ano 5:  2031</v>
      </c>
      <c r="H77" s="3110"/>
      <c r="I77" s="3110"/>
      <c r="J77" s="3110"/>
      <c r="K77" s="3110"/>
      <c r="L77" s="3110"/>
      <c r="M77" s="3110"/>
    </row>
    <row r="78" spans="1:14">
      <c r="A78" s="2758"/>
      <c r="B78" s="2758" t="str">
        <f>+C77</f>
        <v>Ano 1:  2027</v>
      </c>
      <c r="C78" s="3110"/>
      <c r="D78" s="3110"/>
      <c r="E78" s="3110"/>
      <c r="F78" s="3110"/>
      <c r="G78" s="3110"/>
      <c r="H78" s="3110"/>
      <c r="I78" s="3110"/>
      <c r="J78" s="3110"/>
      <c r="K78" s="3110"/>
      <c r="L78" s="3110"/>
      <c r="M78" s="3110"/>
    </row>
    <row r="79" spans="1:14">
      <c r="A79" s="2758"/>
      <c r="B79" s="2758" t="str">
        <f>+D77</f>
        <v>Ano 2:  2028</v>
      </c>
      <c r="C79" s="3110"/>
      <c r="D79" s="3110"/>
      <c r="E79" s="3110"/>
      <c r="F79" s="3110"/>
      <c r="G79" s="3110"/>
      <c r="H79" s="3110"/>
      <c r="I79" s="3110"/>
      <c r="J79" s="3110"/>
      <c r="K79" s="3110"/>
      <c r="L79" s="3110"/>
      <c r="M79" s="3110"/>
    </row>
    <row r="80" spans="1:14">
      <c r="A80" s="2758"/>
      <c r="B80" s="2758" t="str">
        <f>+E77</f>
        <v>Ano 3:  2029</v>
      </c>
      <c r="C80" s="3110"/>
      <c r="D80" s="3110"/>
      <c r="E80" s="3110"/>
      <c r="F80" s="3110"/>
      <c r="G80" s="3110"/>
      <c r="H80" s="3110"/>
      <c r="I80" s="3110"/>
      <c r="J80" s="3110"/>
      <c r="K80" s="3110"/>
      <c r="L80" s="3110"/>
      <c r="M80" s="3110"/>
    </row>
    <row r="81" spans="1:14">
      <c r="A81" s="2758"/>
      <c r="B81" s="2758" t="str">
        <f>+F77</f>
        <v>Ano 4:  2030</v>
      </c>
      <c r="C81" s="3110"/>
      <c r="D81" s="3110"/>
      <c r="E81" s="3110"/>
      <c r="F81" s="3110"/>
      <c r="G81" s="3110"/>
      <c r="H81" s="3110"/>
      <c r="I81" s="3110"/>
      <c r="J81" s="3110"/>
      <c r="K81" s="3110"/>
      <c r="L81" s="3110"/>
      <c r="M81" s="3110"/>
    </row>
    <row r="82" spans="1:14">
      <c r="A82" s="2758"/>
      <c r="B82" s="2758"/>
      <c r="C82" s="3110"/>
      <c r="D82" s="3110"/>
      <c r="E82" s="3110"/>
      <c r="F82" s="3110"/>
      <c r="G82" s="3110"/>
      <c r="H82" s="3110"/>
      <c r="I82" s="3110"/>
      <c r="J82" s="3110"/>
      <c r="K82" s="3110"/>
      <c r="L82" s="3110"/>
      <c r="M82" s="3110"/>
    </row>
    <row r="83" spans="1:14">
      <c r="A83" s="2758"/>
      <c r="B83" s="2758"/>
      <c r="C83" s="3110"/>
      <c r="D83" s="3110"/>
      <c r="E83" s="3110"/>
      <c r="F83" s="3110"/>
      <c r="G83" s="3110"/>
      <c r="H83" s="3110"/>
      <c r="I83" s="3110"/>
      <c r="J83" s="3110"/>
      <c r="K83" s="3110"/>
      <c r="L83" s="3110"/>
      <c r="M83" s="3110"/>
    </row>
    <row r="84" spans="1:14" ht="15">
      <c r="A84" s="3114" t="s">
        <v>455</v>
      </c>
    </row>
    <row r="85" spans="1:14" ht="15">
      <c r="A85" s="3115" t="s">
        <v>456</v>
      </c>
      <c r="B85" s="792">
        <f>1-$E$20/2</f>
        <v>1</v>
      </c>
    </row>
    <row r="86" spans="1:14" ht="15">
      <c r="A86" s="3115" t="s">
        <v>457</v>
      </c>
      <c r="B86" s="792">
        <f>1+$E$20/2</f>
        <v>1</v>
      </c>
    </row>
    <row r="87" spans="1:14" ht="15">
      <c r="A87" s="3115"/>
      <c r="B87" s="792"/>
    </row>
    <row r="88" spans="1:14" s="1830" customFormat="1" ht="25.5">
      <c r="A88" s="2866" t="s">
        <v>458</v>
      </c>
      <c r="B88" s="2759">
        <f t="shared" ref="B88:M88" ca="1" si="6">+$B$86+RAND()*($B$85-$B$86)</f>
        <v>1</v>
      </c>
      <c r="C88" s="2759">
        <f t="shared" ca="1" si="6"/>
        <v>1</v>
      </c>
      <c r="D88" s="2759">
        <f t="shared" ca="1" si="6"/>
        <v>1</v>
      </c>
      <c r="E88" s="2759">
        <f t="shared" ca="1" si="6"/>
        <v>1</v>
      </c>
      <c r="F88" s="2759">
        <f t="shared" ca="1" si="6"/>
        <v>1</v>
      </c>
      <c r="G88" s="2759">
        <f t="shared" ca="1" si="6"/>
        <v>1</v>
      </c>
      <c r="H88" s="2759">
        <f t="shared" ca="1" si="6"/>
        <v>1</v>
      </c>
      <c r="I88" s="2759">
        <f t="shared" ca="1" si="6"/>
        <v>1</v>
      </c>
      <c r="J88" s="2759">
        <f t="shared" ca="1" si="6"/>
        <v>1</v>
      </c>
      <c r="K88" s="2759">
        <f t="shared" ca="1" si="6"/>
        <v>1</v>
      </c>
      <c r="L88" s="2759">
        <f t="shared" ca="1" si="6"/>
        <v>1</v>
      </c>
      <c r="M88" s="2759">
        <f t="shared" ca="1" si="6"/>
        <v>1</v>
      </c>
      <c r="N88" s="2760"/>
    </row>
    <row r="90" spans="1:14">
      <c r="B90" s="694"/>
      <c r="C90" s="694"/>
      <c r="D90" s="694"/>
      <c r="E90" s="694"/>
    </row>
    <row r="91" spans="1:14">
      <c r="B91" s="2758" t="s">
        <v>459</v>
      </c>
    </row>
    <row r="92" spans="1:14">
      <c r="B92" s="1831"/>
      <c r="C92" s="1756" t="str">
        <f>" "&amp;Parametros!H11&amp;"/"</f>
        <v xml:space="preserve"> €/</v>
      </c>
    </row>
    <row r="93" spans="1:14">
      <c r="B93" s="1756">
        <v>1</v>
      </c>
      <c r="C93" s="1756" t="str">
        <f>$C$92&amp;"ano"</f>
        <v xml:space="preserve"> €/ano</v>
      </c>
    </row>
    <row r="94" spans="1:14">
      <c r="B94" s="1756">
        <v>2</v>
      </c>
      <c r="C94" s="1756" t="str">
        <f>$C$92&amp;12/B94&amp;" meses"</f>
        <v xml:space="preserve"> €/6 meses</v>
      </c>
    </row>
    <row r="95" spans="1:14">
      <c r="B95" s="1756">
        <v>3</v>
      </c>
      <c r="C95" s="1756" t="str">
        <f>$C$92&amp;12/B95&amp;" meses"</f>
        <v xml:space="preserve"> €/4 meses</v>
      </c>
    </row>
    <row r="96" spans="1:14">
      <c r="B96" s="1831">
        <v>4</v>
      </c>
      <c r="C96" s="1831" t="str">
        <f>$C$92&amp;12/B96&amp;" meses"</f>
        <v xml:space="preserve"> €/3 meses</v>
      </c>
    </row>
    <row r="97" spans="1:3">
      <c r="B97" s="1831">
        <v>6</v>
      </c>
      <c r="C97" s="1831" t="str">
        <f>$C$92&amp;12/B97&amp;" meses"</f>
        <v xml:space="preserve"> €/2 meses</v>
      </c>
    </row>
    <row r="98" spans="1:3">
      <c r="B98" s="1831">
        <v>12</v>
      </c>
      <c r="C98" s="1831" t="str">
        <f>$C$92&amp;"mes"</f>
        <v xml:space="preserve"> €/mes</v>
      </c>
    </row>
    <row r="99" spans="1:3">
      <c r="B99" s="2867"/>
    </row>
    <row r="101" spans="1:3">
      <c r="A101" s="2864" t="s">
        <v>460</v>
      </c>
    </row>
    <row r="102" spans="1:3">
      <c r="A102" s="2868">
        <f>'Dados Básicos'!B51</f>
        <v>0.23</v>
      </c>
    </row>
    <row r="103" spans="1:3">
      <c r="A103" s="2868">
        <v>0</v>
      </c>
    </row>
    <row r="106" spans="1:3">
      <c r="A106" s="2864" t="str">
        <f>'Dados Básicos'!A51</f>
        <v>Tipo normal</v>
      </c>
      <c r="B106" s="2869">
        <f>'Dados Básicos'!B51</f>
        <v>0.23</v>
      </c>
    </row>
    <row r="107" spans="1:3">
      <c r="A107" s="2864" t="str">
        <f>'Dados Básicos'!A52</f>
        <v>Tipo reducido</v>
      </c>
      <c r="B107" s="2869">
        <f>'Dados Básicos'!B52</f>
        <v>0.13</v>
      </c>
    </row>
    <row r="108" spans="1:3">
      <c r="A108" s="2864" t="str">
        <f>'Dados Básicos'!A53</f>
        <v>Tipo superreducido</v>
      </c>
      <c r="B108" s="2869">
        <f>'Dados Básicos'!B53</f>
        <v>0.06</v>
      </c>
    </row>
    <row r="109" spans="1:3">
      <c r="A109" s="2864" t="str">
        <f>'Dados Básicos'!A54</f>
        <v>Tipo especial</v>
      </c>
      <c r="B109" s="2869">
        <f>'Dados Básicos'!B54</f>
        <v>0</v>
      </c>
    </row>
  </sheetData>
  <sheetProtection sheet="1" objects="1" scenarios="1"/>
  <dataConsolidate/>
  <mergeCells count="9">
    <mergeCell ref="A20:D20"/>
    <mergeCell ref="A30:D30"/>
    <mergeCell ref="A31:D31"/>
    <mergeCell ref="A29:D29"/>
    <mergeCell ref="A24:D24"/>
    <mergeCell ref="A26:D26"/>
    <mergeCell ref="A27:D27"/>
    <mergeCell ref="A28:D28"/>
    <mergeCell ref="A25:D25"/>
  </mergeCells>
  <phoneticPr fontId="4" type="noConversion"/>
  <conditionalFormatting sqref="B52:M52">
    <cfRule type="cellIs" dxfId="49" priority="1" stopIfTrue="1" operator="equal">
      <formula>"ERROR"</formula>
    </cfRule>
  </conditionalFormatting>
  <dataValidations xWindow="360" yWindow="451" count="14">
    <dataValidation type="decimal" allowBlank="1" showInputMessage="1" showErrorMessage="1" error="Como máximo un 10% de morosidad" sqref="I6" xr:uid="{00000000-0002-0000-0300-000000000000}">
      <formula1>0</formula1>
      <formula2>0.1</formula2>
    </dataValidation>
    <dataValidation type="decimal" allowBlank="1" showInputMessage="1" showErrorMessage="1" sqref="J53:M57 C53:H57 H8:I8" xr:uid="{00000000-0002-0000-0300-000001000000}">
      <formula1>0</formula1>
      <formula2>1</formula2>
    </dataValidation>
    <dataValidation type="whole" allowBlank="1" showInputMessage="1" showErrorMessage="1" sqref="C38" xr:uid="{00000000-0002-0000-0300-000002000000}">
      <formula1>3</formula1>
      <formula2>20</formula2>
    </dataValidation>
    <dataValidation type="decimal" allowBlank="1" showInputMessage="1" showErrorMessage="1" error="Es obligatorio destinar un mínimo del 10% de los beneficios a reservas." sqref="C42:G42" xr:uid="{00000000-0002-0000-0300-000003000000}">
      <formula1>0.1</formula1>
      <formula2>1</formula2>
    </dataValidation>
    <dataValidation type="whole" operator="greaterThanOrEqual" allowBlank="1" showInputMessage="1" showErrorMessage="1" sqref="C46" xr:uid="{00000000-0002-0000-0300-000004000000}">
      <formula1>0</formula1>
    </dataValidation>
    <dataValidation allowBlank="1" showInputMessage="1" showErrorMessage="1" prompt="Los nombres de las familias de productos o servicios se introducen en la hoja de &lt;Precios-C.V.&gt;" sqref="A24:D31" xr:uid="{00000000-0002-0000-0300-000005000000}"/>
    <dataValidation type="list" allowBlank="1" showInputMessage="1" showErrorMessage="1" prompt="Normalmente será el 21%, excepto que se esté exento, en recargo de equivalencia o IVA en módulos._x000a_En estos casos se debe incluir el IVA dentro de los precios de coste y de venta como._x000a_O bien que se quiera realizar la simulación sin tener en cuenta el IVA." sqref="F33" xr:uid="{00000000-0002-0000-0300-000006000000}">
      <formula1>$A$102:$A$103</formula1>
    </dataValidation>
    <dataValidation type="list" allowBlank="1" showInputMessage="1" showErrorMessage="1" prompt="Tipo de IVA: 21%, 10%, 4% o bien 0% en el caso de productos o actividades exentas, recargo de equivalencia o IVA en módulos." sqref="E24:F31" xr:uid="{00000000-0002-0000-0300-000007000000}">
      <formula1>$B$106:$B$109</formula1>
    </dataValidation>
    <dataValidation type="decimal" allowBlank="1" showInputMessage="1" showErrorMessage="1" prompt="Tipo de IPC o inflacción anual prevista (entre el 0% y el 8%)" sqref="C18:F18" xr:uid="{00000000-0002-0000-0300-000008000000}">
      <formula1>0</formula1>
      <formula2>1</formula2>
    </dataValidation>
    <dataValidation type="whole" operator="greaterThanOrEqual" allowBlank="1" showInputMessage="1" showErrorMessage="1" sqref="D38:G38" xr:uid="{00000000-0002-0000-0300-000009000000}">
      <formula1>1</formula1>
    </dataValidation>
    <dataValidation type="decimal" allowBlank="1" showInputMessage="1" showErrorMessage="1" sqref="H7 H14" xr:uid="{00000000-0002-0000-0300-00000A000000}">
      <formula1>0</formula1>
      <formula2>0.5</formula2>
    </dataValidation>
    <dataValidation type="list" allowBlank="1" showInputMessage="1" showErrorMessage="1" sqref="B14:C14" xr:uid="{00000000-0002-0000-0300-00000B000000}">
      <formula1>"1,2,3,4,5,6,7,8,9,10,11,12"</formula1>
    </dataValidation>
    <dataValidation type="list" operator="greaterThanOrEqual" allowBlank="1" showInputMessage="1" showErrorMessage="1" sqref="C48" xr:uid="{00000000-0002-0000-0300-00000C000000}">
      <formula1>"Sí,No"</formula1>
    </dataValidation>
    <dataValidation type="list" allowBlank="1" showInputMessage="1" showErrorMessage="1" sqref="G11" xr:uid="{00000000-0002-0000-0300-00000D000000}">
      <formula1>$L$8:$L$14</formula1>
    </dataValidation>
  </dataValidations>
  <printOptions horizontalCentered="1"/>
  <pageMargins left="0.59055118110236227" right="0.59055118110236227" top="0.78740157480314965" bottom="0.94488188976377963" header="0" footer="0.19685039370078741"/>
  <pageSetup paperSize="9" scale="79" orientation="portrait" horizontalDpi="300" verticalDpi="300" r:id="rId1"/>
  <headerFooter alignWithMargins="0">
    <oddFooter>&amp;C&amp;"Tahoma,Normal"&amp;10&amp;A</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7">
    <tabColor indexed="45"/>
    <pageSetUpPr fitToPage="1"/>
  </sheetPr>
  <dimension ref="A1:H31"/>
  <sheetViews>
    <sheetView workbookViewId="0"/>
  </sheetViews>
  <sheetFormatPr baseColWidth="10" defaultColWidth="11" defaultRowHeight="15"/>
  <cols>
    <col min="1" max="1" width="5.875" style="36" customWidth="1"/>
    <col min="2" max="2" width="30" style="36" customWidth="1"/>
    <col min="3" max="3" width="22.625" style="36" customWidth="1"/>
    <col min="4" max="4" width="6.625" style="36" customWidth="1"/>
    <col min="5" max="5" width="5.75" style="36" customWidth="1"/>
    <col min="6" max="6" width="30.125" style="36" customWidth="1"/>
    <col min="7" max="7" width="22.625" style="36" customWidth="1"/>
    <col min="8" max="16384" width="11" style="36"/>
  </cols>
  <sheetData>
    <row r="1" spans="1:7" ht="25.5">
      <c r="A1" s="947" t="str">
        <f>CONCATENATE("Empresa: ",'Dados Básicos'!$B$9)</f>
        <v>Empresa: WWW, S.L.</v>
      </c>
      <c r="B1" s="356"/>
      <c r="C1" s="356"/>
      <c r="D1" s="356"/>
      <c r="E1" s="356"/>
      <c r="F1" s="356"/>
      <c r="G1" s="947"/>
    </row>
    <row r="2" spans="1:7" ht="25.5" customHeight="1"/>
    <row r="3" spans="1:7" s="946" customFormat="1" ht="27">
      <c r="A3" s="944" t="str">
        <f>CONCATENATE("BALANÇO  INICIAL  DO  EXERCICIO  ",Parametros!D65)</f>
        <v>BALANÇO  INICIAL  DO  EXERCICIO  2026</v>
      </c>
      <c r="B3" s="945"/>
      <c r="C3" s="945"/>
      <c r="D3" s="945"/>
      <c r="E3" s="945"/>
      <c r="F3" s="945"/>
      <c r="G3" s="945"/>
    </row>
    <row r="4" spans="1:7" s="99" customFormat="1" ht="22.5">
      <c r="B4" s="1614"/>
      <c r="D4" s="1615" t="str">
        <f>CONCATENATE("à data de 1 de ",TEXT(INDEX(Parametros!A61:A72,mes0,1),"[$-16]mmmm aaaa"))</f>
        <v>à data de 1 de janeiro 2026</v>
      </c>
    </row>
    <row r="6" spans="1:7" ht="15.75" thickBot="1"/>
    <row r="7" spans="1:7" ht="19.5">
      <c r="A7" s="258"/>
      <c r="B7" s="1675" t="s">
        <v>151</v>
      </c>
      <c r="C7" s="385"/>
      <c r="E7" s="258"/>
      <c r="F7" s="1676" t="s">
        <v>1085</v>
      </c>
      <c r="G7" s="385"/>
    </row>
    <row r="8" spans="1:7">
      <c r="A8" s="106"/>
      <c r="C8" s="389"/>
      <c r="E8" s="106"/>
      <c r="G8" s="389"/>
    </row>
    <row r="9" spans="1:7" ht="18">
      <c r="A9" s="2845" t="str">
        <f>'Balanços anuais'!A5</f>
        <v>Ativos Não Currentes</v>
      </c>
      <c r="C9" s="1661">
        <f>SUM(C10:C17)</f>
        <v>0</v>
      </c>
      <c r="E9" s="2845" t="str">
        <f>'Balanços anuais'!A26</f>
        <v>Capital Próprio</v>
      </c>
      <c r="F9" s="646"/>
      <c r="G9" s="1661">
        <f>SUM(G10:G13)</f>
        <v>2335</v>
      </c>
    </row>
    <row r="10" spans="1:7">
      <c r="A10" s="106"/>
      <c r="B10" s="1679" t="str">
        <f>'Balanços anuais'!A6</f>
        <v>Inmobilizado Material</v>
      </c>
      <c r="C10" s="1662">
        <f>Amortiçações!B6</f>
        <v>0</v>
      </c>
      <c r="E10" s="106"/>
      <c r="F10" s="1471" t="str">
        <f>'Balanços anuais'!A27</f>
        <v>Capital</v>
      </c>
      <c r="G10" s="1670">
        <f>'Finançamento Inicial'!B7+'Finançamento Inicial'!C7
+'Finançamento Inicial'!B8+'Finançamento Inicial'!C8</f>
        <v>3000</v>
      </c>
    </row>
    <row r="11" spans="1:7">
      <c r="A11" s="106"/>
      <c r="B11" s="40" t="s">
        <v>160</v>
      </c>
      <c r="C11" s="1663">
        <f>-Amortiçações!C6</f>
        <v>0</v>
      </c>
      <c r="E11" s="106"/>
      <c r="F11" s="73" t="str">
        <f>'Balanços anuais'!A28</f>
        <v>Reservas exercicios anteriores</v>
      </c>
      <c r="G11" s="1791">
        <f>SUM(resprevio)-'Despesas Iniciais'!B12*0</f>
        <v>-665</v>
      </c>
    </row>
    <row r="12" spans="1:7">
      <c r="A12" s="106"/>
      <c r="B12" s="1679" t="str">
        <f>'Balanços anuais'!A7</f>
        <v>Inmobilizado Intangivel</v>
      </c>
      <c r="C12" s="1664">
        <f>'Inv. Iniciais ANC'!B63</f>
        <v>0</v>
      </c>
      <c r="E12" s="106"/>
      <c r="F12" s="36" t="s">
        <v>1084</v>
      </c>
      <c r="G12" s="1671">
        <f>'Finançamento Inicial'!D13</f>
        <v>0</v>
      </c>
    </row>
    <row r="13" spans="1:7">
      <c r="A13" s="106"/>
      <c r="B13" s="40" t="s">
        <v>161</v>
      </c>
      <c r="C13" s="1663">
        <f>-'Inv. Iniciais ANC'!E63</f>
        <v>0</v>
      </c>
      <c r="E13" s="106"/>
      <c r="F13" s="73" t="str">
        <f>'Balanços anuais'!A29</f>
        <v>Subvenções</v>
      </c>
      <c r="G13" s="1664">
        <f>'Finançamento Inicial'!D14</f>
        <v>0</v>
      </c>
    </row>
    <row r="14" spans="1:7">
      <c r="A14" s="106"/>
      <c r="B14" s="1679" t="str">
        <f>'Balanços anuais'!A11</f>
        <v>Inmob. Financeiro Lungo Prazo</v>
      </c>
      <c r="C14" s="1662">
        <f>'Balanços anuais'!D11</f>
        <v>0</v>
      </c>
      <c r="E14" s="106"/>
      <c r="F14" s="73" t="str">
        <f>'Balanços anuais'!A30</f>
        <v>Resultados pend. Aplicação</v>
      </c>
      <c r="G14" s="1671">
        <v>0</v>
      </c>
    </row>
    <row r="15" spans="1:7">
      <c r="A15" s="106"/>
      <c r="B15" s="40"/>
      <c r="C15" s="389"/>
      <c r="E15" s="106"/>
      <c r="G15" s="389"/>
    </row>
    <row r="16" spans="1:7" ht="18">
      <c r="A16" s="106"/>
      <c r="B16" s="40" t="s">
        <v>162</v>
      </c>
      <c r="C16" s="1665">
        <f>'Despesas Iniciais'!B12*0
+'Despesas Iniciais'!B20*0</f>
        <v>0</v>
      </c>
      <c r="E16" s="1660" t="s">
        <v>638</v>
      </c>
      <c r="F16" s="646"/>
      <c r="G16" s="1661">
        <f ca="1">G17+G21</f>
        <v>0</v>
      </c>
    </row>
    <row r="17" spans="1:8">
      <c r="A17" s="106"/>
      <c r="B17" s="40" t="s">
        <v>163</v>
      </c>
      <c r="C17" s="1666"/>
      <c r="E17" s="2861" t="str">
        <f>'Balanços anuais'!A32</f>
        <v>Passivos a Lungo Prazo</v>
      </c>
      <c r="F17" s="694"/>
      <c r="G17" s="1672">
        <f>SUM(G18:G19)</f>
        <v>0</v>
      </c>
      <c r="H17" s="942"/>
    </row>
    <row r="18" spans="1:8">
      <c r="A18" s="106"/>
      <c r="C18" s="389"/>
      <c r="E18" s="106"/>
      <c r="F18" s="73" t="str">
        <f>'Balanços anuais'!A33</f>
        <v>Creedores L.P. Financeiros</v>
      </c>
      <c r="G18" s="1670">
        <f>'Finançamento Inicial'!D18</f>
        <v>0</v>
      </c>
      <c r="H18" s="942"/>
    </row>
    <row r="19" spans="1:8" ht="18">
      <c r="A19" s="2845" t="str">
        <f>'Balanços anuais'!A13</f>
        <v>Ativos Currentes</v>
      </c>
      <c r="C19" s="1661">
        <f ca="1">SUM(C20:C27)</f>
        <v>2335</v>
      </c>
      <c r="E19" s="106"/>
      <c r="F19" s="73" t="str">
        <f>'Balanços anuais'!A35</f>
        <v>Outros Creedores L.P.</v>
      </c>
      <c r="G19" s="1670">
        <f>'Finançamento Inicial'!B20</f>
        <v>0</v>
      </c>
    </row>
    <row r="20" spans="1:8">
      <c r="A20" s="106"/>
      <c r="B20" s="40" t="s">
        <v>155</v>
      </c>
      <c r="C20" s="1662">
        <f>'Investimentos AC'!I7</f>
        <v>0</v>
      </c>
      <c r="E20" s="106"/>
      <c r="G20" s="389"/>
    </row>
    <row r="21" spans="1:8">
      <c r="A21" s="106"/>
      <c r="B21" s="40" t="s">
        <v>156</v>
      </c>
      <c r="C21" s="1662">
        <f ca="1">'Investimentos AC'!I11</f>
        <v>0</v>
      </c>
      <c r="E21" s="2861" t="str">
        <f>'Balanços anuais'!A37</f>
        <v>Passivos a Curto Prazo</v>
      </c>
      <c r="F21" s="694"/>
      <c r="G21" s="1672">
        <f ca="1">SUM(G22:G27)</f>
        <v>0</v>
      </c>
    </row>
    <row r="22" spans="1:8">
      <c r="A22" s="106"/>
      <c r="B22" s="40" t="s">
        <v>157</v>
      </c>
      <c r="C22" s="1665">
        <f>'Investimentos AC'!$G$24</f>
        <v>0</v>
      </c>
      <c r="E22" s="106"/>
      <c r="F22" s="73" t="str">
        <f>'Balanços anuais'!A38</f>
        <v>Creedores C.P. Financeiros</v>
      </c>
      <c r="G22" s="1670">
        <f>'Finançamento Inicial'!D23</f>
        <v>0</v>
      </c>
    </row>
    <row r="23" spans="1:8">
      <c r="A23" s="106"/>
      <c r="B23" s="40" t="s">
        <v>336</v>
      </c>
      <c r="C23" s="1665">
        <f>+'Investimentos AC'!I23</f>
        <v>0</v>
      </c>
      <c r="E23" s="106"/>
      <c r="F23" s="73" t="str">
        <f>'Balanços anuais'!A39</f>
        <v>Crédito financeiro C.P.</v>
      </c>
      <c r="G23" s="1670">
        <f>'Finançamento Inicial'!$B$25</f>
        <v>0</v>
      </c>
    </row>
    <row r="24" spans="1:8">
      <c r="A24" s="106"/>
      <c r="B24" s="40" t="s">
        <v>158</v>
      </c>
      <c r="C24" s="1662">
        <f>IF(irpf&lt;&gt;0,+'Investimentos AC'!G21,0)</f>
        <v>0</v>
      </c>
      <c r="E24" s="106"/>
      <c r="F24" s="73" t="str">
        <f>'Balanços anuais'!A40</f>
        <v>Fornecedores</v>
      </c>
      <c r="G24" s="1670">
        <f ca="1">'Finançamento Inicial'!$B$27+'Finançamento Inicial'!$C$26</f>
        <v>0</v>
      </c>
    </row>
    <row r="25" spans="1:8">
      <c r="A25" s="106"/>
      <c r="B25" s="40" t="str">
        <f>"H.P. Deudora "&amp;IF(isoc=0," I.R.P.F.","Imp. Sociedades")</f>
        <v>H.P. Deudora Imp. Sociedades</v>
      </c>
      <c r="C25" s="1662">
        <f>+'Investimentos AC'!G22</f>
        <v>0</v>
      </c>
      <c r="E25" s="106"/>
      <c r="F25" s="73" t="str">
        <f>'Balanços anuais'!A41</f>
        <v>A.T. creedora IVA</v>
      </c>
      <c r="G25" s="1670">
        <f>'Finançamento Inicial'!B28</f>
        <v>0</v>
      </c>
    </row>
    <row r="26" spans="1:8">
      <c r="A26" s="106"/>
      <c r="B26" s="1679" t="str">
        <f>'Balanços anuais'!A21</f>
        <v>A.T. Devedora IVA</v>
      </c>
      <c r="C26" s="1662">
        <f ca="1">'Investimentos AC'!H19+'Investimentos AC'!G20</f>
        <v>133.35</v>
      </c>
      <c r="E26" s="106"/>
      <c r="F26" s="73" t="str">
        <f>'Balanços anuais'!A42</f>
        <v>A.T. creedora I.R.C.</v>
      </c>
      <c r="G26" s="1673">
        <f>+'Finançamento Inicial'!B29</f>
        <v>0</v>
      </c>
    </row>
    <row r="27" spans="1:8">
      <c r="A27" s="106"/>
      <c r="B27" s="40" t="s">
        <v>159</v>
      </c>
      <c r="C27" s="1662">
        <f ca="1">'Investimentos AC'!I26</f>
        <v>2201.65</v>
      </c>
      <c r="E27" s="106"/>
      <c r="F27" s="73" t="str">
        <f>'Balanços anuais'!A43</f>
        <v>Outros Creedores C.P.</v>
      </c>
      <c r="G27" s="1670">
        <f>'Finançamento Inicial'!D30</f>
        <v>0</v>
      </c>
    </row>
    <row r="28" spans="1:8">
      <c r="A28" s="106"/>
      <c r="C28" s="389"/>
      <c r="E28" s="106"/>
      <c r="G28" s="389"/>
    </row>
    <row r="29" spans="1:8" ht="18.75" thickBot="1">
      <c r="A29" s="1667"/>
      <c r="B29" s="2863" t="str">
        <f>'Balanços anuais'!A24</f>
        <v>Total Ativo</v>
      </c>
      <c r="C29" s="1669">
        <f ca="1">C19+C9</f>
        <v>2335</v>
      </c>
      <c r="E29" s="1667"/>
      <c r="F29" s="2862" t="str">
        <f>'Balanços anuais'!A46</f>
        <v>Capital Próprio e Passivos</v>
      </c>
      <c r="G29" s="1669">
        <f ca="1">G16+G9</f>
        <v>2335</v>
      </c>
    </row>
    <row r="31" spans="1:8">
      <c r="G31" s="943" t="str">
        <f ca="1">IF(ABS(G29-C29)&gt;0.0001,G29-C29,"")</f>
        <v/>
      </c>
    </row>
  </sheetData>
  <sheetProtection sheet="1" objects="1" scenarios="1"/>
  <phoneticPr fontId="4" type="noConversion"/>
  <printOptions horizontalCentered="1"/>
  <pageMargins left="0.75" right="0.75" top="0.42" bottom="1" header="0" footer="0"/>
  <pageSetup paperSize="9" scale="98" orientation="landscape" horizont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0">
    <tabColor theme="3" tint="0.39997558519241921"/>
    <pageSetUpPr fitToPage="1"/>
  </sheetPr>
  <dimension ref="A1:O55"/>
  <sheetViews>
    <sheetView workbookViewId="0"/>
  </sheetViews>
  <sheetFormatPr baseColWidth="10" defaultColWidth="11" defaultRowHeight="15"/>
  <cols>
    <col min="1" max="1" width="33.5" style="694" customWidth="1"/>
    <col min="2" max="3" width="17.625" style="694" customWidth="1"/>
    <col min="4" max="4" width="13.5" style="36" customWidth="1"/>
    <col min="5" max="5" width="14.25" style="698" customWidth="1"/>
    <col min="6" max="6" width="12.875" style="36" customWidth="1"/>
    <col min="7" max="7" width="11.625" style="36" customWidth="1"/>
    <col min="8" max="8" width="12.875" style="36" customWidth="1"/>
    <col min="9" max="9" width="11.625" style="36" customWidth="1"/>
    <col min="10" max="10" width="12.875" style="36" customWidth="1"/>
    <col min="11" max="11" width="11.625" style="36" customWidth="1"/>
    <col min="12" max="12" width="12.875" style="36" customWidth="1"/>
    <col min="13" max="13" width="11.625" style="36" customWidth="1"/>
    <col min="14" max="14" width="12.875" style="36" customWidth="1"/>
    <col min="15" max="15" width="11.625" style="36" customWidth="1"/>
    <col min="16" max="16384" width="11" style="36"/>
  </cols>
  <sheetData>
    <row r="1" spans="1:15" ht="22.5">
      <c r="A1" s="417" t="s">
        <v>760</v>
      </c>
      <c r="B1" s="417"/>
      <c r="C1" s="417"/>
      <c r="D1" s="691"/>
      <c r="E1" s="691"/>
      <c r="F1" s="691"/>
      <c r="G1" s="691"/>
      <c r="H1" s="691"/>
      <c r="I1" s="220"/>
      <c r="J1" s="220"/>
      <c r="K1" s="220"/>
      <c r="L1" s="220"/>
      <c r="M1" s="220"/>
      <c r="N1" s="220"/>
      <c r="O1" s="220"/>
    </row>
    <row r="2" spans="1:15" ht="23.25" thickBot="1">
      <c r="A2" s="417" t="str">
        <f>'Dados Básicos'!B9</f>
        <v>WWW, S.L.</v>
      </c>
      <c r="B2" s="417"/>
      <c r="C2" s="417"/>
      <c r="D2" s="692"/>
      <c r="E2" s="692"/>
      <c r="F2" s="693"/>
      <c r="G2" s="692"/>
      <c r="H2" s="693"/>
      <c r="J2" s="693"/>
      <c r="K2" s="264"/>
      <c r="L2" s="693"/>
      <c r="M2" s="264"/>
      <c r="N2" s="693"/>
      <c r="O2" s="264"/>
    </row>
    <row r="3" spans="1:15" ht="15.75" thickBot="1">
      <c r="B3" s="1680" t="s">
        <v>1132</v>
      </c>
      <c r="C3" s="1680"/>
      <c r="D3" s="1680" t="str">
        <f>MID('Dados Básicos'!F21,3,40)&amp;" (*)"</f>
        <v>mes de janeiro de 2026 (*)</v>
      </c>
      <c r="E3" s="1681"/>
      <c r="F3" s="1680" t="str">
        <f>CONCATENATE(Parametros!$B$72,"  ",TEXT(Parametros!D64,aa&amp;aa))</f>
        <v>dezembro  2026</v>
      </c>
      <c r="G3" s="1681"/>
      <c r="H3" s="1680" t="str">
        <f>CONCATENATE(Parametros!$B$72,"  ",TEXT(Parametros!E64,aa&amp;aa))</f>
        <v>dezembro  2027</v>
      </c>
      <c r="I3" s="1681"/>
      <c r="J3" s="1680" t="str">
        <f>CONCATENATE(Parametros!$B$72,"  ",TEXT(Parametros!F64,aa&amp;aa))</f>
        <v>dezembro  2028</v>
      </c>
      <c r="K3" s="1681"/>
      <c r="L3" s="1680" t="str">
        <f>CONCATENATE(Parametros!$B$72,"  ",TEXT(Parametros!G64,aa&amp;aa))</f>
        <v>dezembro  2029</v>
      </c>
      <c r="M3" s="1681"/>
      <c r="N3" s="1680" t="str">
        <f>CONCATENATE(Parametros!$B$72,"  ",TEXT(Parametros!H64,aa&amp;aa))</f>
        <v>dezembro  2030</v>
      </c>
      <c r="O3" s="1681"/>
    </row>
    <row r="4" spans="1:15" ht="15.75" thickBot="1">
      <c r="A4" s="73"/>
      <c r="B4" s="707" t="str">
        <f>$D$4</f>
        <v>€</v>
      </c>
      <c r="C4" s="708" t="s">
        <v>6</v>
      </c>
      <c r="D4" s="707" t="str">
        <f>Parametros!H11</f>
        <v>€</v>
      </c>
      <c r="E4" s="708" t="s">
        <v>6</v>
      </c>
      <c r="F4" s="707" t="str">
        <f>$D$4</f>
        <v>€</v>
      </c>
      <c r="G4" s="708" t="s">
        <v>6</v>
      </c>
      <c r="H4" s="707" t="str">
        <f>$D$4</f>
        <v>€</v>
      </c>
      <c r="I4" s="708" t="s">
        <v>6</v>
      </c>
      <c r="J4" s="707" t="str">
        <f>$D$4</f>
        <v>€</v>
      </c>
      <c r="K4" s="709" t="s">
        <v>6</v>
      </c>
      <c r="L4" s="707" t="str">
        <f>$D$4</f>
        <v>€</v>
      </c>
      <c r="M4" s="709" t="s">
        <v>6</v>
      </c>
      <c r="N4" s="707" t="str">
        <f>$D$4</f>
        <v>€</v>
      </c>
      <c r="O4" s="709" t="s">
        <v>6</v>
      </c>
    </row>
    <row r="5" spans="1:15" s="49" customFormat="1" ht="16.5" customHeight="1">
      <c r="A5" s="1702" t="s">
        <v>1096</v>
      </c>
      <c r="B5" s="1696">
        <f>SUM(B6:B12)</f>
        <v>0</v>
      </c>
      <c r="C5" s="1693">
        <f t="shared" ref="C5:C11" ca="1" si="0">IFERROR(B5/B$24,0)</f>
        <v>0</v>
      </c>
      <c r="D5" s="1696">
        <f>SUM(D6:D12)</f>
        <v>0</v>
      </c>
      <c r="E5" s="1693">
        <f ca="1">D5/D$24</f>
        <v>0</v>
      </c>
      <c r="F5" s="1698">
        <f>SUM(F6:F12)</f>
        <v>0</v>
      </c>
      <c r="G5" s="1695">
        <f ca="1">F5/F$24</f>
        <v>0</v>
      </c>
      <c r="H5" s="1698">
        <f>SUM(H6:H12)</f>
        <v>0</v>
      </c>
      <c r="I5" s="1695">
        <f ca="1">H5/H$24</f>
        <v>0</v>
      </c>
      <c r="J5" s="1698">
        <f>SUM(J6:J12)</f>
        <v>0</v>
      </c>
      <c r="K5" s="1695">
        <f ca="1">J5/J$24</f>
        <v>0</v>
      </c>
      <c r="L5" s="1698">
        <f>SUM(L6:L12)</f>
        <v>0</v>
      </c>
      <c r="M5" s="1695">
        <f ca="1">L5/L$24</f>
        <v>0</v>
      </c>
      <c r="N5" s="1698">
        <f>SUM(N6:N12)</f>
        <v>0</v>
      </c>
      <c r="O5" s="1695">
        <f ca="1">N5/N$24</f>
        <v>0</v>
      </c>
    </row>
    <row r="6" spans="1:15" ht="16.5" customHeight="1">
      <c r="A6" s="1470" t="s">
        <v>761</v>
      </c>
      <c r="B6" s="701">
        <f>'Bal. Inicial Previo'!D12+'Bal. Inicial Previo'!D14</f>
        <v>0</v>
      </c>
      <c r="C6" s="711">
        <f t="shared" ca="1" si="0"/>
        <v>0</v>
      </c>
      <c r="D6" s="701">
        <f>Amortiçações!B6</f>
        <v>0</v>
      </c>
      <c r="E6" s="711">
        <f ca="1">D6/D$24</f>
        <v>0</v>
      </c>
      <c r="F6" s="710">
        <f>D6</f>
        <v>0</v>
      </c>
      <c r="G6" s="711">
        <f ca="1">F6/F$24</f>
        <v>0</v>
      </c>
      <c r="H6" s="710">
        <f>F6+Amortiçações!E6</f>
        <v>0</v>
      </c>
      <c r="I6" s="711">
        <f ca="1">H6/H$24</f>
        <v>0</v>
      </c>
      <c r="J6" s="710">
        <f>H6+Amortiçações!F6</f>
        <v>0</v>
      </c>
      <c r="K6" s="711">
        <f ca="1">J6/J$24</f>
        <v>0</v>
      </c>
      <c r="L6" s="710">
        <f>J6+Amortiçações!G6</f>
        <v>0</v>
      </c>
      <c r="M6" s="711">
        <f ca="1">L6/L$24</f>
        <v>0</v>
      </c>
      <c r="N6" s="710">
        <f>L6+Amortiçações!H6</f>
        <v>0</v>
      </c>
      <c r="O6" s="711">
        <f ca="1">N6/N$24</f>
        <v>0</v>
      </c>
    </row>
    <row r="7" spans="1:15" ht="16.5" customHeight="1">
      <c r="A7" s="1470" t="s">
        <v>762</v>
      </c>
      <c r="B7" s="701">
        <f>'Bal. Inicial Previo'!D10</f>
        <v>0</v>
      </c>
      <c r="C7" s="711">
        <f ca="1">IFERROR(B7/B$24,0)</f>
        <v>0</v>
      </c>
      <c r="D7" s="701">
        <f>'Inv. Iniciais ANC'!B63</f>
        <v>0</v>
      </c>
      <c r="E7" s="711">
        <f ca="1">D7/D$24</f>
        <v>0</v>
      </c>
      <c r="F7" s="710">
        <f>D7</f>
        <v>0</v>
      </c>
      <c r="G7" s="711">
        <f ca="1">F7/F$24</f>
        <v>0</v>
      </c>
      <c r="H7" s="710">
        <f>F7+Amortiçações!E17</f>
        <v>0</v>
      </c>
      <c r="I7" s="711">
        <f ca="1">H7/H$24</f>
        <v>0</v>
      </c>
      <c r="J7" s="710">
        <f>H7+Amortiçações!F17</f>
        <v>0</v>
      </c>
      <c r="K7" s="711">
        <f ca="1">J7/J$24</f>
        <v>0</v>
      </c>
      <c r="L7" s="710">
        <f>J7+Amortiçações!G17</f>
        <v>0</v>
      </c>
      <c r="M7" s="711">
        <f ca="1">L7/L$24</f>
        <v>0</v>
      </c>
      <c r="N7" s="710">
        <f>L7+Amortiçações!H17</f>
        <v>0</v>
      </c>
      <c r="O7" s="711">
        <f ca="1">N7/N$24</f>
        <v>0</v>
      </c>
    </row>
    <row r="8" spans="1:15" ht="16.5" customHeight="1">
      <c r="A8" s="1470" t="s">
        <v>763</v>
      </c>
      <c r="B8" s="701">
        <v>0</v>
      </c>
      <c r="C8" s="711">
        <f t="shared" ca="1" si="0"/>
        <v>0</v>
      </c>
      <c r="D8" s="701">
        <f>-Amortiçações!C6-'Inv. Iniciais ANC'!E63</f>
        <v>0</v>
      </c>
      <c r="E8" s="711">
        <f ca="1">D8/D$24</f>
        <v>0</v>
      </c>
      <c r="F8" s="710">
        <f>D8-Amortiçações!D28-Amortiçações!D39</f>
        <v>0</v>
      </c>
      <c r="G8" s="711">
        <f ca="1">F8/F$24</f>
        <v>0</v>
      </c>
      <c r="H8" s="710">
        <f>F8-Amortiçações!E28-Amortiçações!E39</f>
        <v>0</v>
      </c>
      <c r="I8" s="711">
        <f ca="1">H8/H$24</f>
        <v>0</v>
      </c>
      <c r="J8" s="710">
        <f>H8-Amortiçações!F28-Amortiçações!F39</f>
        <v>0</v>
      </c>
      <c r="K8" s="711">
        <f ca="1">J8/J$24</f>
        <v>0</v>
      </c>
      <c r="L8" s="710">
        <f>J8-Amortiçações!G28-Amortiçações!G39</f>
        <v>0</v>
      </c>
      <c r="M8" s="711">
        <f ca="1">L8/L$24</f>
        <v>0</v>
      </c>
      <c r="N8" s="710">
        <f>L8-Amortiçações!H28-Amortiçações!H39</f>
        <v>0</v>
      </c>
      <c r="O8" s="711">
        <f ca="1">N8/N$24</f>
        <v>0</v>
      </c>
    </row>
    <row r="9" spans="1:15" s="1632" customFormat="1" ht="16.5" hidden="1" customHeight="1">
      <c r="A9" s="1677" t="s">
        <v>152</v>
      </c>
      <c r="B9" s="1634"/>
      <c r="C9" s="711">
        <f t="shared" ca="1" si="0"/>
        <v>0</v>
      </c>
      <c r="D9" s="1634">
        <f>'Despesas Iniciais'!B12*0</f>
        <v>0</v>
      </c>
      <c r="E9" s="711">
        <f ca="1">D9/D$24</f>
        <v>0</v>
      </c>
      <c r="F9" s="1636">
        <f>D9</f>
        <v>0</v>
      </c>
      <c r="G9" s="1637">
        <f ca="1">F9/F$24</f>
        <v>0</v>
      </c>
      <c r="H9" s="1636">
        <f>F9</f>
        <v>0</v>
      </c>
      <c r="I9" s="1637">
        <f ca="1">H9/H$24</f>
        <v>0</v>
      </c>
      <c r="J9" s="1636">
        <f>H9</f>
        <v>0</v>
      </c>
      <c r="K9" s="1637">
        <f ca="1">J9/J$24</f>
        <v>0</v>
      </c>
      <c r="L9" s="1636">
        <f>J9</f>
        <v>0</v>
      </c>
      <c r="M9" s="1637">
        <f ca="1">L9/L$24</f>
        <v>0</v>
      </c>
      <c r="N9" s="1636">
        <f>L9</f>
        <v>0</v>
      </c>
      <c r="O9" s="1637">
        <f ca="1">N9/N$24</f>
        <v>0</v>
      </c>
    </row>
    <row r="10" spans="1:15" s="1616" customFormat="1" ht="16.5" hidden="1" customHeight="1">
      <c r="A10" s="1678" t="s">
        <v>153</v>
      </c>
      <c r="B10" s="1617"/>
      <c r="C10" s="711">
        <f t="shared" ca="1" si="0"/>
        <v>0</v>
      </c>
      <c r="D10" s="1617">
        <f>+'Despesas Iniciais'!B20*0</f>
        <v>0</v>
      </c>
      <c r="E10" s="711"/>
      <c r="F10" s="1619">
        <f>D10</f>
        <v>0</v>
      </c>
      <c r="G10" s="1620"/>
      <c r="H10" s="1619">
        <f>F10</f>
        <v>0</v>
      </c>
      <c r="I10" s="1620"/>
      <c r="J10" s="1619">
        <f>H10</f>
        <v>0</v>
      </c>
      <c r="K10" s="1620"/>
      <c r="L10" s="1619">
        <f>J10</f>
        <v>0</v>
      </c>
      <c r="M10" s="1620"/>
      <c r="N10" s="1619">
        <f>L10</f>
        <v>0</v>
      </c>
      <c r="O10" s="1620"/>
    </row>
    <row r="11" spans="1:15" ht="16.5" customHeight="1">
      <c r="A11" s="1470" t="s">
        <v>764</v>
      </c>
      <c r="B11" s="701">
        <f>'Bal. Inicial Previo'!D18</f>
        <v>0</v>
      </c>
      <c r="C11" s="711">
        <f t="shared" ca="1" si="0"/>
        <v>0</v>
      </c>
      <c r="D11" s="701">
        <f>'Despesas Iniciais'!B26</f>
        <v>0</v>
      </c>
      <c r="E11" s="711">
        <f ca="1">D11/D$24</f>
        <v>0</v>
      </c>
      <c r="F11" s="710">
        <f>D11
-'Despesas Fixas Dados'!$B$21*IF(mes0+'Despesas Fixas Dados'!C33&lt;=12,'Despesas Fixas Dados'!C33,12-mes0+1)</f>
        <v>0</v>
      </c>
      <c r="G11" s="711">
        <f ca="1">F11/F$24</f>
        <v>0</v>
      </c>
      <c r="H11" s="710">
        <f>F11
-'Despesas Fixas Dados'!B21*IF(mes0+'Despesas Fixas Dados'!C33&lt;=12,0,mes0+'Despesas Fixas Dados'!C33-12)</f>
        <v>0</v>
      </c>
      <c r="I11" s="711">
        <f ca="1">H11/H$24</f>
        <v>0</v>
      </c>
      <c r="J11" s="710">
        <f>H11</f>
        <v>0</v>
      </c>
      <c r="K11" s="711">
        <f ca="1">J11/J$24</f>
        <v>0</v>
      </c>
      <c r="L11" s="710">
        <f>J11</f>
        <v>0</v>
      </c>
      <c r="M11" s="711">
        <f ca="1">L11/L$24</f>
        <v>0</v>
      </c>
      <c r="N11" s="710">
        <f>L11</f>
        <v>0</v>
      </c>
      <c r="O11" s="711">
        <f ca="1">N11/N$24</f>
        <v>0</v>
      </c>
    </row>
    <row r="12" spans="1:15" ht="16.5" customHeight="1">
      <c r="A12" s="695"/>
      <c r="B12" s="701"/>
      <c r="C12" s="702"/>
      <c r="D12" s="701"/>
      <c r="E12" s="702"/>
      <c r="F12" s="710"/>
      <c r="G12" s="711"/>
      <c r="H12" s="710"/>
      <c r="I12" s="711"/>
      <c r="J12" s="710"/>
      <c r="K12" s="711"/>
      <c r="L12" s="710"/>
      <c r="M12" s="711"/>
      <c r="N12" s="710"/>
      <c r="O12" s="711"/>
    </row>
    <row r="13" spans="1:15" s="49" customFormat="1" ht="16.5" customHeight="1">
      <c r="A13" s="1700" t="s">
        <v>1115</v>
      </c>
      <c r="B13" s="1692">
        <f ca="1">SUM(B14:B23)</f>
        <v>0</v>
      </c>
      <c r="C13" s="1693">
        <f t="shared" ref="C13:C22" ca="1" si="1">IFERROR(B13/B$24,0)</f>
        <v>0</v>
      </c>
      <c r="D13" s="1692">
        <f ca="1">SUM(D14:D23)</f>
        <v>2335</v>
      </c>
      <c r="E13" s="1693">
        <f t="shared" ref="E13:E22" ca="1" si="2">D13/D$24</f>
        <v>1</v>
      </c>
      <c r="F13" s="1694">
        <f ca="1">SUM(F14:F23)</f>
        <v>-7289.1101818181842</v>
      </c>
      <c r="G13" s="1695">
        <f t="shared" ref="G13:G22" ca="1" si="3">F13/F$24</f>
        <v>1</v>
      </c>
      <c r="H13" s="1694">
        <f ca="1">SUM(H14:H23)</f>
        <v>-15126.963843636366</v>
      </c>
      <c r="I13" s="1695">
        <f t="shared" ref="I13:I22" ca="1" si="4">H13/H$24</f>
        <v>1</v>
      </c>
      <c r="J13" s="1694">
        <f ca="1">SUM(J14:J23)</f>
        <v>-23005.309287336371</v>
      </c>
      <c r="K13" s="1695">
        <f t="shared" ref="K13:K22" ca="1" si="5">J13/J$24</f>
        <v>1</v>
      </c>
      <c r="L13" s="1694">
        <f ca="1">SUM(L14:L23)</f>
        <v>-30873.669101798463</v>
      </c>
      <c r="M13" s="1695">
        <f t="shared" ref="M13:M22" ca="1" si="6">L13/L$24</f>
        <v>1</v>
      </c>
      <c r="N13" s="1694">
        <f ca="1">SUM(N14:N23)</f>
        <v>-38711.768984771967</v>
      </c>
      <c r="O13" s="1695">
        <f t="shared" ref="O13:O22" ca="1" si="7">N13/N$24</f>
        <v>1</v>
      </c>
    </row>
    <row r="14" spans="1:15" ht="16.5" customHeight="1">
      <c r="A14" s="1470" t="s">
        <v>765</v>
      </c>
      <c r="B14" s="710">
        <f>'Investimentos AC'!G7</f>
        <v>0</v>
      </c>
      <c r="C14" s="711">
        <f t="shared" ca="1" si="1"/>
        <v>0</v>
      </c>
      <c r="D14" s="710">
        <f>'Investimentos AC'!I7</f>
        <v>0</v>
      </c>
      <c r="E14" s="711">
        <f t="shared" ca="1" si="2"/>
        <v>0</v>
      </c>
      <c r="F14" s="710">
        <f>D14</f>
        <v>0</v>
      </c>
      <c r="G14" s="711">
        <f t="shared" ca="1" si="3"/>
        <v>0</v>
      </c>
      <c r="H14" s="710">
        <f>F14+'Investimentos AC'!C36</f>
        <v>0</v>
      </c>
      <c r="I14" s="711">
        <f t="shared" ca="1" si="4"/>
        <v>0</v>
      </c>
      <c r="J14" s="710">
        <f>H14+'Investimentos AC'!D36</f>
        <v>0</v>
      </c>
      <c r="K14" s="711">
        <f t="shared" ca="1" si="5"/>
        <v>0</v>
      </c>
      <c r="L14" s="710">
        <f>J14+'Investimentos AC'!E36</f>
        <v>0</v>
      </c>
      <c r="M14" s="711">
        <f t="shared" ca="1" si="6"/>
        <v>0</v>
      </c>
      <c r="N14" s="710">
        <f>L14+'Investimentos AC'!F36</f>
        <v>0</v>
      </c>
      <c r="O14" s="711">
        <f t="shared" ca="1" si="7"/>
        <v>0</v>
      </c>
    </row>
    <row r="15" spans="1:15" ht="16.5" customHeight="1">
      <c r="A15" s="1470" t="s">
        <v>1117</v>
      </c>
      <c r="B15" s="710">
        <f ca="1">'Investimentos AC'!G11</f>
        <v>0</v>
      </c>
      <c r="C15" s="711">
        <f t="shared" ca="1" si="1"/>
        <v>0</v>
      </c>
      <c r="D15" s="710">
        <f ca="1">'Investimentos AC'!I11</f>
        <v>0</v>
      </c>
      <c r="E15" s="711">
        <f t="shared" ca="1" si="2"/>
        <v>0</v>
      </c>
      <c r="F15" s="710">
        <f ca="1">($D15-'Investimentos AC'!G15)+SUM('Distr CV 1'!B85:M85)</f>
        <v>0</v>
      </c>
      <c r="G15" s="711">
        <f t="shared" ca="1" si="3"/>
        <v>0</v>
      </c>
      <c r="H15" s="710">
        <f ca="1">(F15-SUM('Distr CV 1'!B85:M85))+SUM('Distr CV 2'!B85:M85)+SUM('Investimentos AC'!C39:C41)</f>
        <v>0</v>
      </c>
      <c r="I15" s="711">
        <f t="shared" ca="1" si="4"/>
        <v>0</v>
      </c>
      <c r="J15" s="710">
        <f ca="1">(H15-SUM('Distr CV 2'!B85:M85))+SUM('Distr CV 3'!B85:M85)+SUM('Investimentos AC'!D39:D41)</f>
        <v>0</v>
      </c>
      <c r="K15" s="711">
        <f t="shared" ca="1" si="5"/>
        <v>0</v>
      </c>
      <c r="L15" s="710">
        <f ca="1">(J15-SUM('Distr CV 3'!B85:M85))+SUM('Distr CV 4'!B85:M85)+SUM('Investimentos AC'!E39:E41)</f>
        <v>0</v>
      </c>
      <c r="M15" s="711">
        <f t="shared" ca="1" si="6"/>
        <v>0</v>
      </c>
      <c r="N15" s="710">
        <f ca="1">(L15-SUM('Distr CV 4'!B85:M85))+SUM('Distr CV 5'!B85:M85)+SUM('Investimentos AC'!F39:F41)</f>
        <v>0</v>
      </c>
      <c r="O15" s="711">
        <f t="shared" ca="1" si="7"/>
        <v>0</v>
      </c>
    </row>
    <row r="16" spans="1:15" ht="16.5" customHeight="1">
      <c r="A16" s="1470" t="s">
        <v>766</v>
      </c>
      <c r="B16" s="710">
        <f>'Investimentos AC'!G24</f>
        <v>0</v>
      </c>
      <c r="C16" s="711">
        <f t="shared" ca="1" si="1"/>
        <v>0</v>
      </c>
      <c r="D16" s="710">
        <f>'Investimentos AC'!G24</f>
        <v>0</v>
      </c>
      <c r="E16" s="711">
        <f t="shared" ca="1" si="2"/>
        <v>0</v>
      </c>
      <c r="F16" s="710">
        <f ca="1">'Receitas e pagamentos 0'!S30+'Investimentos AC'!G24    -'Otros cobros y pagos'!N11*0
-('Tesorería 0'!O7-'Investimentos AC'!I23)</f>
        <v>0</v>
      </c>
      <c r="G16" s="711">
        <f t="shared" ca="1" si="3"/>
        <v>0</v>
      </c>
      <c r="H16" s="710">
        <f ca="1">'Receitas e pagamentos 1'!S30</f>
        <v>0</v>
      </c>
      <c r="I16" s="711">
        <f t="shared" ca="1" si="4"/>
        <v>0</v>
      </c>
      <c r="J16" s="710">
        <f ca="1">'Receitas e pagamentos 2'!S30</f>
        <v>0</v>
      </c>
      <c r="K16" s="711">
        <f t="shared" ca="1" si="5"/>
        <v>0</v>
      </c>
      <c r="L16" s="710">
        <f ca="1">'Receitas e pagamentos 3'!S30</f>
        <v>0</v>
      </c>
      <c r="M16" s="711">
        <f t="shared" ca="1" si="6"/>
        <v>0</v>
      </c>
      <c r="N16" s="710">
        <f ca="1">'Receitas e pagamentos 4'!S30</f>
        <v>0</v>
      </c>
      <c r="O16" s="711">
        <f t="shared" ca="1" si="7"/>
        <v>0</v>
      </c>
    </row>
    <row r="17" spans="1:15" ht="16.5" customHeight="1">
      <c r="A17" s="1470" t="s">
        <v>767</v>
      </c>
      <c r="B17" s="710">
        <v>0</v>
      </c>
      <c r="C17" s="711">
        <f t="shared" ca="1" si="1"/>
        <v>0</v>
      </c>
      <c r="D17" s="710">
        <v>0</v>
      </c>
      <c r="E17" s="711">
        <f t="shared" ca="1" si="2"/>
        <v>0</v>
      </c>
      <c r="F17" s="710">
        <f ca="1">'Receitas e pagamentos 0'!S31</f>
        <v>0</v>
      </c>
      <c r="G17" s="711">
        <f t="shared" ca="1" si="3"/>
        <v>0</v>
      </c>
      <c r="H17" s="710">
        <f ca="1">'Receitas e pagamentos 1'!S31</f>
        <v>0</v>
      </c>
      <c r="I17" s="711">
        <f t="shared" ca="1" si="4"/>
        <v>0</v>
      </c>
      <c r="J17" s="710">
        <f ca="1">'Receitas e pagamentos 2'!S31</f>
        <v>0</v>
      </c>
      <c r="K17" s="711">
        <f t="shared" ca="1" si="5"/>
        <v>0</v>
      </c>
      <c r="L17" s="710">
        <f ca="1">'Receitas e pagamentos 3'!S31</f>
        <v>0</v>
      </c>
      <c r="M17" s="711">
        <f t="shared" ca="1" si="6"/>
        <v>0</v>
      </c>
      <c r="N17" s="710">
        <f ca="1">'Receitas e pagamentos 4'!S31</f>
        <v>0</v>
      </c>
      <c r="O17" s="711">
        <f t="shared" ca="1" si="7"/>
        <v>0</v>
      </c>
    </row>
    <row r="18" spans="1:15" ht="16.5" customHeight="1">
      <c r="A18" s="1470" t="s">
        <v>781</v>
      </c>
      <c r="B18" s="710">
        <f>'Investimentos AC'!G23</f>
        <v>0</v>
      </c>
      <c r="C18" s="711">
        <f t="shared" ca="1" si="1"/>
        <v>0</v>
      </c>
      <c r="D18" s="710">
        <f>+'Investimentos AC'!I23</f>
        <v>0</v>
      </c>
      <c r="E18" s="711">
        <f t="shared" ca="1" si="2"/>
        <v>0</v>
      </c>
      <c r="F18" s="710">
        <f>Finançamento!E19</f>
        <v>0</v>
      </c>
      <c r="G18" s="711">
        <f t="shared" ca="1" si="3"/>
        <v>0</v>
      </c>
      <c r="H18" s="710">
        <f>Finançamento!F19</f>
        <v>0</v>
      </c>
      <c r="I18" s="711">
        <f t="shared" ca="1" si="4"/>
        <v>0</v>
      </c>
      <c r="J18" s="710">
        <f>Finançamento!G19</f>
        <v>0</v>
      </c>
      <c r="K18" s="711">
        <f t="shared" ca="1" si="5"/>
        <v>0</v>
      </c>
      <c r="L18" s="710">
        <f>Finançamento!H19</f>
        <v>0</v>
      </c>
      <c r="M18" s="711">
        <f t="shared" ca="1" si="6"/>
        <v>0</v>
      </c>
      <c r="N18" s="710">
        <v>0</v>
      </c>
      <c r="O18" s="711">
        <f t="shared" ca="1" si="7"/>
        <v>0</v>
      </c>
    </row>
    <row r="19" spans="1:15" ht="16.5" customHeight="1">
      <c r="A19" s="1470" t="str">
        <f>"A.T. pagamentos por conta "&amp;'Dados Básicos'!$I$43</f>
        <v>A.T. pagamentos por conta I.R.S.</v>
      </c>
      <c r="B19" s="710">
        <f>'Investimentos AC'!G21</f>
        <v>0</v>
      </c>
      <c r="C19" s="711">
        <f t="shared" ca="1" si="1"/>
        <v>0</v>
      </c>
      <c r="D19" s="710">
        <f>IF(irpf&lt;&gt;0,'Investimentos AC'!G21,0)</f>
        <v>0</v>
      </c>
      <c r="E19" s="711">
        <f t="shared" ca="1" si="2"/>
        <v>0</v>
      </c>
      <c r="F19" s="710">
        <f ca="1">'IRS Singulares'!C25*0
+IF('IRS Singulares'!K26&lt;0,-'IRS Singulares'!K26*'IRS Singulares'!K20,0)</f>
        <v>0</v>
      </c>
      <c r="G19" s="711">
        <f t="shared" ca="1" si="3"/>
        <v>0</v>
      </c>
      <c r="H19" s="710">
        <f ca="1">'IRS Singulares'!D25*0
+IF('IRS Singulares'!L26&lt;0,-'IRS Singulares'!L26*'IRS Singulares'!L20,0)</f>
        <v>0</v>
      </c>
      <c r="I19" s="711">
        <f t="shared" ca="1" si="4"/>
        <v>0</v>
      </c>
      <c r="J19" s="710">
        <f ca="1">'IRS Singulares'!E25*0
+IF('IRS Singulares'!M26&lt;0,-'IRS Singulares'!M26*'IRS Singulares'!M20,0)</f>
        <v>0</v>
      </c>
      <c r="K19" s="711">
        <f t="shared" ca="1" si="5"/>
        <v>0</v>
      </c>
      <c r="L19" s="710">
        <f ca="1">'IRS Singulares'!F25*0
+IF('IRS Singulares'!N26&lt;0,-'IRS Singulares'!N26*'IRS Singulares'!N20,0)</f>
        <v>0</v>
      </c>
      <c r="M19" s="711">
        <f t="shared" ca="1" si="6"/>
        <v>0</v>
      </c>
      <c r="N19" s="710">
        <f ca="1">'IRS Singulares'!G25*0
+IF('IRS Singulares'!O26&lt;0,-'IRS Singulares'!O26*'IRS Singulares'!O20,0)</f>
        <v>0</v>
      </c>
      <c r="O19" s="711">
        <f t="shared" ca="1" si="7"/>
        <v>0</v>
      </c>
    </row>
    <row r="20" spans="1:15" ht="16.5" customHeight="1">
      <c r="A20" s="1470" t="str">
        <f>"A.T. Devedora "&amp;IF(isoc=0,'Dados Básicos'!$I$43,'Dados Básicos'!$I$44)</f>
        <v>A.T. Devedora I.R.C.</v>
      </c>
      <c r="B20" s="710">
        <f>'Investimentos AC'!G22</f>
        <v>0</v>
      </c>
      <c r="C20" s="711">
        <f t="shared" ca="1" si="1"/>
        <v>0</v>
      </c>
      <c r="D20" s="710">
        <f>'Investimentos AC'!G22</f>
        <v>0</v>
      </c>
      <c r="E20" s="711">
        <f t="shared" ca="1" si="2"/>
        <v>0</v>
      </c>
      <c r="F20" s="710">
        <f>SUM('IRC Coletivas'!B18:B20)</f>
        <v>0</v>
      </c>
      <c r="G20" s="711">
        <f t="shared" ca="1" si="3"/>
        <v>0</v>
      </c>
      <c r="H20" s="710">
        <f ca="1">SUM('IRC Coletivas'!D18:D20)</f>
        <v>0</v>
      </c>
      <c r="I20" s="711">
        <f t="shared" ca="1" si="4"/>
        <v>0</v>
      </c>
      <c r="J20" s="710">
        <f ca="1">SUM('IRC Coletivas'!G18:G20)</f>
        <v>0</v>
      </c>
      <c r="K20" s="711">
        <f t="shared" ca="1" si="5"/>
        <v>0</v>
      </c>
      <c r="L20" s="710">
        <f ca="1">SUM('IRC Coletivas'!J18:J20)</f>
        <v>0</v>
      </c>
      <c r="M20" s="711">
        <f t="shared" ca="1" si="6"/>
        <v>0</v>
      </c>
      <c r="N20" s="710">
        <f ca="1">SUM('IRC Coletivas'!M18:M20)</f>
        <v>0</v>
      </c>
      <c r="O20" s="711">
        <f t="shared" ca="1" si="7"/>
        <v>0</v>
      </c>
    </row>
    <row r="21" spans="1:15" ht="16.5" customHeight="1">
      <c r="A21" s="1470" t="str">
        <f>"A.T. Devedora "&amp;'Dados Básicos'!$A$28</f>
        <v>A.T. Devedora IVA</v>
      </c>
      <c r="B21" s="710">
        <f>'Investimentos AC'!G20</f>
        <v>0</v>
      </c>
      <c r="C21" s="711">
        <f t="shared" ca="1" si="1"/>
        <v>0</v>
      </c>
      <c r="D21" s="710">
        <f ca="1">'Investimentos AC'!H19+'Investimentos AC'!G20</f>
        <v>133.35</v>
      </c>
      <c r="E21" s="711">
        <f t="shared" ca="1" si="2"/>
        <v>5.710920770877944E-2</v>
      </c>
      <c r="F21" s="710">
        <f ca="1">IF(AND(IVAcc=0,'IVA 0'!O22&lt;0),-'IVA 0'!O22,0)+'IVA 0'!O26</f>
        <v>0</v>
      </c>
      <c r="G21" s="711">
        <f t="shared" ca="1" si="3"/>
        <v>0</v>
      </c>
      <c r="H21" s="710">
        <f ca="1">IF(AND(IVAcc=0,'IVA 1'!O22&lt;0),-'IVA 1'!O22,0)+'IVA 1'!O26</f>
        <v>0</v>
      </c>
      <c r="I21" s="711">
        <f t="shared" ca="1" si="4"/>
        <v>0</v>
      </c>
      <c r="J21" s="710">
        <f ca="1">IF(AND(IVAcc=0,'IVA 2'!O22&lt;0),-'IVA 2'!O22,0)+'IVA 2'!O26</f>
        <v>0</v>
      </c>
      <c r="K21" s="711">
        <f t="shared" ca="1" si="5"/>
        <v>0</v>
      </c>
      <c r="L21" s="710">
        <f ca="1">IF(AND(IVAcc=0,'IVA 3'!O22&lt;0),-'IVA 3'!O22,0)+'IVA 3'!O26</f>
        <v>0</v>
      </c>
      <c r="M21" s="711">
        <f t="shared" ca="1" si="6"/>
        <v>0</v>
      </c>
      <c r="N21" s="710">
        <f ca="1">IF(AND(IVAcc=0,'IVA 4'!O22&lt;0),-'IVA 4'!O22,0)+'IVA 4'!O26</f>
        <v>0</v>
      </c>
      <c r="O21" s="711">
        <f t="shared" ca="1" si="7"/>
        <v>0</v>
      </c>
    </row>
    <row r="22" spans="1:15" ht="16.5" customHeight="1">
      <c r="A22" s="1470" t="s">
        <v>768</v>
      </c>
      <c r="B22" s="710">
        <f ca="1">'Investimentos AC'!G26</f>
        <v>0</v>
      </c>
      <c r="C22" s="711">
        <f t="shared" ca="1" si="1"/>
        <v>0</v>
      </c>
      <c r="D22" s="710">
        <f ca="1">'Investimentos AC'!G26+'Investimentos AC'!H26</f>
        <v>2201.65</v>
      </c>
      <c r="E22" s="711">
        <f t="shared" ca="1" si="2"/>
        <v>0.94289079229122064</v>
      </c>
      <c r="F22" s="710">
        <f ca="1">'Tesorería 0'!N35</f>
        <v>-7289.1101818181842</v>
      </c>
      <c r="G22" s="711">
        <f t="shared" ca="1" si="3"/>
        <v>1</v>
      </c>
      <c r="H22" s="710">
        <f ca="1">'Tesorería 1'!N35</f>
        <v>-15126.963843636366</v>
      </c>
      <c r="I22" s="711">
        <f t="shared" ca="1" si="4"/>
        <v>1</v>
      </c>
      <c r="J22" s="710">
        <f ca="1">'Tesorería 2'!N35</f>
        <v>-23005.309287336371</v>
      </c>
      <c r="K22" s="711">
        <f t="shared" ca="1" si="5"/>
        <v>1</v>
      </c>
      <c r="L22" s="710">
        <f ca="1">'Tesorería 3'!N35</f>
        <v>-30873.669101798463</v>
      </c>
      <c r="M22" s="711">
        <f t="shared" ca="1" si="6"/>
        <v>1</v>
      </c>
      <c r="N22" s="710">
        <f ca="1">'Tesorería 4'!N35</f>
        <v>-38711.768984771967</v>
      </c>
      <c r="O22" s="711">
        <f t="shared" ca="1" si="7"/>
        <v>1</v>
      </c>
    </row>
    <row r="23" spans="1:15" ht="15.75" thickBot="1">
      <c r="A23" s="696"/>
      <c r="B23" s="701"/>
      <c r="C23" s="702"/>
      <c r="D23" s="701"/>
      <c r="E23" s="702"/>
      <c r="F23" s="710"/>
      <c r="G23" s="711"/>
      <c r="H23" s="710"/>
      <c r="I23" s="711"/>
      <c r="J23" s="710"/>
      <c r="K23" s="711"/>
      <c r="L23" s="710"/>
      <c r="M23" s="711"/>
      <c r="N23" s="710"/>
      <c r="O23" s="711"/>
    </row>
    <row r="24" spans="1:15" s="49" customFormat="1" ht="21" customHeight="1" thickBot="1">
      <c r="A24" s="1691" t="s">
        <v>1116</v>
      </c>
      <c r="B24" s="1687">
        <f t="shared" ref="B24:O24" ca="1" si="8">B5+B13</f>
        <v>0</v>
      </c>
      <c r="C24" s="1688">
        <f ca="1">C5+C13</f>
        <v>0</v>
      </c>
      <c r="D24" s="1687">
        <f t="shared" ca="1" si="8"/>
        <v>2335</v>
      </c>
      <c r="E24" s="1688">
        <f t="shared" ca="1" si="8"/>
        <v>1</v>
      </c>
      <c r="F24" s="1689">
        <f t="shared" ca="1" si="8"/>
        <v>-7289.1101818181842</v>
      </c>
      <c r="G24" s="1690">
        <f t="shared" ca="1" si="8"/>
        <v>1</v>
      </c>
      <c r="H24" s="1689">
        <f t="shared" ca="1" si="8"/>
        <v>-15126.963843636366</v>
      </c>
      <c r="I24" s="1690">
        <f t="shared" ca="1" si="8"/>
        <v>1</v>
      </c>
      <c r="J24" s="1689">
        <f t="shared" ca="1" si="8"/>
        <v>-23005.309287336371</v>
      </c>
      <c r="K24" s="1690">
        <f t="shared" ca="1" si="8"/>
        <v>1</v>
      </c>
      <c r="L24" s="1689">
        <f t="shared" ca="1" si="8"/>
        <v>-30873.669101798463</v>
      </c>
      <c r="M24" s="1690">
        <f t="shared" ca="1" si="8"/>
        <v>1</v>
      </c>
      <c r="N24" s="1689">
        <f t="shared" ca="1" si="8"/>
        <v>-38711.768984771967</v>
      </c>
      <c r="O24" s="1690">
        <f t="shared" ca="1" si="8"/>
        <v>1</v>
      </c>
    </row>
    <row r="25" spans="1:15" ht="15.75" thickBot="1">
      <c r="A25" s="697"/>
      <c r="B25" s="697"/>
      <c r="C25" s="697"/>
      <c r="D25" s="703"/>
      <c r="E25" s="704"/>
      <c r="F25" s="703"/>
      <c r="G25" s="712"/>
      <c r="H25" s="703"/>
      <c r="I25" s="712"/>
      <c r="J25" s="703"/>
      <c r="K25" s="712"/>
      <c r="L25" s="703"/>
      <c r="M25" s="712"/>
      <c r="N25" s="703"/>
      <c r="O25" s="712"/>
    </row>
    <row r="26" spans="1:15" s="49" customFormat="1" ht="18" customHeight="1">
      <c r="A26" s="1702" t="s">
        <v>687</v>
      </c>
      <c r="B26" s="1696">
        <f>SUM(B27:B31)</f>
        <v>0</v>
      </c>
      <c r="C26" s="1697">
        <f>IFERROR(B26/B2,0)</f>
        <v>0</v>
      </c>
      <c r="D26" s="1696">
        <f>SUM(D27:D31)</f>
        <v>2335</v>
      </c>
      <c r="E26" s="1697">
        <f ca="1">D26/D$46</f>
        <v>1</v>
      </c>
      <c r="F26" s="1698">
        <f ca="1">SUM(F27:F31)</f>
        <v>-7774.874545454546</v>
      </c>
      <c r="G26" s="1699">
        <f ca="1">F26/F$46</f>
        <v>1.0666424778223336</v>
      </c>
      <c r="H26" s="1698">
        <f ca="1">SUM(H27:H31)</f>
        <v>-15657.489363636365</v>
      </c>
      <c r="I26" s="1699">
        <f ca="1">H26/H$46</f>
        <v>1.0350715137210553</v>
      </c>
      <c r="J26" s="1698">
        <f ca="1">SUM(J27:J31)</f>
        <v>-23579.137895136366</v>
      </c>
      <c r="K26" s="1699">
        <f ca="1">J26/J$46</f>
        <v>1.0249433120256233</v>
      </c>
      <c r="L26" s="1698">
        <f ca="1">SUM(L27:L31)</f>
        <v>-31494.614860755064</v>
      </c>
      <c r="M26" s="1699">
        <f ca="1">L26/L$46</f>
        <v>1.0201124704974061</v>
      </c>
      <c r="N26" s="1698">
        <f ca="1">SUM(N27:N31)</f>
        <v>-39383.305190372113</v>
      </c>
      <c r="O26" s="1699">
        <f ca="1">N26/N$46</f>
        <v>1.0173470813453218</v>
      </c>
    </row>
    <row r="27" spans="1:15" ht="18" customHeight="1">
      <c r="A27" s="1470" t="str">
        <f>IF(isoc=0,"Fondo Social","Capital")</f>
        <v>Capital</v>
      </c>
      <c r="B27" s="710">
        <f>'Finançamento Inicial'!B7+'Finançamento Inicial'!B8</f>
        <v>0</v>
      </c>
      <c r="C27" s="711">
        <f>IFERROR(B27/B3,0)</f>
        <v>0</v>
      </c>
      <c r="D27" s="710">
        <f>'Finançamento Inicial'!B7+'Finançamento Inicial'!C7
+'Finançamento Inicial'!B8+'Finançamento Inicial'!C8</f>
        <v>3000</v>
      </c>
      <c r="E27" s="711">
        <f ca="1">D27/D$46</f>
        <v>1.2847965738758029</v>
      </c>
      <c r="F27" s="710">
        <f>D27</f>
        <v>3000</v>
      </c>
      <c r="G27" s="711">
        <f ca="1">F27/F$46</f>
        <v>-0.411572870373553</v>
      </c>
      <c r="H27" s="710">
        <f>F27+Finançamento!E14</f>
        <v>3000</v>
      </c>
      <c r="I27" s="711">
        <f ca="1">H27/H$46</f>
        <v>-0.19832135721419369</v>
      </c>
      <c r="J27" s="710">
        <f>H27+Finançamento!F14</f>
        <v>3000</v>
      </c>
      <c r="K27" s="711">
        <f ca="1">J27/J$46</f>
        <v>-0.13040468017751872</v>
      </c>
      <c r="L27" s="710">
        <f>J27+Finançamento!G14</f>
        <v>3000</v>
      </c>
      <c r="M27" s="711">
        <f ca="1">L27/L$46</f>
        <v>-9.7170180522056671E-2</v>
      </c>
      <c r="N27" s="710">
        <f>L27+Finançamento!H14</f>
        <v>3000</v>
      </c>
      <c r="O27" s="711">
        <f ca="1">N27/N$46</f>
        <v>-7.7495812737984379E-2</v>
      </c>
    </row>
    <row r="28" spans="1:15" ht="18" customHeight="1">
      <c r="A28" s="1470" t="s">
        <v>755</v>
      </c>
      <c r="B28" s="710">
        <f>'Finançamento Inicial'!B10+'Finançamento Inicial'!B11</f>
        <v>0</v>
      </c>
      <c r="C28" s="711">
        <f>IFERROR(B28/B4,0)</f>
        <v>0</v>
      </c>
      <c r="D28" s="710">
        <f>SUM(resprevio)-'Finançamento Inicial'!B12
-'Despesas Iniciais'!B12*0</f>
        <v>-665</v>
      </c>
      <c r="E28" s="711">
        <f ca="1">D28/D$46</f>
        <v>-0.28479657387580298</v>
      </c>
      <c r="F28" s="710">
        <f>D28
+IF(isoc&lt;&gt;0,'Finançamento Inicial'!B12,0)
+IF(AND(isoc&lt;&gt;0,D30&lt;0),D30,0)*0
+IF(irpf&lt;&gt;0,D30,0)
+IF(AND(irpf=0,isoc=0),D30,0)</f>
        <v>-665</v>
      </c>
      <c r="G28" s="711">
        <f ca="1">F28/F$46</f>
        <v>9.1231986266137585E-2</v>
      </c>
      <c r="H28" s="710">
        <f ca="1">F28
+IF(isoc&lt;&gt;0,'IRC Coletivas'!B7+'IRC Coletivas'!B31,0)
+IF(AND(isoc&lt;&gt;0,F30&lt;0),F30,0)
+IF(irpf&lt;&gt;0,F30,0)
+IF(AND(irpf=0,isoc=0),F30,0)</f>
        <v>-10774.874545454546</v>
      </c>
      <c r="I28" s="711">
        <f ca="1">H28/H$46</f>
        <v>0.71229591455573793</v>
      </c>
      <c r="J28" s="710">
        <f ca="1">H28
+IF(isoc&lt;&gt;0,'IRC Coletivas'!$D$7+'IRC Coletivas'!$D$31,0)
+IF(AND(isoc&lt;&gt;0,H30&lt;0),H30,0)
+IF(irpf&lt;&gt;0,H30,0)
+IF(AND(irpf=0,isoc=0),H30,0)</f>
        <v>-18657.489363636363</v>
      </c>
      <c r="K28" s="711">
        <f ca="1">J28/J$46</f>
        <v>0.81100797779348566</v>
      </c>
      <c r="L28" s="710">
        <f ca="1">J28
+IF(isoc&lt;&gt;0,'IRC Coletivas'!$G$7+'IRC Coletivas'!$G$31,0)
+IF(AND(isoc&lt;&gt;0,J30&lt;0),J30,0)
+IF(irpf&lt;&gt;0,J30,0)
+IF(AND(irpf=0,isoc=0),J30,0)</f>
        <v>-26579.137895136366</v>
      </c>
      <c r="M28" s="711">
        <f ca="1">L28/L$46</f>
        <v>0.86089987579701266</v>
      </c>
      <c r="N28" s="710">
        <f ca="1">L28
+IF(isoc&lt;&gt;0,'IRC Coletivas'!$J$7+'IRC Coletivas'!$J$31,0)
+IF(AND(isoc&lt;&gt;0,L30&lt;0),L30,0)
+IF(irpf&lt;&gt;0,L30,0)
+IF(AND(irpf=0,isoc=0),L30,0)</f>
        <v>-34494.614860755064</v>
      </c>
      <c r="O28" s="711">
        <f ca="1">N28/N$46</f>
        <v>0.89106273790598922</v>
      </c>
    </row>
    <row r="29" spans="1:15" ht="18" customHeight="1">
      <c r="A29" s="1470" t="s">
        <v>538</v>
      </c>
      <c r="B29" s="710">
        <f>'Finançamento Inicial'!B14</f>
        <v>0</v>
      </c>
      <c r="C29" s="711">
        <f>IFERROR(B29/B5,0)</f>
        <v>0</v>
      </c>
      <c r="D29" s="710">
        <f>'Finançamento Inicial'!D14</f>
        <v>0</v>
      </c>
      <c r="E29" s="711">
        <f ca="1">D29/D$46</f>
        <v>0</v>
      </c>
      <c r="F29" s="710">
        <f>D29-'PyG 0'!N6+Finançamento!E19</f>
        <v>0</v>
      </c>
      <c r="G29" s="711">
        <f ca="1">F29/F$46</f>
        <v>0</v>
      </c>
      <c r="H29" s="710">
        <f>F29-'PyG 1'!N6+Finançamento!F19</f>
        <v>0</v>
      </c>
      <c r="I29" s="711">
        <f ca="1">H29/H$46</f>
        <v>0</v>
      </c>
      <c r="J29" s="710">
        <f>H29-'PyG 2'!N6+Finançamento!G19</f>
        <v>0</v>
      </c>
      <c r="K29" s="711">
        <f ca="1">J29/J$46</f>
        <v>0</v>
      </c>
      <c r="L29" s="710">
        <f>J29-'PyG 3'!N6+Finançamento!H19</f>
        <v>0</v>
      </c>
      <c r="M29" s="711">
        <f ca="1">L29/L$46</f>
        <v>0</v>
      </c>
      <c r="N29" s="710">
        <f>L29-'PyG 4'!N6</f>
        <v>0</v>
      </c>
      <c r="O29" s="711">
        <f ca="1">N29/N$46</f>
        <v>0</v>
      </c>
    </row>
    <row r="30" spans="1:15" ht="18" customHeight="1">
      <c r="A30" s="1470" t="s">
        <v>769</v>
      </c>
      <c r="B30" s="710">
        <f>'Finançamento Inicial'!B12</f>
        <v>0</v>
      </c>
      <c r="C30" s="711">
        <f>IFERROR(B30/B6,0)</f>
        <v>0</v>
      </c>
      <c r="D30" s="710">
        <f>+'Finançamento Inicial'!B12</f>
        <v>0</v>
      </c>
      <c r="E30" s="711">
        <f ca="1">D30/D$46</f>
        <v>0</v>
      </c>
      <c r="F30" s="710">
        <f ca="1">'PPeGG anuais'!B29
-IF(isoc&lt;&gt;0,'IRC Coletivas'!B15,0)
-IF(irpf&lt;&gt;0,'IRS Singulares'!K23*'IRS Singulares'!K20,0)</f>
        <v>-10109.874545454546</v>
      </c>
      <c r="G30" s="711">
        <f ca="1">F30/F$46</f>
        <v>1.3869833619297489</v>
      </c>
      <c r="H30" s="710">
        <f ca="1">'PPeGG anuais'!D29
-IF(isoc&lt;&gt;0,'IRC Coletivas'!D15,0)
-IF(irpf&lt;&gt;0,'IRS Singulares'!L23*'IRS Singulares'!L20,0)</f>
        <v>-7882.6148181818189</v>
      </c>
      <c r="I30" s="711">
        <f ca="1">H30/H$46</f>
        <v>0.52109695637951092</v>
      </c>
      <c r="J30" s="710">
        <f ca="1">'PPeGG anuais'!$G$29
-IF(isoc&lt;&gt;0,'IRC Coletivas'!$G$15,0)
-IF(irpf&lt;&gt;0,'IRS Singulares'!M23*'IRS Singulares'!M20,0)</f>
        <v>-7921.6485315000009</v>
      </c>
      <c r="K30" s="711">
        <f ca="1">J30/J$46</f>
        <v>0.34434001440965611</v>
      </c>
      <c r="L30" s="710">
        <f ca="1">'PPeGG anuais'!$J$29
-IF(isoc&lt;&gt;0,'IRC Coletivas'!$J$15,0)
-IF(irpf&lt;&gt;0,'IRS Singulares'!N23*'IRS Singulares'!N20,0)</f>
        <v>-7915.4769656186982</v>
      </c>
      <c r="M30" s="711">
        <f ca="1">L30/L$46</f>
        <v>0.25638277522245012</v>
      </c>
      <c r="N30" s="710">
        <f ca="1">'PPeGG anuais'!$M$29
-IF(isoc&lt;&gt;0,'IRC Coletivas'!$M$15,0)
-IF(irpf&lt;&gt;0,'IRS Singulares'!O23*'IRS Singulares'!O20,0)</f>
        <v>-7888.6903296170467</v>
      </c>
      <c r="O30" s="711">
        <f ca="1">N30/N$46</f>
        <v>0.20378015617731698</v>
      </c>
    </row>
    <row r="31" spans="1:15" ht="18" customHeight="1">
      <c r="A31" s="1801"/>
      <c r="B31" s="701"/>
      <c r="C31" s="702"/>
      <c r="D31" s="701"/>
      <c r="E31" s="702"/>
      <c r="F31" s="710"/>
      <c r="G31" s="711"/>
      <c r="H31" s="710"/>
      <c r="I31" s="711"/>
      <c r="J31" s="710"/>
      <c r="K31" s="711"/>
      <c r="L31" s="710"/>
      <c r="M31" s="711"/>
      <c r="N31" s="710"/>
      <c r="O31" s="711"/>
    </row>
    <row r="32" spans="1:15" s="49" customFormat="1" ht="18" customHeight="1">
      <c r="A32" s="1700" t="s">
        <v>773</v>
      </c>
      <c r="B32" s="1694">
        <f>SUM(B33:B35)</f>
        <v>0</v>
      </c>
      <c r="C32" s="1695">
        <f>IFERROR(B32/B8,0)</f>
        <v>0</v>
      </c>
      <c r="D32" s="1694">
        <f>SUM(D33:D35)</f>
        <v>0</v>
      </c>
      <c r="E32" s="1695">
        <f ca="1">D32/D$46</f>
        <v>0</v>
      </c>
      <c r="F32" s="1694">
        <f>SUM(F33:F35)</f>
        <v>0</v>
      </c>
      <c r="G32" s="1695">
        <f ca="1">F32/F$46</f>
        <v>0</v>
      </c>
      <c r="H32" s="1694">
        <f>SUM(H33:H35)</f>
        <v>0</v>
      </c>
      <c r="I32" s="1695">
        <f ca="1">H32/H$46</f>
        <v>0</v>
      </c>
      <c r="J32" s="1694">
        <f>SUM(J33:J35)</f>
        <v>0</v>
      </c>
      <c r="K32" s="1695">
        <f ca="1">J32/J$46</f>
        <v>0</v>
      </c>
      <c r="L32" s="1694">
        <f>SUM(L33:L35)</f>
        <v>0</v>
      </c>
      <c r="M32" s="1695">
        <f ca="1">L32/L$46</f>
        <v>0</v>
      </c>
      <c r="N32" s="1694">
        <f>SUM(N33:N35)</f>
        <v>0</v>
      </c>
      <c r="O32" s="1695">
        <f ca="1">N32/N$46</f>
        <v>0</v>
      </c>
    </row>
    <row r="33" spans="1:15" ht="18" customHeight="1">
      <c r="A33" s="1470" t="s">
        <v>770</v>
      </c>
      <c r="B33" s="710">
        <f>'Finançamento Inicial'!B18+'Finançamento Inicial'!B19</f>
        <v>0</v>
      </c>
      <c r="C33" s="711">
        <f>IFERROR(B33/B9,0)</f>
        <v>0</v>
      </c>
      <c r="D33" s="710">
        <f>SUM(Empréstimos!B5:D5)-D38+SUM(Leasing!B5:D5)</f>
        <v>0</v>
      </c>
      <c r="E33" s="711">
        <f ca="1">D33/D$46</f>
        <v>0</v>
      </c>
      <c r="F33" s="710">
        <f>D33-F38</f>
        <v>0</v>
      </c>
      <c r="G33" s="711">
        <f ca="1">F33/F$46</f>
        <v>0</v>
      </c>
      <c r="H33" s="710">
        <f>F33-H38+Finançamento!E31+Finançamento!E57-Empréstimos!N31-Leasing!N30</f>
        <v>0</v>
      </c>
      <c r="I33" s="711">
        <f ca="1">H33/H$46</f>
        <v>0</v>
      </c>
      <c r="J33" s="710">
        <f>H33-J38+Finançamento!F31+Finançamento!F57-Empréstimos!N39-Leasing!N38</f>
        <v>0</v>
      </c>
      <c r="K33" s="711">
        <f ca="1">J33/J$46</f>
        <v>0</v>
      </c>
      <c r="L33" s="710">
        <f>J33-L38+Finançamento!G31+Finançamento!G57-Empréstimos!N47-Leasing!N46</f>
        <v>0</v>
      </c>
      <c r="M33" s="711">
        <f ca="1">L33/L$46</f>
        <v>0</v>
      </c>
      <c r="N33" s="710">
        <f>L33-N38+Finançamento!H31+Finançamento!H57-Empréstimos!N55-Leasing!N54</f>
        <v>0</v>
      </c>
      <c r="O33" s="711">
        <f ca="1">N33/N$46</f>
        <v>0</v>
      </c>
    </row>
    <row r="34" spans="1:15" ht="18" customHeight="1">
      <c r="A34" s="1470" t="s">
        <v>1129</v>
      </c>
      <c r="B34" s="710">
        <f>'Finançamento Inicial'!B13</f>
        <v>0</v>
      </c>
      <c r="C34" s="711">
        <f>IFERROR(B34/B10,0)</f>
        <v>0</v>
      </c>
      <c r="D34" s="710">
        <f>'Finançamento Inicial'!D13</f>
        <v>0</v>
      </c>
      <c r="E34" s="711">
        <f ca="1">D34/D$46</f>
        <v>0</v>
      </c>
      <c r="F34" s="710">
        <f>D34</f>
        <v>0</v>
      </c>
      <c r="G34" s="711">
        <f ca="1">F34/F$46</f>
        <v>0</v>
      </c>
      <c r="H34" s="710">
        <f>F34+Finançamento!E17</f>
        <v>0</v>
      </c>
      <c r="I34" s="711">
        <f ca="1">H34/H$46</f>
        <v>0</v>
      </c>
      <c r="J34" s="710">
        <f>H34+Finançamento!F17</f>
        <v>0</v>
      </c>
      <c r="K34" s="711">
        <f ca="1">J34/J$46</f>
        <v>0</v>
      </c>
      <c r="L34" s="710">
        <f>J34+Finançamento!G17</f>
        <v>0</v>
      </c>
      <c r="M34" s="711">
        <f ca="1">L34/L$46</f>
        <v>0</v>
      </c>
      <c r="N34" s="710">
        <f>L34+Finançamento!H17</f>
        <v>0</v>
      </c>
      <c r="O34" s="711">
        <f ca="1">N34/N$46</f>
        <v>0</v>
      </c>
    </row>
    <row r="35" spans="1:15" ht="18" customHeight="1">
      <c r="A35" s="1470" t="s">
        <v>665</v>
      </c>
      <c r="B35" s="710">
        <f>'Finançamento Inicial'!B20</f>
        <v>0</v>
      </c>
      <c r="C35" s="711">
        <f>IFERROR(B35/B11,0)</f>
        <v>0</v>
      </c>
      <c r="D35" s="710">
        <f>'Finançamento Inicial'!B20</f>
        <v>0</v>
      </c>
      <c r="E35" s="711">
        <f ca="1">D35/D$46</f>
        <v>0</v>
      </c>
      <c r="F35" s="710">
        <f>'Finançamento Inicial'!B20-'Otros cobros y pagos'!N64</f>
        <v>0</v>
      </c>
      <c r="G35" s="711">
        <f ca="1">F35/F$46</f>
        <v>0</v>
      </c>
      <c r="H35" s="710">
        <f>F35-'Otros cobros y pagos'!N74</f>
        <v>0</v>
      </c>
      <c r="I35" s="711">
        <f ca="1">H35/H$46</f>
        <v>0</v>
      </c>
      <c r="J35" s="710">
        <f>H35-'Otros cobros y pagos'!N84</f>
        <v>0</v>
      </c>
      <c r="K35" s="711">
        <f ca="1">J35/J$46</f>
        <v>0</v>
      </c>
      <c r="L35" s="710">
        <f>J35-'Otros cobros y pagos'!N94</f>
        <v>0</v>
      </c>
      <c r="M35" s="711">
        <f ca="1">L35/L$46</f>
        <v>0</v>
      </c>
      <c r="N35" s="710">
        <f>L35-'Otros cobros y pagos'!N104</f>
        <v>0</v>
      </c>
      <c r="O35" s="711">
        <f ca="1">N35/N$46</f>
        <v>0</v>
      </c>
    </row>
    <row r="36" spans="1:15" ht="18" customHeight="1">
      <c r="A36" s="1801"/>
      <c r="B36" s="710"/>
      <c r="C36" s="702"/>
      <c r="D36" s="710"/>
      <c r="E36" s="702"/>
      <c r="F36" s="710"/>
      <c r="G36" s="711"/>
      <c r="H36" s="710"/>
      <c r="I36" s="711"/>
      <c r="J36" s="710"/>
      <c r="K36" s="711"/>
      <c r="L36" s="710"/>
      <c r="M36" s="711"/>
      <c r="N36" s="710"/>
      <c r="O36" s="711"/>
    </row>
    <row r="37" spans="1:15" s="49" customFormat="1" ht="18" customHeight="1">
      <c r="A37" s="1700" t="s">
        <v>774</v>
      </c>
      <c r="B37" s="1694">
        <f>SUM(B38:B43)</f>
        <v>0</v>
      </c>
      <c r="C37" s="1695">
        <f t="shared" ref="C37:C42" ca="1" si="9">IFERROR(B37/B13,0)</f>
        <v>0</v>
      </c>
      <c r="D37" s="1694">
        <f ca="1">SUM(D38:D43)</f>
        <v>0</v>
      </c>
      <c r="E37" s="1695">
        <f t="shared" ref="E37:E45" ca="1" si="10">D37/D$46</f>
        <v>0</v>
      </c>
      <c r="F37" s="1694">
        <f ca="1">SUM(F38:F43)</f>
        <v>485.76436363636367</v>
      </c>
      <c r="G37" s="1695">
        <f t="shared" ref="G37:G45" ca="1" si="11">F37/F$46</f>
        <v>-6.6642477822333526E-2</v>
      </c>
      <c r="H37" s="1694">
        <f ca="1">SUM(H38:H43)</f>
        <v>530.52551999999991</v>
      </c>
      <c r="I37" s="1695">
        <f t="shared" ref="I37:I45" ca="1" si="12">H37/H$46</f>
        <v>-3.5071513721055277E-2</v>
      </c>
      <c r="J37" s="1694">
        <f ca="1">SUM(J38:J43)</f>
        <v>573.82860779999987</v>
      </c>
      <c r="K37" s="1695">
        <f t="shared" ref="K37:K45" ca="1" si="13">J37/J$46</f>
        <v>-2.494331202562327E-2</v>
      </c>
      <c r="L37" s="1694">
        <f ca="1">SUM(L38:L43)</f>
        <v>620.9457589566</v>
      </c>
      <c r="M37" s="1695">
        <f t="shared" ref="M37:M45" ca="1" si="14">L37/L$46</f>
        <v>-2.0112470497406103E-2</v>
      </c>
      <c r="N37" s="1694">
        <f ca="1">SUM(N38:N43)</f>
        <v>671.53620560014804</v>
      </c>
      <c r="O37" s="1695">
        <f t="shared" ref="O37:O45" ca="1" si="15">N37/N$46</f>
        <v>-1.7347081345321883E-2</v>
      </c>
    </row>
    <row r="38" spans="1:15" ht="18" customHeight="1">
      <c r="A38" s="1470" t="s">
        <v>771</v>
      </c>
      <c r="B38" s="710">
        <f>'Finançamento Inicial'!B23+'Finançamento Inicial'!B24</f>
        <v>0</v>
      </c>
      <c r="C38" s="711">
        <f t="shared" si="9"/>
        <v>0</v>
      </c>
      <c r="D38" s="710">
        <f>'Finançamento Inicial'!D23*0+Empréstimos!N24+Leasing!N23</f>
        <v>0</v>
      </c>
      <c r="E38" s="711">
        <f t="shared" ca="1" si="10"/>
        <v>0</v>
      </c>
      <c r="F38" s="710">
        <f>Empréstimos!N32+Leasing!N31-Empréstimos!N31-Leasing!N30</f>
        <v>0</v>
      </c>
      <c r="G38" s="711">
        <f t="shared" ca="1" si="11"/>
        <v>0</v>
      </c>
      <c r="H38" s="710">
        <f>Empréstimos!N40+Leasing!N39-Empréstimos!N39-Leasing!N38</f>
        <v>0</v>
      </c>
      <c r="I38" s="711">
        <f t="shared" ca="1" si="12"/>
        <v>0</v>
      </c>
      <c r="J38" s="710">
        <f>Empréstimos!N48+Leasing!N47-Empréstimos!N47-Leasing!N46</f>
        <v>0</v>
      </c>
      <c r="K38" s="711">
        <f t="shared" ca="1" si="13"/>
        <v>0</v>
      </c>
      <c r="L38" s="710">
        <f>Empréstimos!N56+Leasing!N55-Empréstimos!N55-Leasing!N54</f>
        <v>0</v>
      </c>
      <c r="M38" s="711">
        <f t="shared" ca="1" si="14"/>
        <v>0</v>
      </c>
      <c r="N38" s="710">
        <f>Empréstimos!N63+Leasing!N62</f>
        <v>0</v>
      </c>
      <c r="O38" s="711">
        <f t="shared" ca="1" si="15"/>
        <v>0</v>
      </c>
    </row>
    <row r="39" spans="1:15" ht="18" customHeight="1">
      <c r="A39" s="1470" t="s">
        <v>772</v>
      </c>
      <c r="B39" s="710">
        <f>'Finançamento Inicial'!B25</f>
        <v>0</v>
      </c>
      <c r="C39" s="711">
        <f t="shared" ca="1" si="9"/>
        <v>0</v>
      </c>
      <c r="D39" s="710">
        <f>'Finançamento Inicial'!B25</f>
        <v>0</v>
      </c>
      <c r="E39" s="711">
        <f t="shared" ca="1" si="10"/>
        <v>0</v>
      </c>
      <c r="F39" s="710">
        <f ca="1">+'Tesorería 0'!N33</f>
        <v>0</v>
      </c>
      <c r="G39" s="711">
        <f t="shared" ca="1" si="11"/>
        <v>0</v>
      </c>
      <c r="H39" s="710">
        <f ca="1">+'Tesorería 1'!N33</f>
        <v>0</v>
      </c>
      <c r="I39" s="711">
        <f t="shared" ca="1" si="12"/>
        <v>0</v>
      </c>
      <c r="J39" s="710">
        <f ca="1">+'Tesorería 2'!N33</f>
        <v>0</v>
      </c>
      <c r="K39" s="711">
        <f t="shared" ca="1" si="13"/>
        <v>0</v>
      </c>
      <c r="L39" s="710">
        <f ca="1">+'Tesorería 3'!N33</f>
        <v>0</v>
      </c>
      <c r="M39" s="711">
        <f t="shared" ca="1" si="14"/>
        <v>0</v>
      </c>
      <c r="N39" s="710">
        <f ca="1">+'Tesorería 4'!N33</f>
        <v>0</v>
      </c>
      <c r="O39" s="711">
        <f t="shared" ca="1" si="15"/>
        <v>0</v>
      </c>
    </row>
    <row r="40" spans="1:15" ht="18" customHeight="1">
      <c r="A40" s="1470" t="s">
        <v>668</v>
      </c>
      <c r="B40" s="710">
        <f>'Finançamento Inicial'!B26+'Finançamento Inicial'!B27</f>
        <v>0</v>
      </c>
      <c r="C40" s="711">
        <f t="shared" si="9"/>
        <v>0</v>
      </c>
      <c r="D40" s="710">
        <f ca="1">'Finançamento Inicial'!B27+'Finançamento Inicial'!C26</f>
        <v>0</v>
      </c>
      <c r="E40" s="711">
        <f t="shared" ca="1" si="10"/>
        <v>0</v>
      </c>
      <c r="F40" s="710">
        <f ca="1">'Receitas e pagamentos 0'!S57+
D40*0-'Tesorería 0'!O21*0-'Otros cobros y pagos'!N65*0</f>
        <v>0</v>
      </c>
      <c r="G40" s="711">
        <f t="shared" ca="1" si="11"/>
        <v>0</v>
      </c>
      <c r="H40" s="710">
        <f ca="1">'Receitas e pagamentos 1'!S57</f>
        <v>0</v>
      </c>
      <c r="I40" s="711">
        <f t="shared" ca="1" si="12"/>
        <v>0</v>
      </c>
      <c r="J40" s="710">
        <f ca="1">'Receitas e pagamentos 2'!S57</f>
        <v>0</v>
      </c>
      <c r="K40" s="711">
        <f t="shared" ca="1" si="13"/>
        <v>0</v>
      </c>
      <c r="L40" s="710">
        <f ca="1">'Receitas e pagamentos 3'!S57</f>
        <v>0</v>
      </c>
      <c r="M40" s="711">
        <f t="shared" ca="1" si="14"/>
        <v>0</v>
      </c>
      <c r="N40" s="710">
        <f ca="1">'Receitas e pagamentos 4'!S57</f>
        <v>0</v>
      </c>
      <c r="O40" s="711">
        <f t="shared" ca="1" si="15"/>
        <v>0</v>
      </c>
    </row>
    <row r="41" spans="1:15" ht="18" customHeight="1">
      <c r="A41" s="1470" t="str">
        <f>"A.T. creedora "&amp;'Dados Básicos'!$A$28</f>
        <v>A.T. creedora IVA</v>
      </c>
      <c r="B41" s="710">
        <f>'Finançamento Inicial'!B28</f>
        <v>0</v>
      </c>
      <c r="C41" s="711">
        <f t="shared" si="9"/>
        <v>0</v>
      </c>
      <c r="D41" s="710">
        <f>'Finançamento Inicial'!B28</f>
        <v>0</v>
      </c>
      <c r="E41" s="711">
        <f t="shared" ca="1" si="10"/>
        <v>0</v>
      </c>
      <c r="F41" s="710">
        <f ca="1">+'IVA 0'!$O$24</f>
        <v>485.76436363636367</v>
      </c>
      <c r="G41" s="711">
        <f t="shared" ca="1" si="11"/>
        <v>-6.6642477822333526E-2</v>
      </c>
      <c r="H41" s="710">
        <f ca="1">+'IVA 1'!$O$24</f>
        <v>530.52551999999991</v>
      </c>
      <c r="I41" s="711">
        <f t="shared" ca="1" si="12"/>
        <v>-3.5071513721055277E-2</v>
      </c>
      <c r="J41" s="710">
        <f ca="1">+'IVA 2'!$O$24</f>
        <v>573.82860779999987</v>
      </c>
      <c r="K41" s="711">
        <f t="shared" ca="1" si="13"/>
        <v>-2.494331202562327E-2</v>
      </c>
      <c r="L41" s="710">
        <f ca="1">+'IVA 3'!$O$24</f>
        <v>620.9457589566</v>
      </c>
      <c r="M41" s="711">
        <f t="shared" ca="1" si="14"/>
        <v>-2.0112470497406103E-2</v>
      </c>
      <c r="N41" s="710">
        <f ca="1">+'IVA 4'!$O$24</f>
        <v>671.53620560014804</v>
      </c>
      <c r="O41" s="711">
        <f t="shared" ca="1" si="15"/>
        <v>-1.7347081345321883E-2</v>
      </c>
    </row>
    <row r="42" spans="1:15" ht="18" customHeight="1">
      <c r="A42" s="1470" t="str">
        <f>"A.T. creedora "&amp;IF(isoc=0,'Dados Básicos'!$I$43,'Dados Básicos'!$I$44)</f>
        <v>A.T. creedora I.R.C.</v>
      </c>
      <c r="B42" s="710">
        <f>'Finançamento Inicial'!B29</f>
        <v>0</v>
      </c>
      <c r="C42" s="711">
        <f t="shared" si="9"/>
        <v>0</v>
      </c>
      <c r="D42" s="710">
        <f>'Finançamento Inicial'!B29</f>
        <v>0</v>
      </c>
      <c r="E42" s="711">
        <f t="shared" ca="1" si="10"/>
        <v>0</v>
      </c>
      <c r="F42" s="710">
        <f ca="1">'IRC Coletivas'!B15
+'Ret IRS'!N13
+IF('IRS Singulares'!K26&gt;0,'IRS Singulares'!K26*'IRS Singulares'!K20,0)</f>
        <v>0</v>
      </c>
      <c r="G42" s="711">
        <f t="shared" ca="1" si="11"/>
        <v>0</v>
      </c>
      <c r="H42" s="710">
        <f ca="1">'IRC Coletivas'!D15
+'Ret IRS'!N22
+IF('IRS Singulares'!L26&gt;0,'IRS Singulares'!L26*'IRS Singulares'!L20,0)</f>
        <v>0</v>
      </c>
      <c r="I42" s="711">
        <f t="shared" ca="1" si="12"/>
        <v>0</v>
      </c>
      <c r="J42" s="710">
        <f ca="1">'IRC Coletivas'!G15
+'Ret IRS'!N31
+IF('IRS Singulares'!M26&gt;0,'IRS Singulares'!M26*'IRS Singulares'!M20,0)</f>
        <v>0</v>
      </c>
      <c r="K42" s="711">
        <f t="shared" ca="1" si="13"/>
        <v>0</v>
      </c>
      <c r="L42" s="710">
        <f ca="1">'IRC Coletivas'!J15
+'Ret IRS'!N40
+IF('IRS Singulares'!N26&gt;0,'IRS Singulares'!N26*'IRS Singulares'!N20,0)</f>
        <v>0</v>
      </c>
      <c r="M42" s="711">
        <f t="shared" ca="1" si="14"/>
        <v>0</v>
      </c>
      <c r="N42" s="710">
        <f ca="1">'IRC Coletivas'!M15
+'Ret IRS'!N49
+IF('IRS Singulares'!O26&gt;0,'IRS Singulares'!O26*'IRS Singulares'!O20,0)</f>
        <v>0</v>
      </c>
      <c r="O42" s="711">
        <f t="shared" ca="1" si="15"/>
        <v>0</v>
      </c>
    </row>
    <row r="43" spans="1:15" ht="18" customHeight="1">
      <c r="A43" s="1470" t="s">
        <v>669</v>
      </c>
      <c r="B43" s="710">
        <f>'Finançamento Inicial'!B30</f>
        <v>0</v>
      </c>
      <c r="C43" s="711">
        <f>IFERROR(B43/B19,0)</f>
        <v>0</v>
      </c>
      <c r="D43" s="710">
        <f>'Finançamento Inicial'!D30</f>
        <v>0</v>
      </c>
      <c r="E43" s="711">
        <f t="shared" ca="1" si="10"/>
        <v>0</v>
      </c>
      <c r="F43" s="710">
        <f>D43</f>
        <v>0</v>
      </c>
      <c r="G43" s="711">
        <f t="shared" ca="1" si="11"/>
        <v>0</v>
      </c>
      <c r="H43" s="710">
        <f>F43</f>
        <v>0</v>
      </c>
      <c r="I43" s="711">
        <f t="shared" ca="1" si="12"/>
        <v>0</v>
      </c>
      <c r="J43" s="710">
        <f>H43</f>
        <v>0</v>
      </c>
      <c r="K43" s="711">
        <f t="shared" ca="1" si="13"/>
        <v>0</v>
      </c>
      <c r="L43" s="710">
        <f>J43</f>
        <v>0</v>
      </c>
      <c r="M43" s="711">
        <f t="shared" ca="1" si="14"/>
        <v>0</v>
      </c>
      <c r="N43" s="710">
        <f>L43</f>
        <v>0</v>
      </c>
      <c r="O43" s="711">
        <f t="shared" ca="1" si="15"/>
        <v>0</v>
      </c>
    </row>
    <row r="44" spans="1:15" s="802" customFormat="1" ht="18" customHeight="1">
      <c r="A44" s="1700" t="s">
        <v>775</v>
      </c>
      <c r="B44" s="1692">
        <f>B26+B32</f>
        <v>0</v>
      </c>
      <c r="C44" s="1693">
        <f>IFERROR(B44/B20,0)</f>
        <v>0</v>
      </c>
      <c r="D44" s="1692">
        <f>D26+D32</f>
        <v>2335</v>
      </c>
      <c r="E44" s="1693">
        <f t="shared" ca="1" si="10"/>
        <v>1</v>
      </c>
      <c r="F44" s="1694">
        <f ca="1">F26+F32</f>
        <v>-7774.874545454546</v>
      </c>
      <c r="G44" s="1695">
        <f t="shared" ca="1" si="11"/>
        <v>1.0666424778223336</v>
      </c>
      <c r="H44" s="1694">
        <f ca="1">H26+H32</f>
        <v>-15657.489363636365</v>
      </c>
      <c r="I44" s="1695">
        <f t="shared" ca="1" si="12"/>
        <v>1.0350715137210553</v>
      </c>
      <c r="J44" s="1694">
        <f ca="1">J26+J32</f>
        <v>-23579.137895136366</v>
      </c>
      <c r="K44" s="1695">
        <f t="shared" ca="1" si="13"/>
        <v>1.0249433120256233</v>
      </c>
      <c r="L44" s="1694">
        <f ca="1">L26+L32</f>
        <v>-31494.614860755064</v>
      </c>
      <c r="M44" s="1695">
        <f t="shared" ca="1" si="14"/>
        <v>1.0201124704974061</v>
      </c>
      <c r="N44" s="1694">
        <f ca="1">N26+N32</f>
        <v>-39383.305190372113</v>
      </c>
      <c r="O44" s="1695">
        <f t="shared" ca="1" si="15"/>
        <v>1.0173470813453218</v>
      </c>
    </row>
    <row r="45" spans="1:15" s="802" customFormat="1" ht="21" customHeight="1" thickBot="1">
      <c r="A45" s="1701" t="s">
        <v>776</v>
      </c>
      <c r="B45" s="1694">
        <f>B32+B37</f>
        <v>0</v>
      </c>
      <c r="C45" s="1695">
        <f>IFERROR(B45/B21,0)</f>
        <v>0</v>
      </c>
      <c r="D45" s="1694">
        <f ca="1">D32+D37</f>
        <v>0</v>
      </c>
      <c r="E45" s="1695">
        <f t="shared" ca="1" si="10"/>
        <v>0</v>
      </c>
      <c r="F45" s="1694">
        <f ca="1">F32+F37</f>
        <v>485.76436363636367</v>
      </c>
      <c r="G45" s="1695">
        <f t="shared" ca="1" si="11"/>
        <v>-6.6642477822333526E-2</v>
      </c>
      <c r="H45" s="1694">
        <f ca="1">H32+H37</f>
        <v>530.52551999999991</v>
      </c>
      <c r="I45" s="1695">
        <f t="shared" ca="1" si="12"/>
        <v>-3.5071513721055277E-2</v>
      </c>
      <c r="J45" s="1694">
        <f ca="1">J32+J37</f>
        <v>573.82860779999987</v>
      </c>
      <c r="K45" s="1695">
        <f t="shared" ca="1" si="13"/>
        <v>-2.494331202562327E-2</v>
      </c>
      <c r="L45" s="1694">
        <f ca="1">L32+L37</f>
        <v>620.9457589566</v>
      </c>
      <c r="M45" s="1695">
        <f t="shared" ca="1" si="14"/>
        <v>-2.0112470497406103E-2</v>
      </c>
      <c r="N45" s="1694">
        <f ca="1">N32+N37</f>
        <v>671.53620560014804</v>
      </c>
      <c r="O45" s="1695">
        <f t="shared" ca="1" si="15"/>
        <v>-1.7347081345321883E-2</v>
      </c>
    </row>
    <row r="46" spans="1:15" s="49" customFormat="1" ht="21" customHeight="1" thickBot="1">
      <c r="A46" s="1691" t="s">
        <v>777</v>
      </c>
      <c r="B46" s="1687">
        <f t="shared" ref="B46:O46" si="16">B26+B32+B37</f>
        <v>0</v>
      </c>
      <c r="C46" s="1688">
        <f ca="1">C26+C32+C37</f>
        <v>0</v>
      </c>
      <c r="D46" s="1687">
        <f t="shared" ca="1" si="16"/>
        <v>2335</v>
      </c>
      <c r="E46" s="1688">
        <f t="shared" ca="1" si="16"/>
        <v>1</v>
      </c>
      <c r="F46" s="1689">
        <f t="shared" ca="1" si="16"/>
        <v>-7289.1101818181824</v>
      </c>
      <c r="G46" s="1690">
        <f t="shared" ca="1" si="16"/>
        <v>1</v>
      </c>
      <c r="H46" s="1689">
        <f t="shared" ca="1" si="16"/>
        <v>-15126.963843636366</v>
      </c>
      <c r="I46" s="1690">
        <f t="shared" ca="1" si="16"/>
        <v>1</v>
      </c>
      <c r="J46" s="1689">
        <f t="shared" ca="1" si="16"/>
        <v>-23005.309287336368</v>
      </c>
      <c r="K46" s="1690">
        <f t="shared" ca="1" si="16"/>
        <v>1</v>
      </c>
      <c r="L46" s="1689">
        <f t="shared" ca="1" si="16"/>
        <v>-30873.669101798463</v>
      </c>
      <c r="M46" s="1690">
        <f t="shared" ca="1" si="16"/>
        <v>1</v>
      </c>
      <c r="N46" s="1689">
        <f t="shared" ca="1" si="16"/>
        <v>-38711.768984771967</v>
      </c>
      <c r="O46" s="1690">
        <f t="shared" ca="1" si="16"/>
        <v>0.99999999999999989</v>
      </c>
    </row>
    <row r="47" spans="1:15" ht="15.75" thickBot="1">
      <c r="C47" s="706"/>
      <c r="D47" s="705"/>
      <c r="E47" s="706"/>
      <c r="F47" s="705"/>
      <c r="G47" s="713"/>
      <c r="H47" s="705"/>
      <c r="I47" s="713"/>
      <c r="J47" s="705"/>
      <c r="K47" s="713"/>
      <c r="L47" s="705"/>
      <c r="M47" s="713"/>
      <c r="N47" s="705"/>
      <c r="O47" s="713"/>
    </row>
    <row r="48" spans="1:15" s="49" customFormat="1" ht="20.25" customHeight="1" thickBot="1">
      <c r="A48" s="1686" t="s">
        <v>778</v>
      </c>
      <c r="B48" s="1682">
        <f>B44-B5</f>
        <v>0</v>
      </c>
      <c r="C48" s="1683">
        <f ca="1">IFERROR(B48/B24,0)</f>
        <v>0</v>
      </c>
      <c r="D48" s="1682">
        <f>D44-D5</f>
        <v>2335</v>
      </c>
      <c r="E48" s="1683">
        <f ca="1">D48/D24</f>
        <v>1</v>
      </c>
      <c r="F48" s="1684">
        <f ca="1">F44-F5</f>
        <v>-7774.874545454546</v>
      </c>
      <c r="G48" s="1685">
        <f ca="1">F48/F24</f>
        <v>1.0666424778223333</v>
      </c>
      <c r="H48" s="1684">
        <f ca="1">H44-H5</f>
        <v>-15657.489363636365</v>
      </c>
      <c r="I48" s="1685">
        <f ca="1">H48/H24</f>
        <v>1.0350715137210553</v>
      </c>
      <c r="J48" s="1684">
        <f ca="1">J44-J5</f>
        <v>-23579.137895136366</v>
      </c>
      <c r="K48" s="1685">
        <f ca="1">J48/J24</f>
        <v>1.0249433120256231</v>
      </c>
      <c r="L48" s="1684">
        <f ca="1">L44-L5</f>
        <v>-31494.614860755064</v>
      </c>
      <c r="M48" s="1685">
        <f ca="1">L48/L24</f>
        <v>1.0201124704974061</v>
      </c>
      <c r="N48" s="1684">
        <f ca="1">N44-N5</f>
        <v>-39383.305190372113</v>
      </c>
      <c r="O48" s="1685">
        <f ca="1">N48/N24</f>
        <v>1.0173470813453218</v>
      </c>
    </row>
    <row r="49" spans="1:15" ht="15.75" thickBot="1">
      <c r="B49" s="36"/>
      <c r="C49" s="698"/>
    </row>
    <row r="50" spans="1:15" s="49" customFormat="1" ht="20.25" customHeight="1" thickBot="1">
      <c r="A50" s="1881" t="s">
        <v>779</v>
      </c>
      <c r="B50" s="1682">
        <f ca="1">+B16+B17+B15-B40</f>
        <v>0</v>
      </c>
      <c r="C50" s="1683">
        <f ca="1">IFERROR(B50/B26,0)</f>
        <v>0</v>
      </c>
      <c r="D50" s="1682">
        <f ca="1">+D16+D17+D15-D40</f>
        <v>0</v>
      </c>
      <c r="E50" s="1683">
        <f ca="1">D50/D26</f>
        <v>0</v>
      </c>
      <c r="F50" s="1682">
        <f ca="1">+F16+F17+F15-F40</f>
        <v>0</v>
      </c>
      <c r="G50" s="1685">
        <f ca="1">F50/F26</f>
        <v>0</v>
      </c>
      <c r="H50" s="1682">
        <f ca="1">+H16+H17+H15-H40</f>
        <v>0</v>
      </c>
      <c r="I50" s="1685">
        <f ca="1">H50/H26</f>
        <v>0</v>
      </c>
      <c r="J50" s="1682">
        <f ca="1">+J16+J17+J15-J40</f>
        <v>0</v>
      </c>
      <c r="K50" s="1685">
        <f ca="1">J50/J26</f>
        <v>0</v>
      </c>
      <c r="L50" s="1682">
        <f ca="1">+L16+L17+L15-L40</f>
        <v>0</v>
      </c>
      <c r="M50" s="1685">
        <f ca="1">L50/L26</f>
        <v>0</v>
      </c>
      <c r="N50" s="1682">
        <f ca="1">+N16+N17+N15-N40</f>
        <v>0</v>
      </c>
      <c r="O50" s="1685">
        <f ca="1">N50/N26</f>
        <v>0</v>
      </c>
    </row>
    <row r="52" spans="1:15">
      <c r="A52" s="40" t="str">
        <f>CONCATENATE("Todas as quantidades são expressadas em ",D4)</f>
        <v>Todas as quantidades são expressadas em €</v>
      </c>
      <c r="B52" s="40"/>
      <c r="C52" s="40"/>
      <c r="F52" s="36" t="s">
        <v>780</v>
      </c>
    </row>
    <row r="53" spans="1:15">
      <c r="A53" s="2356"/>
      <c r="B53" s="699" t="str">
        <f ca="1">IF(ABS(B46-B24)&gt;0.005,B46-B24,"")</f>
        <v/>
      </c>
      <c r="C53" s="2356"/>
      <c r="D53" s="699" t="str">
        <f ca="1">IF(ABS(D46-D24)&gt;0.005,D46-D24,"")</f>
        <v/>
      </c>
      <c r="F53" s="699" t="str">
        <f ca="1">IF(ABS(F46-F24)&gt;0.005,F46-F24,"")</f>
        <v/>
      </c>
      <c r="H53" s="699" t="str">
        <f ca="1">IF(ABS(H46-H24)&gt;0.005,H46-H24,"")</f>
        <v/>
      </c>
      <c r="J53" s="699" t="str">
        <f ca="1">IF(ABS(J46-J24)&gt;0.005,J46-J24,"")</f>
        <v/>
      </c>
      <c r="L53" s="699" t="str">
        <f ca="1">IF(ABS(L46-L24)&gt;0.005,L46-L24,"")</f>
        <v/>
      </c>
      <c r="N53" s="699" t="str">
        <f ca="1">IF(ABS(N46-N24)&gt;0.005,N46-N24,"")</f>
        <v/>
      </c>
    </row>
    <row r="54" spans="1:15">
      <c r="A54" s="40" t="str">
        <f>IF(consolidacion,"* El Balance Inicial es la combinación del Balance Previo, las inversiones iniciales y las financiaciones iniciales previstas","")</f>
        <v/>
      </c>
      <c r="B54" s="40"/>
      <c r="C54" s="40"/>
    </row>
    <row r="55" spans="1:15">
      <c r="J55" s="700"/>
    </row>
  </sheetData>
  <sheetProtection sheet="1" objects="1" scenarios="1"/>
  <phoneticPr fontId="4" type="noConversion"/>
  <printOptions horizontalCentered="1"/>
  <pageMargins left="0.78740157480314965" right="0.78740157480314965" top="0.59055118110236227" bottom="0.59055118110236227" header="0" footer="0.31496062992125984"/>
  <pageSetup paperSize="9" scale="59" orientation="landscape" horizontalDpi="300" verticalDpi="300" r:id="rId1"/>
  <headerFooter alignWithMargins="0">
    <oddFooter>&amp;C&amp;"Tahoma,Normal"&amp;10&amp;A</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39997558519241921"/>
    <pageSetUpPr fitToPage="1"/>
  </sheetPr>
  <dimension ref="A1:O56"/>
  <sheetViews>
    <sheetView workbookViewId="0"/>
  </sheetViews>
  <sheetFormatPr baseColWidth="10" defaultColWidth="11" defaultRowHeight="15"/>
  <cols>
    <col min="1" max="1" width="33.5" style="694" customWidth="1"/>
    <col min="2" max="2" width="14.375" style="694" customWidth="1"/>
    <col min="3" max="3" width="14.25" style="694" customWidth="1"/>
    <col min="4" max="4" width="13.5" style="36" customWidth="1"/>
    <col min="5" max="5" width="14.25" style="698" customWidth="1"/>
    <col min="6" max="6" width="12.875" style="36" customWidth="1"/>
    <col min="7" max="7" width="11.625" style="36" customWidth="1"/>
    <col min="8" max="8" width="12.875" style="36" customWidth="1"/>
    <col min="9" max="9" width="11.625" style="36" customWidth="1"/>
    <col min="10" max="10" width="12.875" style="36" customWidth="1"/>
    <col min="11" max="11" width="11.625" style="36" customWidth="1"/>
    <col min="12" max="12" width="12.875" style="36" customWidth="1"/>
    <col min="13" max="13" width="11.625" style="36" customWidth="1"/>
    <col min="14" max="14" width="12.875" style="36" customWidth="1"/>
    <col min="15" max="15" width="11.625" style="36" customWidth="1"/>
    <col min="16" max="16384" width="11" style="36"/>
  </cols>
  <sheetData>
    <row r="1" spans="1:15" ht="22.5">
      <c r="A1" s="417" t="str">
        <f>'Balanços anuais'!A1</f>
        <v>Balanços Anuais Previsionáis</v>
      </c>
      <c r="B1" s="417"/>
      <c r="C1" s="417"/>
      <c r="D1" s="691"/>
      <c r="E1" s="2587" t="s">
        <v>1070</v>
      </c>
      <c r="F1" s="691"/>
      <c r="G1" s="691"/>
      <c r="H1" s="691"/>
      <c r="I1" s="220"/>
      <c r="J1" s="220"/>
      <c r="K1" s="220"/>
      <c r="L1" s="220"/>
      <c r="M1" s="220"/>
      <c r="N1" s="220"/>
      <c r="O1" s="220"/>
    </row>
    <row r="2" spans="1:15" ht="23.25" thickBot="1">
      <c r="A2" s="417" t="str">
        <f>'Dados Básicos'!B9</f>
        <v>WWW, S.L.</v>
      </c>
      <c r="B2" s="417"/>
      <c r="C2" s="417"/>
      <c r="D2" s="692"/>
      <c r="E2" s="692"/>
      <c r="F2" s="693"/>
      <c r="G2" s="692"/>
      <c r="H2" s="693"/>
      <c r="J2" s="693"/>
      <c r="K2" s="264"/>
      <c r="L2" s="693"/>
      <c r="M2" s="264"/>
      <c r="N2" s="693"/>
      <c r="O2" s="264"/>
    </row>
    <row r="3" spans="1:15" ht="15.75" thickBot="1">
      <c r="B3" s="1680" t="s">
        <v>1131</v>
      </c>
      <c r="C3" s="1680"/>
      <c r="D3" s="1680" t="str">
        <f>MID('Dados Básicos'!F21,3,40)&amp;" (*)"</f>
        <v>mes de janeiro de 2026 (*)</v>
      </c>
      <c r="E3" s="1681"/>
      <c r="F3" s="1680" t="str">
        <f>CONCATENATE(Parametros!$B$72,"  ",TEXT(Parametros!D64,"aaaa"))</f>
        <v>dezembro  2026</v>
      </c>
      <c r="G3" s="1681"/>
      <c r="H3" s="1680" t="str">
        <f>CONCATENATE(Parametros!$B$72,"  ",TEXT(Parametros!E64,"aaaa"))</f>
        <v>dezembro  2027</v>
      </c>
      <c r="I3" s="1681"/>
      <c r="J3" s="1680" t="str">
        <f>CONCATENATE(Parametros!$B$72,"  ",TEXT(Parametros!F64,"aaaa"))</f>
        <v>dezembro  2028</v>
      </c>
      <c r="K3" s="1681"/>
      <c r="L3" s="1680" t="str">
        <f>CONCATENATE(Parametros!$B$72,"  ",TEXT(Parametros!G64,"aaaa"))</f>
        <v>dezembro  2029</v>
      </c>
      <c r="M3" s="1681"/>
      <c r="N3" s="1680" t="str">
        <f>CONCATENATE(Parametros!$B$72,"  ",TEXT(Parametros!H64,"aaaa"))</f>
        <v>dezembro  2030</v>
      </c>
      <c r="O3" s="1681"/>
    </row>
    <row r="4" spans="1:15" ht="15.75" thickBot="1">
      <c r="A4" s="73"/>
      <c r="B4" s="2574" t="str">
        <f>$D$4</f>
        <v>€</v>
      </c>
      <c r="C4" s="2575" t="s">
        <v>6</v>
      </c>
      <c r="D4" s="2574" t="str">
        <f>Parametros!H11</f>
        <v>€</v>
      </c>
      <c r="E4" s="2575" t="s">
        <v>6</v>
      </c>
      <c r="F4" s="2574" t="str">
        <f>$D$4</f>
        <v>€</v>
      </c>
      <c r="G4" s="2575" t="s">
        <v>6</v>
      </c>
      <c r="H4" s="2574" t="str">
        <f>$D$4</f>
        <v>€</v>
      </c>
      <c r="I4" s="2575" t="s">
        <v>6</v>
      </c>
      <c r="J4" s="2574" t="str">
        <f>$D$4</f>
        <v>€</v>
      </c>
      <c r="K4" s="2576" t="s">
        <v>6</v>
      </c>
      <c r="L4" s="2574" t="str">
        <f>$D$4</f>
        <v>€</v>
      </c>
      <c r="M4" s="2576" t="s">
        <v>6</v>
      </c>
      <c r="N4" s="2574" t="str">
        <f>$D$4</f>
        <v>€</v>
      </c>
      <c r="O4" s="2576" t="s">
        <v>6</v>
      </c>
    </row>
    <row r="5" spans="1:15" s="49" customFormat="1" ht="16.5" customHeight="1">
      <c r="A5" s="1702" t="str">
        <f>'Balanços anuais'!A13</f>
        <v>Ativos Currentes</v>
      </c>
      <c r="B5" s="1696">
        <f ca="1">SUM(B6:B14)</f>
        <v>0</v>
      </c>
      <c r="C5" s="1697">
        <f t="shared" ref="C5:C14" ca="1" si="0">IFERROR(B5/B$24,0)</f>
        <v>0</v>
      </c>
      <c r="D5" s="1696">
        <f ca="1">SUM(D6:D14)</f>
        <v>2335</v>
      </c>
      <c r="E5" s="1697">
        <f t="shared" ref="E5:E14" ca="1" si="1">D5/D$24</f>
        <v>1</v>
      </c>
      <c r="F5" s="1696">
        <f ca="1">SUM(F6:F14)</f>
        <v>-7289.1101818181842</v>
      </c>
      <c r="G5" s="1699">
        <f t="shared" ref="G5:G14" ca="1" si="2">F5/F$24</f>
        <v>1</v>
      </c>
      <c r="H5" s="1696">
        <f ca="1">SUM(H6:H14)</f>
        <v>-15126.963843636366</v>
      </c>
      <c r="I5" s="1699">
        <f t="shared" ref="I5:I14" ca="1" si="3">H5/H$24</f>
        <v>1</v>
      </c>
      <c r="J5" s="1696">
        <f ca="1">SUM(J6:J14)</f>
        <v>-23005.309287336371</v>
      </c>
      <c r="K5" s="1699">
        <f t="shared" ref="K5:K14" ca="1" si="4">J5/J$24</f>
        <v>1</v>
      </c>
      <c r="L5" s="1696">
        <f ca="1">SUM(L6:L14)</f>
        <v>-30873.669101798463</v>
      </c>
      <c r="M5" s="1699">
        <f t="shared" ref="M5:M14" ca="1" si="5">L5/L$24</f>
        <v>1</v>
      </c>
      <c r="N5" s="1696">
        <f ca="1">SUM(N6:N14)</f>
        <v>-38711.768984771967</v>
      </c>
      <c r="O5" s="1699">
        <f t="shared" ref="O5:O14" ca="1" si="6">N5/N$24</f>
        <v>1</v>
      </c>
    </row>
    <row r="6" spans="1:15" ht="16.5" customHeight="1">
      <c r="A6" s="1470" t="str">
        <f>'Balanços anuais'!A22</f>
        <v>Tesouraria</v>
      </c>
      <c r="B6" s="710">
        <f ca="1">'Investimentos AC'!G26</f>
        <v>0</v>
      </c>
      <c r="C6" s="711">
        <f t="shared" ca="1" si="0"/>
        <v>0</v>
      </c>
      <c r="D6" s="710">
        <f ca="1">'Investimentos AC'!G26+'Investimentos AC'!H26</f>
        <v>2201.65</v>
      </c>
      <c r="E6" s="711">
        <f t="shared" ca="1" si="1"/>
        <v>0.94289079229122064</v>
      </c>
      <c r="F6" s="710">
        <f ca="1">'Tesorería 0'!N35</f>
        <v>-7289.1101818181842</v>
      </c>
      <c r="G6" s="711">
        <f t="shared" ca="1" si="2"/>
        <v>1</v>
      </c>
      <c r="H6" s="710">
        <f ca="1">'Tesorería 1'!N35</f>
        <v>-15126.963843636366</v>
      </c>
      <c r="I6" s="711">
        <f t="shared" ca="1" si="3"/>
        <v>1</v>
      </c>
      <c r="J6" s="710">
        <f ca="1">'Tesorería 2'!N35</f>
        <v>-23005.309287336371</v>
      </c>
      <c r="K6" s="711">
        <f t="shared" ca="1" si="4"/>
        <v>1</v>
      </c>
      <c r="L6" s="710">
        <f ca="1">'Tesorería 3'!N35</f>
        <v>-30873.669101798463</v>
      </c>
      <c r="M6" s="711">
        <f t="shared" ca="1" si="5"/>
        <v>1</v>
      </c>
      <c r="N6" s="710">
        <f ca="1">'Tesorería 4'!N35</f>
        <v>-38711.768984771967</v>
      </c>
      <c r="O6" s="711">
        <f t="shared" ca="1" si="6"/>
        <v>1</v>
      </c>
    </row>
    <row r="7" spans="1:15" ht="16.5" customHeight="1">
      <c r="A7" s="1470" t="str">
        <f>'Balanços anuais'!A21</f>
        <v>A.T. Devedora IVA</v>
      </c>
      <c r="B7" s="710">
        <f>'Investimentos AC'!G20</f>
        <v>0</v>
      </c>
      <c r="C7" s="711">
        <f t="shared" ca="1" si="0"/>
        <v>0</v>
      </c>
      <c r="D7" s="710">
        <f ca="1">'Investimentos AC'!H19+'Investimentos AC'!G20</f>
        <v>133.35</v>
      </c>
      <c r="E7" s="711">
        <f t="shared" ca="1" si="1"/>
        <v>5.710920770877944E-2</v>
      </c>
      <c r="F7" s="710">
        <f ca="1">IF(AND(IVAcc=0,'IVA 0'!O22&lt;0),-'IVA 0'!O22,0)+'IVA 0'!O26</f>
        <v>0</v>
      </c>
      <c r="G7" s="711">
        <f t="shared" ca="1" si="2"/>
        <v>0</v>
      </c>
      <c r="H7" s="710">
        <f ca="1">IF(AND(IVAcc=0,'IVA 1'!O22&lt;0),-'IVA 1'!O22,0)+'IVA 1'!O26</f>
        <v>0</v>
      </c>
      <c r="I7" s="711">
        <f t="shared" ca="1" si="3"/>
        <v>0</v>
      </c>
      <c r="J7" s="710">
        <f ca="1">IF(AND(IVAcc=0,'IVA 2'!O22&lt;0),-'IVA 2'!O22,0)+'IVA 2'!O26</f>
        <v>0</v>
      </c>
      <c r="K7" s="711">
        <f t="shared" ca="1" si="4"/>
        <v>0</v>
      </c>
      <c r="L7" s="710">
        <f ca="1">IF(AND(IVAcc=0,'IVA 3'!O22&lt;0),-'IVA 3'!O22,0)+'IVA 3'!O26</f>
        <v>0</v>
      </c>
      <c r="M7" s="711">
        <f t="shared" ca="1" si="5"/>
        <v>0</v>
      </c>
      <c r="N7" s="710">
        <f ca="1">IF(AND(IVAcc=0,'IVA 4'!O22&lt;0),-'IVA 4'!O22,0)+'IVA 4'!O26</f>
        <v>0</v>
      </c>
      <c r="O7" s="711">
        <f t="shared" ca="1" si="6"/>
        <v>0</v>
      </c>
    </row>
    <row r="8" spans="1:15" ht="16.5" customHeight="1">
      <c r="A8" s="1470" t="str">
        <f>'Balanços anuais'!A20</f>
        <v>A.T. Devedora I.R.C.</v>
      </c>
      <c r="B8" s="710">
        <f>'Investimentos AC'!G22</f>
        <v>0</v>
      </c>
      <c r="C8" s="711">
        <f t="shared" ca="1" si="0"/>
        <v>0</v>
      </c>
      <c r="D8" s="710">
        <f>'Investimentos AC'!G22</f>
        <v>0</v>
      </c>
      <c r="E8" s="711">
        <f t="shared" ca="1" si="1"/>
        <v>0</v>
      </c>
      <c r="F8" s="710">
        <f>SUM('IRC Coletivas'!B18:B20)</f>
        <v>0</v>
      </c>
      <c r="G8" s="711">
        <f t="shared" ca="1" si="2"/>
        <v>0</v>
      </c>
      <c r="H8" s="710">
        <f ca="1">SUM('IRC Coletivas'!D18:D20)</f>
        <v>0</v>
      </c>
      <c r="I8" s="711">
        <f t="shared" ca="1" si="3"/>
        <v>0</v>
      </c>
      <c r="J8" s="710">
        <f ca="1">SUM('IRC Coletivas'!G18:G20)</f>
        <v>0</v>
      </c>
      <c r="K8" s="711">
        <f t="shared" ca="1" si="4"/>
        <v>0</v>
      </c>
      <c r="L8" s="710">
        <f ca="1">SUM('IRC Coletivas'!J18:J20)</f>
        <v>0</v>
      </c>
      <c r="M8" s="711">
        <f t="shared" ca="1" si="5"/>
        <v>0</v>
      </c>
      <c r="N8" s="710">
        <f ca="1">SUM('IRC Coletivas'!M18:M20)</f>
        <v>0</v>
      </c>
      <c r="O8" s="711">
        <f t="shared" ca="1" si="6"/>
        <v>0</v>
      </c>
    </row>
    <row r="9" spans="1:15" ht="16.5" customHeight="1">
      <c r="A9" s="1470" t="str">
        <f>'Balanços anuais'!A19</f>
        <v>A.T. pagamentos por conta I.R.S.</v>
      </c>
      <c r="B9" s="710">
        <f>'Investimentos AC'!G21</f>
        <v>0</v>
      </c>
      <c r="C9" s="711">
        <f t="shared" ca="1" si="0"/>
        <v>0</v>
      </c>
      <c r="D9" s="710">
        <f>IF(irpf&lt;&gt;0,'Investimentos AC'!G21,0)</f>
        <v>0</v>
      </c>
      <c r="E9" s="711">
        <f t="shared" ca="1" si="1"/>
        <v>0</v>
      </c>
      <c r="F9" s="710">
        <f ca="1">'IRS Singulares'!C25*0
+IF('IRS Singulares'!K26&lt;0,-'IRS Singulares'!K26*'IRS Singulares'!K20,0)</f>
        <v>0</v>
      </c>
      <c r="G9" s="711">
        <f t="shared" ca="1" si="2"/>
        <v>0</v>
      </c>
      <c r="H9" s="710">
        <f ca="1">'IRS Singulares'!D25*0
+IF('IRS Singulares'!L26&lt;0,-'IRS Singulares'!L26*'IRS Singulares'!L20,0)</f>
        <v>0</v>
      </c>
      <c r="I9" s="711">
        <f t="shared" ca="1" si="3"/>
        <v>0</v>
      </c>
      <c r="J9" s="710">
        <f ca="1">'IRS Singulares'!E25*0
+IF('IRS Singulares'!M26&lt;0,-'IRS Singulares'!M26*'IRS Singulares'!M20,0)</f>
        <v>0</v>
      </c>
      <c r="K9" s="711">
        <f t="shared" ca="1" si="4"/>
        <v>0</v>
      </c>
      <c r="L9" s="710">
        <f ca="1">'IRS Singulares'!F25*0
+IF('IRS Singulares'!N26&lt;0,-'IRS Singulares'!N26*'IRS Singulares'!N20,0)</f>
        <v>0</v>
      </c>
      <c r="M9" s="711">
        <f t="shared" ca="1" si="5"/>
        <v>0</v>
      </c>
      <c r="N9" s="710">
        <f ca="1">'IRS Singulares'!G25*0
+IF('IRS Singulares'!O26&lt;0,-'IRS Singulares'!O26*'IRS Singulares'!O20,0)</f>
        <v>0</v>
      </c>
      <c r="O9" s="711">
        <f t="shared" ca="1" si="6"/>
        <v>0</v>
      </c>
    </row>
    <row r="10" spans="1:15" ht="16.5" customHeight="1">
      <c r="A10" s="1470" t="str">
        <f>'Balanços anuais'!A18</f>
        <v>Admon. Creedora subvenções</v>
      </c>
      <c r="B10" s="710">
        <f>'Investimentos AC'!G23</f>
        <v>0</v>
      </c>
      <c r="C10" s="711">
        <f t="shared" ca="1" si="0"/>
        <v>0</v>
      </c>
      <c r="D10" s="710">
        <f>+'Investimentos AC'!I23</f>
        <v>0</v>
      </c>
      <c r="E10" s="711">
        <f t="shared" ca="1" si="1"/>
        <v>0</v>
      </c>
      <c r="F10" s="710">
        <f>Finançamento!E19</f>
        <v>0</v>
      </c>
      <c r="G10" s="711">
        <f t="shared" ca="1" si="2"/>
        <v>0</v>
      </c>
      <c r="H10" s="710">
        <f>Finançamento!F19</f>
        <v>0</v>
      </c>
      <c r="I10" s="711">
        <f t="shared" ca="1" si="3"/>
        <v>0</v>
      </c>
      <c r="J10" s="710">
        <f>Finançamento!G19</f>
        <v>0</v>
      </c>
      <c r="K10" s="711">
        <f t="shared" ca="1" si="4"/>
        <v>0</v>
      </c>
      <c r="L10" s="710">
        <f>Finançamento!H19</f>
        <v>0</v>
      </c>
      <c r="M10" s="711">
        <f t="shared" ca="1" si="5"/>
        <v>0</v>
      </c>
      <c r="N10" s="710">
        <v>0</v>
      </c>
      <c r="O10" s="711">
        <f t="shared" ca="1" si="6"/>
        <v>0</v>
      </c>
    </row>
    <row r="11" spans="1:15" ht="16.5" customHeight="1">
      <c r="A11" s="1470" t="str">
        <f>'Balanços anuais'!A17</f>
        <v>Clientes duvidosos</v>
      </c>
      <c r="B11" s="710">
        <v>0</v>
      </c>
      <c r="C11" s="711">
        <f t="shared" ca="1" si="0"/>
        <v>0</v>
      </c>
      <c r="D11" s="710">
        <v>0</v>
      </c>
      <c r="E11" s="711">
        <f t="shared" ca="1" si="1"/>
        <v>0</v>
      </c>
      <c r="F11" s="710">
        <f ca="1">'Receitas e pagamentos 0'!S31</f>
        <v>0</v>
      </c>
      <c r="G11" s="711">
        <f t="shared" ca="1" si="2"/>
        <v>0</v>
      </c>
      <c r="H11" s="710">
        <f ca="1">'Receitas e pagamentos 1'!S31</f>
        <v>0</v>
      </c>
      <c r="I11" s="711">
        <f t="shared" ca="1" si="3"/>
        <v>0</v>
      </c>
      <c r="J11" s="710">
        <f ca="1">'Receitas e pagamentos 2'!S31</f>
        <v>0</v>
      </c>
      <c r="K11" s="711">
        <f t="shared" ca="1" si="4"/>
        <v>0</v>
      </c>
      <c r="L11" s="710">
        <f ca="1">'Receitas e pagamentos 3'!S31</f>
        <v>0</v>
      </c>
      <c r="M11" s="711">
        <f t="shared" ca="1" si="5"/>
        <v>0</v>
      </c>
      <c r="N11" s="710">
        <f ca="1">'Receitas e pagamentos 4'!S31</f>
        <v>0</v>
      </c>
      <c r="O11" s="711">
        <f t="shared" ca="1" si="6"/>
        <v>0</v>
      </c>
    </row>
    <row r="12" spans="1:15" ht="16.5" customHeight="1">
      <c r="A12" s="1470" t="str">
        <f>'Balanços anuais'!A16</f>
        <v>Recietas pendentes de clientes</v>
      </c>
      <c r="B12" s="710">
        <f>'Investimentos AC'!G24</f>
        <v>0</v>
      </c>
      <c r="C12" s="711">
        <f t="shared" ca="1" si="0"/>
        <v>0</v>
      </c>
      <c r="D12" s="710">
        <f>'Investimentos AC'!G24</f>
        <v>0</v>
      </c>
      <c r="E12" s="711">
        <f t="shared" ca="1" si="1"/>
        <v>0</v>
      </c>
      <c r="F12" s="710">
        <f ca="1">'Receitas e pagamentos 0'!S30+'Investimentos AC'!G24
-'Otros cobros y pagos'!N11*0
-('Tesorería 0'!O7-'Investimentos AC'!I23)</f>
        <v>0</v>
      </c>
      <c r="G12" s="711">
        <f t="shared" ca="1" si="2"/>
        <v>0</v>
      </c>
      <c r="H12" s="710">
        <f ca="1">'Receitas e pagamentos 1'!S30</f>
        <v>0</v>
      </c>
      <c r="I12" s="711">
        <f t="shared" ca="1" si="3"/>
        <v>0</v>
      </c>
      <c r="J12" s="710">
        <f ca="1">'Receitas e pagamentos 2'!S30</f>
        <v>0</v>
      </c>
      <c r="K12" s="711">
        <f t="shared" ca="1" si="4"/>
        <v>0</v>
      </c>
      <c r="L12" s="710">
        <f ca="1">'Receitas e pagamentos 3'!S30</f>
        <v>0</v>
      </c>
      <c r="M12" s="711">
        <f t="shared" ca="1" si="5"/>
        <v>0</v>
      </c>
      <c r="N12" s="710">
        <f ca="1">'Receitas e pagamentos 4'!S30</f>
        <v>0</v>
      </c>
      <c r="O12" s="711">
        <f t="shared" ca="1" si="6"/>
        <v>0</v>
      </c>
    </row>
    <row r="13" spans="1:15" ht="16.5" customHeight="1">
      <c r="A13" s="1470" t="str">
        <f>'Balanços anuais'!A15</f>
        <v>Existências - Estoque</v>
      </c>
      <c r="B13" s="710">
        <f ca="1">'Investimentos AC'!G11</f>
        <v>0</v>
      </c>
      <c r="C13" s="711">
        <f t="shared" ca="1" si="0"/>
        <v>0</v>
      </c>
      <c r="D13" s="710">
        <f ca="1">'Investimentos AC'!I11</f>
        <v>0</v>
      </c>
      <c r="E13" s="711">
        <f t="shared" ca="1" si="1"/>
        <v>0</v>
      </c>
      <c r="F13" s="710">
        <f ca="1">($D13-'Investimentos AC'!G15)+SUM('Distr CV 1'!B85:M85)</f>
        <v>0</v>
      </c>
      <c r="G13" s="711">
        <f t="shared" ca="1" si="2"/>
        <v>0</v>
      </c>
      <c r="H13" s="710">
        <f ca="1">(F13-SUM('Distr CV 1'!B85:M85))+SUM('Distr CV 2'!B85:M85)+SUM('Investimentos AC'!C39:C41)</f>
        <v>0</v>
      </c>
      <c r="I13" s="711">
        <f t="shared" ca="1" si="3"/>
        <v>0</v>
      </c>
      <c r="J13" s="710">
        <f ca="1">(H13-SUM('Distr CV 2'!B85:M85))+SUM('Distr CV 3'!B85:M85)+SUM('Investimentos AC'!D39:D41)</f>
        <v>0</v>
      </c>
      <c r="K13" s="711">
        <f t="shared" ca="1" si="4"/>
        <v>0</v>
      </c>
      <c r="L13" s="710">
        <f ca="1">(J13-SUM('Distr CV 3'!B85:M85))+SUM('Distr CV 4'!B85:M85)+SUM('Investimentos AC'!E39:E41)</f>
        <v>0</v>
      </c>
      <c r="M13" s="711">
        <f t="shared" ca="1" si="5"/>
        <v>0</v>
      </c>
      <c r="N13" s="710">
        <f ca="1">(L13-SUM('Distr CV 4'!B85:M85))+SUM('Distr CV 5'!B85:M85)+SUM('Investimentos AC'!F39:F41)</f>
        <v>0</v>
      </c>
      <c r="O13" s="711">
        <f t="shared" ca="1" si="6"/>
        <v>0</v>
      </c>
    </row>
    <row r="14" spans="1:15" ht="16.5" customHeight="1">
      <c r="A14" s="1470" t="str">
        <f>'Balanços anuais'!A14</f>
        <v>Inmob. Financeiro Curto Prazo</v>
      </c>
      <c r="B14" s="710">
        <f>'Investimentos AC'!G7</f>
        <v>0</v>
      </c>
      <c r="C14" s="711">
        <f t="shared" ca="1" si="0"/>
        <v>0</v>
      </c>
      <c r="D14" s="710">
        <f>'Investimentos AC'!I7</f>
        <v>0</v>
      </c>
      <c r="E14" s="711">
        <f t="shared" ca="1" si="1"/>
        <v>0</v>
      </c>
      <c r="F14" s="710">
        <f>D14</f>
        <v>0</v>
      </c>
      <c r="G14" s="711">
        <f t="shared" ca="1" si="2"/>
        <v>0</v>
      </c>
      <c r="H14" s="710">
        <f>F14+'Investimentos AC'!C36</f>
        <v>0</v>
      </c>
      <c r="I14" s="711">
        <f t="shared" ca="1" si="3"/>
        <v>0</v>
      </c>
      <c r="J14" s="710">
        <f>H14+'Investimentos AC'!D36</f>
        <v>0</v>
      </c>
      <c r="K14" s="711">
        <f t="shared" ca="1" si="4"/>
        <v>0</v>
      </c>
      <c r="L14" s="710">
        <f>J14+'Investimentos AC'!E36</f>
        <v>0</v>
      </c>
      <c r="M14" s="711">
        <f t="shared" ca="1" si="5"/>
        <v>0</v>
      </c>
      <c r="N14" s="710">
        <f>L14+'Investimentos AC'!F36</f>
        <v>0</v>
      </c>
      <c r="O14" s="711">
        <f t="shared" ca="1" si="6"/>
        <v>0</v>
      </c>
    </row>
    <row r="15" spans="1:15">
      <c r="A15" s="2581"/>
      <c r="B15" s="2570"/>
      <c r="C15" s="2571"/>
      <c r="D15" s="2570"/>
      <c r="E15" s="2571"/>
      <c r="F15" s="2572"/>
      <c r="G15" s="2573"/>
      <c r="H15" s="2572"/>
      <c r="I15" s="2573"/>
      <c r="J15" s="2572"/>
      <c r="K15" s="2573"/>
      <c r="L15" s="2572"/>
      <c r="M15" s="2573"/>
      <c r="N15" s="2572"/>
      <c r="O15" s="2573"/>
    </row>
    <row r="16" spans="1:15" s="49" customFormat="1" ht="16.5" customHeight="1">
      <c r="A16" s="1700" t="str">
        <f>'Balanços anuais'!A5</f>
        <v>Ativos Não Currentes</v>
      </c>
      <c r="B16" s="2582">
        <f>SUM(B17:B22)</f>
        <v>0</v>
      </c>
      <c r="C16" s="2583">
        <f t="shared" ref="C16:C22" ca="1" si="7">IFERROR(B16/B$24,0)</f>
        <v>0</v>
      </c>
      <c r="D16" s="2582">
        <f>SUM(D17:D22)</f>
        <v>0</v>
      </c>
      <c r="E16" s="2583">
        <f ca="1">D16/D$24</f>
        <v>0</v>
      </c>
      <c r="F16" s="2582">
        <f>SUM(F17:F22)</f>
        <v>0</v>
      </c>
      <c r="G16" s="2584">
        <f ca="1">F16/F$24</f>
        <v>0</v>
      </c>
      <c r="H16" s="2582">
        <f>SUM(H17:H22)</f>
        <v>0</v>
      </c>
      <c r="I16" s="2584">
        <f ca="1">H16/H$24</f>
        <v>0</v>
      </c>
      <c r="J16" s="2582">
        <f>SUM(J17:J22)</f>
        <v>0</v>
      </c>
      <c r="K16" s="2584">
        <f ca="1">J16/J$24</f>
        <v>0</v>
      </c>
      <c r="L16" s="2582">
        <f>SUM(L17:L22)</f>
        <v>0</v>
      </c>
      <c r="M16" s="2584">
        <f ca="1">L16/L$24</f>
        <v>0</v>
      </c>
      <c r="N16" s="2582">
        <f>SUM(N17:N22)</f>
        <v>0</v>
      </c>
      <c r="O16" s="2584">
        <f ca="1">N16/N$24</f>
        <v>0</v>
      </c>
    </row>
    <row r="17" spans="1:15" s="1632" customFormat="1" ht="16.5" hidden="1" customHeight="1">
      <c r="A17" s="1677" t="s">
        <v>152</v>
      </c>
      <c r="B17" s="1634"/>
      <c r="C17" s="1635">
        <f t="shared" ca="1" si="7"/>
        <v>0</v>
      </c>
      <c r="D17" s="1634">
        <f>'Despesas Iniciais'!B12*0</f>
        <v>0</v>
      </c>
      <c r="E17" s="1635">
        <f ca="1">D17/D$24</f>
        <v>0</v>
      </c>
      <c r="F17" s="1636">
        <f>D17</f>
        <v>0</v>
      </c>
      <c r="G17" s="1637">
        <f ca="1">F17/F$24</f>
        <v>0</v>
      </c>
      <c r="H17" s="1636">
        <f>F17</f>
        <v>0</v>
      </c>
      <c r="I17" s="1637">
        <f ca="1">H17/H$24</f>
        <v>0</v>
      </c>
      <c r="J17" s="1636">
        <f>H17</f>
        <v>0</v>
      </c>
      <c r="K17" s="1637">
        <f ca="1">J17/J$24</f>
        <v>0</v>
      </c>
      <c r="L17" s="1636">
        <f>J17</f>
        <v>0</v>
      </c>
      <c r="M17" s="1637">
        <f ca="1">L17/L$24</f>
        <v>0</v>
      </c>
      <c r="N17" s="1636">
        <f>L17</f>
        <v>0</v>
      </c>
      <c r="O17" s="1637">
        <f ca="1">N17/N$24</f>
        <v>0</v>
      </c>
    </row>
    <row r="18" spans="1:15" s="1616" customFormat="1" ht="16.5" hidden="1" customHeight="1">
      <c r="A18" s="1678" t="s">
        <v>153</v>
      </c>
      <c r="B18" s="1617"/>
      <c r="C18" s="1618">
        <f t="shared" ca="1" si="7"/>
        <v>0</v>
      </c>
      <c r="D18" s="1617">
        <f>+'Despesas Iniciais'!B20*0</f>
        <v>0</v>
      </c>
      <c r="E18" s="1618"/>
      <c r="F18" s="1619">
        <f>D18</f>
        <v>0</v>
      </c>
      <c r="G18" s="1620"/>
      <c r="H18" s="1619">
        <f>F18</f>
        <v>0</v>
      </c>
      <c r="I18" s="1620"/>
      <c r="J18" s="1619">
        <f>H18</f>
        <v>0</v>
      </c>
      <c r="K18" s="1620"/>
      <c r="L18" s="1619">
        <f>J18</f>
        <v>0</v>
      </c>
      <c r="M18" s="1620"/>
      <c r="N18" s="1619">
        <f>L18</f>
        <v>0</v>
      </c>
      <c r="O18" s="1620"/>
    </row>
    <row r="19" spans="1:15" ht="16.5" customHeight="1">
      <c r="A19" s="1470" t="str">
        <f>'Balanços anuais'!A6</f>
        <v>Inmobilizado Material</v>
      </c>
      <c r="B19" s="710">
        <f>'Bal. Inicial Previo'!D12+'Bal. Inicial Previo'!D14</f>
        <v>0</v>
      </c>
      <c r="C19" s="711">
        <f t="shared" ca="1" si="7"/>
        <v>0</v>
      </c>
      <c r="D19" s="710">
        <f>'Despesas Iniciais'!B26</f>
        <v>0</v>
      </c>
      <c r="E19" s="711">
        <f ca="1">D19/D$24</f>
        <v>0</v>
      </c>
      <c r="F19" s="710">
        <f>D19
-'Despesas Fixas Dados'!$B$21*IF(mes0+'Despesas Fixas Dados'!C33&lt;=12,'Despesas Fixas Dados'!C33,12-mes0+1)</f>
        <v>0</v>
      </c>
      <c r="G19" s="711">
        <f ca="1">F19/F$24</f>
        <v>0</v>
      </c>
      <c r="H19" s="710">
        <f>F19
-'Despesas Fixas Dados'!B21*IF(mes0+'Despesas Fixas Dados'!C33&lt;=12,0,mes0+'Despesas Fixas Dados'!C33-12)</f>
        <v>0</v>
      </c>
      <c r="I19" s="711">
        <f ca="1">H19/H$24</f>
        <v>0</v>
      </c>
      <c r="J19" s="710">
        <f>H19</f>
        <v>0</v>
      </c>
      <c r="K19" s="711">
        <f ca="1">J19/J$24</f>
        <v>0</v>
      </c>
      <c r="L19" s="710">
        <f>J19</f>
        <v>0</v>
      </c>
      <c r="M19" s="711">
        <f ca="1">L19/L$24</f>
        <v>0</v>
      </c>
      <c r="N19" s="710">
        <f>L19</f>
        <v>0</v>
      </c>
      <c r="O19" s="711">
        <f ca="1">N19/N$24</f>
        <v>0</v>
      </c>
    </row>
    <row r="20" spans="1:15" ht="16.5" customHeight="1">
      <c r="A20" s="1470" t="str">
        <f>'Balanços anuais'!A7</f>
        <v>Inmobilizado Intangivel</v>
      </c>
      <c r="B20" s="710">
        <f>'Bal. Inicial Previo'!D10</f>
        <v>0</v>
      </c>
      <c r="C20" s="711">
        <f t="shared" ca="1" si="7"/>
        <v>0</v>
      </c>
      <c r="D20" s="710">
        <f>'Inv. Iniciais ANC'!B63</f>
        <v>0</v>
      </c>
      <c r="E20" s="711">
        <f ca="1">D20/D$24</f>
        <v>0</v>
      </c>
      <c r="F20" s="710">
        <f>D20</f>
        <v>0</v>
      </c>
      <c r="G20" s="711">
        <f ca="1">F20/F$24</f>
        <v>0</v>
      </c>
      <c r="H20" s="710">
        <f>F20+Amortiçações!E17</f>
        <v>0</v>
      </c>
      <c r="I20" s="711">
        <f ca="1">H20/H$24</f>
        <v>0</v>
      </c>
      <c r="J20" s="710">
        <f>H20+Amortiçações!F17</f>
        <v>0</v>
      </c>
      <c r="K20" s="711">
        <f ca="1">J20/J$24</f>
        <v>0</v>
      </c>
      <c r="L20" s="710">
        <f>J20+Amortiçações!G17</f>
        <v>0</v>
      </c>
      <c r="M20" s="711">
        <f ca="1">L20/L$24</f>
        <v>0</v>
      </c>
      <c r="N20" s="710">
        <f>L20+Amortiçações!H17</f>
        <v>0</v>
      </c>
      <c r="O20" s="711">
        <f ca="1">N20/N$24</f>
        <v>0</v>
      </c>
    </row>
    <row r="21" spans="1:15" ht="16.5" customHeight="1">
      <c r="A21" s="1470" t="str">
        <f>'Balanços anuais'!A8</f>
        <v>Amortiçações acumuladas</v>
      </c>
      <c r="B21" s="710">
        <v>0</v>
      </c>
      <c r="C21" s="711">
        <f t="shared" ca="1" si="7"/>
        <v>0</v>
      </c>
      <c r="D21" s="710">
        <f>-Amortiçações!C6-'Inv. Iniciais ANC'!E63</f>
        <v>0</v>
      </c>
      <c r="E21" s="711">
        <f ca="1">D21/D$24</f>
        <v>0</v>
      </c>
      <c r="F21" s="710">
        <f>D21-Amortiçações!D28-Amortiçações!D39</f>
        <v>0</v>
      </c>
      <c r="G21" s="711">
        <f ca="1">F21/F$24</f>
        <v>0</v>
      </c>
      <c r="H21" s="710">
        <f>F21-Amortiçações!E28-Amortiçações!E39</f>
        <v>0</v>
      </c>
      <c r="I21" s="711">
        <f ca="1">H21/H$24</f>
        <v>0</v>
      </c>
      <c r="J21" s="710">
        <f>H21-Amortiçações!F28-Amortiçações!F39</f>
        <v>0</v>
      </c>
      <c r="K21" s="711">
        <f ca="1">J21/J$24</f>
        <v>0</v>
      </c>
      <c r="L21" s="710">
        <f>J21-Amortiçações!G28-Amortiçações!G39</f>
        <v>0</v>
      </c>
      <c r="M21" s="711">
        <f ca="1">L21/L$24</f>
        <v>0</v>
      </c>
      <c r="N21" s="710">
        <f>L21-Amortiçações!H28-Amortiçações!H39</f>
        <v>0</v>
      </c>
      <c r="O21" s="711">
        <f ca="1">N21/N$24</f>
        <v>0</v>
      </c>
    </row>
    <row r="22" spans="1:15" ht="16.5" customHeight="1">
      <c r="A22" s="1470" t="str">
        <f>'Balanços anuais'!A11</f>
        <v>Inmob. Financeiro Lungo Prazo</v>
      </c>
      <c r="B22" s="710">
        <f>'Bal. Inicial Previo'!D18</f>
        <v>0</v>
      </c>
      <c r="C22" s="711">
        <f t="shared" ca="1" si="7"/>
        <v>0</v>
      </c>
      <c r="D22" s="710">
        <f>Amortiçações!B6</f>
        <v>0</v>
      </c>
      <c r="E22" s="711">
        <f ca="1">D22/D$24</f>
        <v>0</v>
      </c>
      <c r="F22" s="710">
        <f>D22</f>
        <v>0</v>
      </c>
      <c r="G22" s="711">
        <f ca="1">F22/F$24</f>
        <v>0</v>
      </c>
      <c r="H22" s="710">
        <f>F22+Amortiçações!E6</f>
        <v>0</v>
      </c>
      <c r="I22" s="711">
        <f ca="1">H22/H$24</f>
        <v>0</v>
      </c>
      <c r="J22" s="710">
        <f>H22+Amortiçações!F6</f>
        <v>0</v>
      </c>
      <c r="K22" s="711">
        <f ca="1">J22/J$24</f>
        <v>0</v>
      </c>
      <c r="L22" s="710">
        <f>J22+Amortiçações!G6</f>
        <v>0</v>
      </c>
      <c r="M22" s="711">
        <f ca="1">L22/L$24</f>
        <v>0</v>
      </c>
      <c r="N22" s="710">
        <f>L22+Amortiçações!H6</f>
        <v>0</v>
      </c>
      <c r="O22" s="711">
        <f ca="1">N22/N$24</f>
        <v>0</v>
      </c>
    </row>
    <row r="23" spans="1:15" ht="16.5" customHeight="1" thickBot="1">
      <c r="A23" s="696"/>
      <c r="B23" s="2577"/>
      <c r="C23" s="2578"/>
      <c r="D23" s="2577"/>
      <c r="E23" s="2578"/>
      <c r="F23" s="2579"/>
      <c r="G23" s="2580"/>
      <c r="H23" s="2579"/>
      <c r="I23" s="2580"/>
      <c r="J23" s="2579"/>
      <c r="K23" s="2580"/>
      <c r="L23" s="2579"/>
      <c r="M23" s="2580"/>
      <c r="N23" s="2579"/>
      <c r="O23" s="2580"/>
    </row>
    <row r="24" spans="1:15" s="49" customFormat="1" ht="21" customHeight="1" thickBot="1">
      <c r="A24" s="1691" t="str">
        <f>'Balanços anuais'!A24</f>
        <v>Total Ativo</v>
      </c>
      <c r="B24" s="1687">
        <f t="shared" ref="B24:O24" ca="1" si="8">B16+B5</f>
        <v>0</v>
      </c>
      <c r="C24" s="1688">
        <f ca="1">C16+C5</f>
        <v>0</v>
      </c>
      <c r="D24" s="1687">
        <f t="shared" ca="1" si="8"/>
        <v>2335</v>
      </c>
      <c r="E24" s="1688">
        <f t="shared" ca="1" si="8"/>
        <v>1</v>
      </c>
      <c r="F24" s="1689">
        <f t="shared" ca="1" si="8"/>
        <v>-7289.1101818181842</v>
      </c>
      <c r="G24" s="1690">
        <f t="shared" ca="1" si="8"/>
        <v>1</v>
      </c>
      <c r="H24" s="1689">
        <f t="shared" ca="1" si="8"/>
        <v>-15126.963843636366</v>
      </c>
      <c r="I24" s="1690">
        <f t="shared" ca="1" si="8"/>
        <v>1</v>
      </c>
      <c r="J24" s="1689">
        <f t="shared" ca="1" si="8"/>
        <v>-23005.309287336371</v>
      </c>
      <c r="K24" s="1690">
        <f t="shared" ca="1" si="8"/>
        <v>1</v>
      </c>
      <c r="L24" s="1689">
        <f t="shared" ca="1" si="8"/>
        <v>-30873.669101798463</v>
      </c>
      <c r="M24" s="1690">
        <f t="shared" ca="1" si="8"/>
        <v>1</v>
      </c>
      <c r="N24" s="1689">
        <f t="shared" ca="1" si="8"/>
        <v>-38711.768984771967</v>
      </c>
      <c r="O24" s="1690">
        <f t="shared" ca="1" si="8"/>
        <v>1</v>
      </c>
    </row>
    <row r="25" spans="1:15" ht="15.75" thickBot="1">
      <c r="A25" s="697"/>
      <c r="B25" s="703"/>
      <c r="C25" s="704"/>
      <c r="D25" s="703"/>
      <c r="E25" s="704"/>
      <c r="F25" s="703"/>
      <c r="G25" s="712"/>
      <c r="H25" s="703"/>
      <c r="I25" s="712"/>
      <c r="J25" s="703"/>
      <c r="K25" s="712"/>
      <c r="L25" s="703"/>
      <c r="M25" s="712"/>
      <c r="N25" s="703"/>
      <c r="O25" s="712"/>
    </row>
    <row r="26" spans="1:15" s="49" customFormat="1" ht="18" customHeight="1">
      <c r="A26" s="1700" t="str">
        <f>'Balanços anuais'!A37</f>
        <v>Passivos a Curto Prazo</v>
      </c>
      <c r="B26" s="1694">
        <f>SUM(B27:B32)</f>
        <v>0</v>
      </c>
      <c r="C26" s="1695">
        <f t="shared" ref="C26:C42" si="9">IFERROR(B26/B1,0)</f>
        <v>0</v>
      </c>
      <c r="D26" s="1694">
        <f ca="1">SUM(D27:D32)</f>
        <v>0</v>
      </c>
      <c r="E26" s="1695">
        <f t="shared" ref="E26:E32" ca="1" si="10">D26/D$47</f>
        <v>0</v>
      </c>
      <c r="F26" s="1694">
        <f ca="1">SUM(F27:F32)</f>
        <v>485.76436363636367</v>
      </c>
      <c r="G26" s="1695">
        <f t="shared" ref="G26:G32" ca="1" si="11">F26/F$47</f>
        <v>-6.6642477822333526E-2</v>
      </c>
      <c r="H26" s="1694">
        <f ca="1">SUM(H27:H32)</f>
        <v>530.52551999999991</v>
      </c>
      <c r="I26" s="1695">
        <f t="shared" ref="I26:I32" ca="1" si="12">H26/H$47</f>
        <v>-3.5071513721055277E-2</v>
      </c>
      <c r="J26" s="1694">
        <f ca="1">SUM(J27:J32)</f>
        <v>573.82860779999987</v>
      </c>
      <c r="K26" s="1695">
        <f t="shared" ref="K26:K32" ca="1" si="13">J26/J$47</f>
        <v>-2.494331202562327E-2</v>
      </c>
      <c r="L26" s="1694">
        <f ca="1">SUM(L27:L32)</f>
        <v>620.9457589566</v>
      </c>
      <c r="M26" s="1695">
        <f t="shared" ref="M26:M32" ca="1" si="14">L26/L$47</f>
        <v>-2.0112470497406103E-2</v>
      </c>
      <c r="N26" s="1694">
        <f ca="1">SUM(N27:N32)</f>
        <v>671.53620560014804</v>
      </c>
      <c r="O26" s="1695">
        <f t="shared" ref="O26:O32" ca="1" si="15">N26/N$47</f>
        <v>-1.7347081345321883E-2</v>
      </c>
    </row>
    <row r="27" spans="1:15" ht="18" customHeight="1">
      <c r="A27" s="1470" t="str">
        <f>'Balanços anuais'!A38</f>
        <v>Creedores C.P. Financeiros</v>
      </c>
      <c r="B27" s="710">
        <f>'Finançamento Inicial'!B23+'Finançamento Inicial'!B24</f>
        <v>0</v>
      </c>
      <c r="C27" s="711">
        <f t="shared" si="9"/>
        <v>0</v>
      </c>
      <c r="D27" s="710">
        <f>'Finançamento Inicial'!D23*0+Empréstimos!N24+Leasing!N23</f>
        <v>0</v>
      </c>
      <c r="E27" s="711">
        <f t="shared" ca="1" si="10"/>
        <v>0</v>
      </c>
      <c r="F27" s="710">
        <f>Empréstimos!N32+Leasing!N31-Empréstimos!N31-Leasing!N30</f>
        <v>0</v>
      </c>
      <c r="G27" s="711">
        <f t="shared" ca="1" si="11"/>
        <v>0</v>
      </c>
      <c r="H27" s="710">
        <f>Empréstimos!N40+Leasing!N39-Empréstimos!N39-Leasing!N38</f>
        <v>0</v>
      </c>
      <c r="I27" s="711">
        <f t="shared" ca="1" si="12"/>
        <v>0</v>
      </c>
      <c r="J27" s="710">
        <f>Empréstimos!N48+Leasing!N47-Empréstimos!N47-Leasing!N46</f>
        <v>0</v>
      </c>
      <c r="K27" s="711">
        <f t="shared" ca="1" si="13"/>
        <v>0</v>
      </c>
      <c r="L27" s="710">
        <f>Empréstimos!N56+Leasing!N55-Empréstimos!N55-Leasing!N54</f>
        <v>0</v>
      </c>
      <c r="M27" s="711">
        <f t="shared" ca="1" si="14"/>
        <v>0</v>
      </c>
      <c r="N27" s="710">
        <f>Empréstimos!N63+Leasing!N62</f>
        <v>0</v>
      </c>
      <c r="O27" s="711">
        <f t="shared" ca="1" si="15"/>
        <v>0</v>
      </c>
    </row>
    <row r="28" spans="1:15" ht="18" customHeight="1">
      <c r="A28" s="1470" t="str">
        <f>'Balanços anuais'!A39</f>
        <v>Crédito financeiro C.P.</v>
      </c>
      <c r="B28" s="710">
        <f>'Finançamento Inicial'!B25</f>
        <v>0</v>
      </c>
      <c r="C28" s="711">
        <f t="shared" si="9"/>
        <v>0</v>
      </c>
      <c r="D28" s="710">
        <f>'Finançamento Inicial'!B25</f>
        <v>0</v>
      </c>
      <c r="E28" s="711">
        <f t="shared" ca="1" si="10"/>
        <v>0</v>
      </c>
      <c r="F28" s="710">
        <f ca="1">+'Tesorería 0'!N33</f>
        <v>0</v>
      </c>
      <c r="G28" s="711">
        <f t="shared" ca="1" si="11"/>
        <v>0</v>
      </c>
      <c r="H28" s="710">
        <f ca="1">+'Tesorería 1'!N33</f>
        <v>0</v>
      </c>
      <c r="I28" s="711">
        <f t="shared" ca="1" si="12"/>
        <v>0</v>
      </c>
      <c r="J28" s="710">
        <f ca="1">+'Tesorería 2'!N33</f>
        <v>0</v>
      </c>
      <c r="K28" s="711">
        <f t="shared" ca="1" si="13"/>
        <v>0</v>
      </c>
      <c r="L28" s="710">
        <f ca="1">+'Tesorería 3'!N33</f>
        <v>0</v>
      </c>
      <c r="M28" s="711">
        <f t="shared" ca="1" si="14"/>
        <v>0</v>
      </c>
      <c r="N28" s="710">
        <f ca="1">+'Tesorería 4'!N33</f>
        <v>0</v>
      </c>
      <c r="O28" s="711">
        <f t="shared" ca="1" si="15"/>
        <v>0</v>
      </c>
    </row>
    <row r="29" spans="1:15" ht="18" customHeight="1">
      <c r="A29" s="1470" t="str">
        <f>'Balanços anuais'!A40</f>
        <v>Fornecedores</v>
      </c>
      <c r="B29" s="710">
        <f>'Finançamento Inicial'!B26+'Finançamento Inicial'!B27</f>
        <v>0</v>
      </c>
      <c r="C29" s="711">
        <f t="shared" si="9"/>
        <v>0</v>
      </c>
      <c r="D29" s="710">
        <f ca="1">'Finançamento Inicial'!B27+'Finançamento Inicial'!C26</f>
        <v>0</v>
      </c>
      <c r="E29" s="711">
        <f t="shared" ca="1" si="10"/>
        <v>0</v>
      </c>
      <c r="F29" s="710">
        <f ca="1">'Receitas e pagamentos 0'!S57+
D29*0-'Tesorería 0'!O21*0-'Otros cobros y pagos'!N65*0</f>
        <v>0</v>
      </c>
      <c r="G29" s="711">
        <f t="shared" ca="1" si="11"/>
        <v>0</v>
      </c>
      <c r="H29" s="710">
        <f ca="1">'Receitas e pagamentos 1'!S57</f>
        <v>0</v>
      </c>
      <c r="I29" s="711">
        <f t="shared" ca="1" si="12"/>
        <v>0</v>
      </c>
      <c r="J29" s="710">
        <f ca="1">'Receitas e pagamentos 2'!S57</f>
        <v>0</v>
      </c>
      <c r="K29" s="711">
        <f t="shared" ca="1" si="13"/>
        <v>0</v>
      </c>
      <c r="L29" s="710">
        <f ca="1">'Receitas e pagamentos 3'!S57</f>
        <v>0</v>
      </c>
      <c r="M29" s="711">
        <f t="shared" ca="1" si="14"/>
        <v>0</v>
      </c>
      <c r="N29" s="710">
        <f ca="1">'Receitas e pagamentos 4'!S57</f>
        <v>0</v>
      </c>
      <c r="O29" s="711">
        <f t="shared" ca="1" si="15"/>
        <v>0</v>
      </c>
    </row>
    <row r="30" spans="1:15" ht="18" customHeight="1">
      <c r="A30" s="1470" t="str">
        <f>'Balanços anuais'!A41</f>
        <v>A.T. creedora IVA</v>
      </c>
      <c r="B30" s="710">
        <f>'Finançamento Inicial'!B28</f>
        <v>0</v>
      </c>
      <c r="C30" s="711">
        <f t="shared" ca="1" si="9"/>
        <v>0</v>
      </c>
      <c r="D30" s="710">
        <f>'Finançamento Inicial'!B28</f>
        <v>0</v>
      </c>
      <c r="E30" s="711">
        <f t="shared" ca="1" si="10"/>
        <v>0</v>
      </c>
      <c r="F30" s="710">
        <f ca="1">+'IVA 0'!$O$24</f>
        <v>485.76436363636367</v>
      </c>
      <c r="G30" s="711">
        <f t="shared" ca="1" si="11"/>
        <v>-6.6642477822333526E-2</v>
      </c>
      <c r="H30" s="710">
        <f ca="1">+'IVA 1'!$O$24</f>
        <v>530.52551999999991</v>
      </c>
      <c r="I30" s="711">
        <f t="shared" ca="1" si="12"/>
        <v>-3.5071513721055277E-2</v>
      </c>
      <c r="J30" s="710">
        <f ca="1">+'IVA 2'!$O$24</f>
        <v>573.82860779999987</v>
      </c>
      <c r="K30" s="711">
        <f t="shared" ca="1" si="13"/>
        <v>-2.494331202562327E-2</v>
      </c>
      <c r="L30" s="710">
        <f ca="1">+'IVA 3'!$O$24</f>
        <v>620.9457589566</v>
      </c>
      <c r="M30" s="711">
        <f t="shared" ca="1" si="14"/>
        <v>-2.0112470497406103E-2</v>
      </c>
      <c r="N30" s="710">
        <f ca="1">+'IVA 4'!$O$24</f>
        <v>671.53620560014804</v>
      </c>
      <c r="O30" s="711">
        <f t="shared" ca="1" si="15"/>
        <v>-1.7347081345321883E-2</v>
      </c>
    </row>
    <row r="31" spans="1:15" ht="18" customHeight="1">
      <c r="A31" s="1470" t="str">
        <f>'Balanços anuais'!A42</f>
        <v>A.T. creedora I.R.C.</v>
      </c>
      <c r="B31" s="710">
        <f>'Finançamento Inicial'!B29</f>
        <v>0</v>
      </c>
      <c r="C31" s="711">
        <f t="shared" ca="1" si="9"/>
        <v>0</v>
      </c>
      <c r="D31" s="710">
        <f>'Finançamento Inicial'!B29</f>
        <v>0</v>
      </c>
      <c r="E31" s="711">
        <f t="shared" ca="1" si="10"/>
        <v>0</v>
      </c>
      <c r="F31" s="710">
        <f ca="1">'IRC Coletivas'!B15
+'Ret IRS'!N13
+IF('IRS Singulares'!K26&gt;0,'IRS Singulares'!K26*'IRS Singulares'!K20,0)</f>
        <v>0</v>
      </c>
      <c r="G31" s="711">
        <f t="shared" ca="1" si="11"/>
        <v>0</v>
      </c>
      <c r="H31" s="710">
        <f ca="1">'IRC Coletivas'!D15
+'Ret IRS'!N22
+IF('IRS Singulares'!L26&gt;0,'IRS Singulares'!L26*'IRS Singulares'!L20,0)</f>
        <v>0</v>
      </c>
      <c r="I31" s="711">
        <f t="shared" ca="1" si="12"/>
        <v>0</v>
      </c>
      <c r="J31" s="710">
        <f ca="1">'IRC Coletivas'!G15
+'Ret IRS'!N31
+IF('IRS Singulares'!M26&gt;0,'IRS Singulares'!M26*'IRS Singulares'!M20,0)</f>
        <v>0</v>
      </c>
      <c r="K31" s="711">
        <f t="shared" ca="1" si="13"/>
        <v>0</v>
      </c>
      <c r="L31" s="710">
        <f ca="1">'IRC Coletivas'!J15
+'Ret IRS'!N40
+IF('IRS Singulares'!N26&gt;0,'IRS Singulares'!N26*'IRS Singulares'!N20,0)</f>
        <v>0</v>
      </c>
      <c r="M31" s="711">
        <f t="shared" ca="1" si="14"/>
        <v>0</v>
      </c>
      <c r="N31" s="710">
        <f ca="1">'IRC Coletivas'!M15
+'Ret IRS'!N49
+IF('IRS Singulares'!O26&gt;0,'IRS Singulares'!O26*'IRS Singulares'!O20,0)</f>
        <v>0</v>
      </c>
      <c r="O31" s="711">
        <f t="shared" ca="1" si="15"/>
        <v>0</v>
      </c>
    </row>
    <row r="32" spans="1:15" ht="18" customHeight="1">
      <c r="A32" s="1470" t="str">
        <f>'Balanços anuais'!A43</f>
        <v>Outros Creedores C.P.</v>
      </c>
      <c r="B32" s="710">
        <f>'Finançamento Inicial'!B30</f>
        <v>0</v>
      </c>
      <c r="C32" s="711">
        <f t="shared" si="9"/>
        <v>0</v>
      </c>
      <c r="D32" s="710">
        <f>'Finançamento Inicial'!D30</f>
        <v>0</v>
      </c>
      <c r="E32" s="711">
        <f t="shared" ca="1" si="10"/>
        <v>0</v>
      </c>
      <c r="F32" s="710">
        <f>D32</f>
        <v>0</v>
      </c>
      <c r="G32" s="711">
        <f t="shared" ca="1" si="11"/>
        <v>0</v>
      </c>
      <c r="H32" s="710">
        <f>F32</f>
        <v>0</v>
      </c>
      <c r="I32" s="711">
        <f t="shared" ca="1" si="12"/>
        <v>0</v>
      </c>
      <c r="J32" s="710">
        <f>H32</f>
        <v>0</v>
      </c>
      <c r="K32" s="711">
        <f t="shared" ca="1" si="13"/>
        <v>0</v>
      </c>
      <c r="L32" s="710">
        <f>J32</f>
        <v>0</v>
      </c>
      <c r="M32" s="711">
        <f t="shared" ca="1" si="14"/>
        <v>0</v>
      </c>
      <c r="N32" s="710">
        <f>L32</f>
        <v>0</v>
      </c>
      <c r="O32" s="711">
        <f t="shared" ca="1" si="15"/>
        <v>0</v>
      </c>
    </row>
    <row r="33" spans="1:15" ht="18" customHeight="1">
      <c r="A33" s="2585"/>
      <c r="B33" s="2570"/>
      <c r="C33" s="2571">
        <f t="shared" si="9"/>
        <v>0</v>
      </c>
      <c r="D33" s="2570"/>
      <c r="E33" s="2571"/>
      <c r="F33" s="2572"/>
      <c r="G33" s="2573"/>
      <c r="H33" s="2572"/>
      <c r="I33" s="2573"/>
      <c r="J33" s="2572"/>
      <c r="K33" s="2573"/>
      <c r="L33" s="2572"/>
      <c r="M33" s="2573"/>
      <c r="N33" s="2572"/>
      <c r="O33" s="2573"/>
    </row>
    <row r="34" spans="1:15" s="49" customFormat="1" ht="18" customHeight="1">
      <c r="A34" s="1700" t="str">
        <f>'Balanços anuais'!A32</f>
        <v>Passivos a Lungo Prazo</v>
      </c>
      <c r="B34" s="2586">
        <f>SUM(B35:B37)</f>
        <v>0</v>
      </c>
      <c r="C34" s="2584">
        <f t="shared" si="9"/>
        <v>0</v>
      </c>
      <c r="D34" s="2586">
        <f>SUM(D35:D37)</f>
        <v>0</v>
      </c>
      <c r="E34" s="2584">
        <f ca="1">D34/D$47</f>
        <v>0</v>
      </c>
      <c r="F34" s="2586">
        <f>SUM(F35:F37)</f>
        <v>0</v>
      </c>
      <c r="G34" s="2584">
        <f ca="1">F34/F$47</f>
        <v>0</v>
      </c>
      <c r="H34" s="2586">
        <f>SUM(H35:H37)</f>
        <v>0</v>
      </c>
      <c r="I34" s="2584">
        <f ca="1">H34/H$47</f>
        <v>0</v>
      </c>
      <c r="J34" s="2586">
        <f>SUM(J35:J37)</f>
        <v>0</v>
      </c>
      <c r="K34" s="2584">
        <f ca="1">J34/J$47</f>
        <v>0</v>
      </c>
      <c r="L34" s="2586">
        <f>SUM(L35:L37)</f>
        <v>0</v>
      </c>
      <c r="M34" s="2584">
        <f ca="1">L34/L$47</f>
        <v>0</v>
      </c>
      <c r="N34" s="2586">
        <f>SUM(N35:N37)</f>
        <v>0</v>
      </c>
      <c r="O34" s="2584">
        <f ca="1">N34/N$47</f>
        <v>0</v>
      </c>
    </row>
    <row r="35" spans="1:15" ht="18" customHeight="1">
      <c r="A35" s="1470" t="str">
        <f>'Balanços anuais'!A33</f>
        <v>Creedores L.P. Financeiros</v>
      </c>
      <c r="B35" s="710">
        <f>'Finançamento Inicial'!B18+'Finançamento Inicial'!B19</f>
        <v>0</v>
      </c>
      <c r="C35" s="711">
        <f t="shared" si="9"/>
        <v>0</v>
      </c>
      <c r="D35" s="710">
        <f>SUM(Empréstimos!B5:D5)-D27+SUM(Leasing!B5:D5)</f>
        <v>0</v>
      </c>
      <c r="E35" s="711">
        <f ca="1">D35/D$47</f>
        <v>0</v>
      </c>
      <c r="F35" s="710">
        <f>D35-F27</f>
        <v>0</v>
      </c>
      <c r="G35" s="711">
        <f ca="1">F35/F$47</f>
        <v>0</v>
      </c>
      <c r="H35" s="710">
        <f>F35-H27+Finançamento!E31+Finançamento!E57-Empréstimos!N31-Leasing!N30</f>
        <v>0</v>
      </c>
      <c r="I35" s="711">
        <f ca="1">H35/H$47</f>
        <v>0</v>
      </c>
      <c r="J35" s="710">
        <f>H35-J27+Finançamento!F31+Finançamento!F57-Empréstimos!N39-Leasing!N38</f>
        <v>0</v>
      </c>
      <c r="K35" s="711">
        <f ca="1">J35/J$47</f>
        <v>0</v>
      </c>
      <c r="L35" s="710">
        <f>J35-L27+Finançamento!G31+Finançamento!G57-Empréstimos!N47-Leasing!N46</f>
        <v>0</v>
      </c>
      <c r="M35" s="711">
        <f ca="1">L35/L$47</f>
        <v>0</v>
      </c>
      <c r="N35" s="710">
        <f>L35-N27+Finançamento!H31+Finançamento!H57-Empréstimos!N55-Leasing!N54</f>
        <v>0</v>
      </c>
      <c r="O35" s="711">
        <f ca="1">N35/N$47</f>
        <v>0</v>
      </c>
    </row>
    <row r="36" spans="1:15" ht="18" customHeight="1">
      <c r="A36" s="1470" t="str">
        <f>'Balanços anuais'!A34</f>
        <v>Outras aportações de sócios/as</v>
      </c>
      <c r="B36" s="710">
        <f>'Finançamento Inicial'!B13</f>
        <v>0</v>
      </c>
      <c r="C36" s="711">
        <f t="shared" si="9"/>
        <v>0</v>
      </c>
      <c r="D36" s="710">
        <f>'Finançamento Inicial'!D13</f>
        <v>0</v>
      </c>
      <c r="E36" s="711">
        <f ca="1">D36/D$47</f>
        <v>0</v>
      </c>
      <c r="F36" s="710">
        <f>D36</f>
        <v>0</v>
      </c>
      <c r="G36" s="711">
        <f ca="1">F36/F$47</f>
        <v>0</v>
      </c>
      <c r="H36" s="710">
        <f>F36+Finançamento!E17</f>
        <v>0</v>
      </c>
      <c r="I36" s="711">
        <f ca="1">H36/H$47</f>
        <v>0</v>
      </c>
      <c r="J36" s="710">
        <f>H36+Finançamento!F17</f>
        <v>0</v>
      </c>
      <c r="K36" s="711">
        <f ca="1">J36/J$47</f>
        <v>0</v>
      </c>
      <c r="L36" s="710">
        <f>J36+Finançamento!G17</f>
        <v>0</v>
      </c>
      <c r="M36" s="711">
        <f ca="1">L36/L$47</f>
        <v>0</v>
      </c>
      <c r="N36" s="710">
        <f>L36+Finançamento!H17</f>
        <v>0</v>
      </c>
      <c r="O36" s="711">
        <f ca="1">N36/N$47</f>
        <v>0</v>
      </c>
    </row>
    <row r="37" spans="1:15" ht="18" customHeight="1">
      <c r="A37" s="1470" t="str">
        <f>'Balanços anuais'!A35</f>
        <v>Outros Creedores L.P.</v>
      </c>
      <c r="B37" s="710">
        <f>'Finançamento Inicial'!B20</f>
        <v>0</v>
      </c>
      <c r="C37" s="711">
        <f t="shared" si="9"/>
        <v>0</v>
      </c>
      <c r="D37" s="710">
        <f>'Finançamento Inicial'!B20</f>
        <v>0</v>
      </c>
      <c r="E37" s="711">
        <f ca="1">D37/D$47</f>
        <v>0</v>
      </c>
      <c r="F37" s="710">
        <f>'Finançamento Inicial'!B20-'Otros cobros y pagos'!N64</f>
        <v>0</v>
      </c>
      <c r="G37" s="711">
        <f ca="1">F37/F$47</f>
        <v>0</v>
      </c>
      <c r="H37" s="710">
        <f>F37-'Otros cobros y pagos'!N74</f>
        <v>0</v>
      </c>
      <c r="I37" s="711">
        <f ca="1">H37/H$47</f>
        <v>0</v>
      </c>
      <c r="J37" s="710">
        <f>H37-'Otros cobros y pagos'!N84</f>
        <v>0</v>
      </c>
      <c r="K37" s="711">
        <f ca="1">J37/J$47</f>
        <v>0</v>
      </c>
      <c r="L37" s="710">
        <f>J37-'Otros cobros y pagos'!N94</f>
        <v>0</v>
      </c>
      <c r="M37" s="711">
        <f ca="1">L37/L$47</f>
        <v>0</v>
      </c>
      <c r="N37" s="710">
        <f>L37-'Otros cobros y pagos'!N104</f>
        <v>0</v>
      </c>
      <c r="O37" s="711">
        <f ca="1">N37/N$47</f>
        <v>0</v>
      </c>
    </row>
    <row r="38" spans="1:15" ht="18" customHeight="1">
      <c r="A38" s="1801"/>
      <c r="B38" s="701"/>
      <c r="C38" s="702">
        <f t="shared" ca="1" si="9"/>
        <v>0</v>
      </c>
      <c r="D38" s="701"/>
      <c r="E38" s="702"/>
      <c r="F38" s="710"/>
      <c r="G38" s="711"/>
      <c r="H38" s="710"/>
      <c r="I38" s="711"/>
      <c r="J38" s="710"/>
      <c r="K38" s="711"/>
      <c r="L38" s="710"/>
      <c r="M38" s="711"/>
      <c r="N38" s="710"/>
      <c r="O38" s="711"/>
    </row>
    <row r="39" spans="1:15" s="49" customFormat="1" ht="18" customHeight="1">
      <c r="A39" s="1700" t="str">
        <f>'Balanços anuais'!A26</f>
        <v>Capital Próprio</v>
      </c>
      <c r="B39" s="2582">
        <f>SUM(B40:B43)</f>
        <v>0</v>
      </c>
      <c r="C39" s="2583">
        <f t="shared" si="9"/>
        <v>0</v>
      </c>
      <c r="D39" s="2582">
        <f>SUM(D40:D43)</f>
        <v>2335</v>
      </c>
      <c r="E39" s="2583">
        <f ca="1">D39/D$47</f>
        <v>1</v>
      </c>
      <c r="F39" s="2582">
        <f ca="1">SUM(F40:F43)</f>
        <v>-7774.874545454546</v>
      </c>
      <c r="G39" s="2584">
        <f ca="1">F39/F$47</f>
        <v>1.0666424778223336</v>
      </c>
      <c r="H39" s="2582">
        <f ca="1">SUM(H40:H43)</f>
        <v>-15657.489363636365</v>
      </c>
      <c r="I39" s="2584">
        <f ca="1">H39/H$47</f>
        <v>1.0350715137210553</v>
      </c>
      <c r="J39" s="2582">
        <f ca="1">SUM(J40:J43)</f>
        <v>-23579.137895136366</v>
      </c>
      <c r="K39" s="2584">
        <f ca="1">J39/J$47</f>
        <v>1.0249433120256233</v>
      </c>
      <c r="L39" s="2582">
        <f ca="1">SUM(L40:L43)</f>
        <v>-31494.614860755064</v>
      </c>
      <c r="M39" s="2584">
        <f ca="1">L39/L$47</f>
        <v>1.0201124704974061</v>
      </c>
      <c r="N39" s="2582">
        <f ca="1">SUM(N40:N43)</f>
        <v>-39383.305190372113</v>
      </c>
      <c r="O39" s="2584">
        <f ca="1">N39/N$47</f>
        <v>1.0173470813453218</v>
      </c>
    </row>
    <row r="40" spans="1:15" ht="18" customHeight="1">
      <c r="A40" s="1470" t="str">
        <f>'Balanços anuais'!A27</f>
        <v>Capital</v>
      </c>
      <c r="B40" s="710">
        <f>'Finançamento Inicial'!B7+'Finançamento Inicial'!B8</f>
        <v>0</v>
      </c>
      <c r="C40" s="711">
        <f t="shared" si="9"/>
        <v>0</v>
      </c>
      <c r="D40" s="710">
        <f>'Finançamento Inicial'!B7+'Finançamento Inicial'!C7
+'Finançamento Inicial'!B8+'Finançamento Inicial'!C8</f>
        <v>3000</v>
      </c>
      <c r="E40" s="711">
        <f ca="1">D40/D$47</f>
        <v>1.2847965738758029</v>
      </c>
      <c r="F40" s="710">
        <f>D40</f>
        <v>3000</v>
      </c>
      <c r="G40" s="711">
        <f ca="1">F40/F$47</f>
        <v>-0.411572870373553</v>
      </c>
      <c r="H40" s="710">
        <f>F40+Finançamento!E14</f>
        <v>3000</v>
      </c>
      <c r="I40" s="711">
        <f ca="1">H40/H$47</f>
        <v>-0.19832135721419369</v>
      </c>
      <c r="J40" s="710">
        <f>H40+Finançamento!F14</f>
        <v>3000</v>
      </c>
      <c r="K40" s="711">
        <f ca="1">J40/J$47</f>
        <v>-0.13040468017751872</v>
      </c>
      <c r="L40" s="710">
        <f>J40+Finançamento!G14</f>
        <v>3000</v>
      </c>
      <c r="M40" s="711">
        <f ca="1">L40/L$47</f>
        <v>-9.7170180522056671E-2</v>
      </c>
      <c r="N40" s="710">
        <f>L40+Finançamento!H14</f>
        <v>3000</v>
      </c>
      <c r="O40" s="711">
        <f ca="1">N40/N$47</f>
        <v>-7.7495812737984379E-2</v>
      </c>
    </row>
    <row r="41" spans="1:15" ht="18" customHeight="1">
      <c r="A41" s="1470" t="str">
        <f>'Balanços anuais'!A28</f>
        <v>Reservas exercicios anteriores</v>
      </c>
      <c r="B41" s="710">
        <f>'Finançamento Inicial'!B10+'Finançamento Inicial'!B11</f>
        <v>0</v>
      </c>
      <c r="C41" s="711">
        <f t="shared" si="9"/>
        <v>0</v>
      </c>
      <c r="D41" s="710">
        <f>SUM(resprevio)-'Finançamento Inicial'!B12
-'Despesas Iniciais'!B12*0</f>
        <v>-665</v>
      </c>
      <c r="E41" s="711">
        <f ca="1">D41/D$47</f>
        <v>-0.28479657387580298</v>
      </c>
      <c r="F41" s="710">
        <f>D41
+IF(isoc&lt;&gt;0,'Finançamento Inicial'!B12,0)
+IF(AND(isoc&lt;&gt;0,D43&lt;0),D43,0)*0
+IF(irpf&lt;&gt;0,D43,0)
+IF(AND(irpf=0,isoc=0),D43,0)</f>
        <v>-665</v>
      </c>
      <c r="G41" s="711">
        <f ca="1">F41/F$47</f>
        <v>9.1231986266137585E-2</v>
      </c>
      <c r="H41" s="710">
        <f ca="1">F41
+IF(isoc&lt;&gt;0,'IRC Coletivas'!B7+'IRC Coletivas'!B31,0)
+IF(AND(isoc&lt;&gt;0,F43&lt;0),F43,0)
+IF(irpf&lt;&gt;0,F43,0)
+IF(AND(irpf=0,isoc=0),F43,0)</f>
        <v>-10774.874545454546</v>
      </c>
      <c r="I41" s="711">
        <f ca="1">H41/H$47</f>
        <v>0.71229591455573793</v>
      </c>
      <c r="J41" s="710">
        <f ca="1">H41
+IF(isoc&lt;&gt;0,'IRC Coletivas'!$D$7+'IRC Coletivas'!$D$31,0)
+IF(AND(isoc&lt;&gt;0,H43&lt;0),H43,0)
+IF(irpf&lt;&gt;0,H43,0)
+IF(AND(irpf=0,isoc=0),H43,0)</f>
        <v>-18657.489363636363</v>
      </c>
      <c r="K41" s="711">
        <f ca="1">J41/J$47</f>
        <v>0.81100797779348566</v>
      </c>
      <c r="L41" s="710">
        <f ca="1">J41
+IF(isoc&lt;&gt;0,'IRC Coletivas'!$G$7+'IRC Coletivas'!$G$31,0)
+IF(AND(isoc&lt;&gt;0,J43&lt;0),J43,0)
+IF(irpf&lt;&gt;0,J43,0)
+IF(AND(irpf=0,isoc=0),J43,0)</f>
        <v>-26579.137895136366</v>
      </c>
      <c r="M41" s="711">
        <f ca="1">L41/L$47</f>
        <v>0.86089987579701266</v>
      </c>
      <c r="N41" s="710">
        <f ca="1">L41
+IF(isoc&lt;&gt;0,'IRC Coletivas'!$J$7+'IRC Coletivas'!$J$31,0)
+IF(AND(isoc&lt;&gt;0,L43&lt;0),L43,0)
+IF(irpf&lt;&gt;0,L43,0)
+IF(AND(irpf=0,isoc=0),L43,0)</f>
        <v>-34494.614860755064</v>
      </c>
      <c r="O41" s="711">
        <f ca="1">N41/N$47</f>
        <v>0.89106273790598922</v>
      </c>
    </row>
    <row r="42" spans="1:15" ht="18" customHeight="1">
      <c r="A42" s="1470" t="str">
        <f>'Balanços anuais'!A29</f>
        <v>Subvenções</v>
      </c>
      <c r="B42" s="710">
        <f>'Finançamento Inicial'!B14</f>
        <v>0</v>
      </c>
      <c r="C42" s="711">
        <f t="shared" si="9"/>
        <v>0</v>
      </c>
      <c r="D42" s="710">
        <f>'Finançamento Inicial'!D14</f>
        <v>0</v>
      </c>
      <c r="E42" s="711">
        <f ca="1">D42/D$47</f>
        <v>0</v>
      </c>
      <c r="F42" s="710">
        <f>D42-'PyG 0'!N6+Finançamento!E19</f>
        <v>0</v>
      </c>
      <c r="G42" s="711">
        <f ca="1">F42/F$47</f>
        <v>0</v>
      </c>
      <c r="H42" s="710">
        <f>F42-'PyG 1'!N6+Finançamento!F19</f>
        <v>0</v>
      </c>
      <c r="I42" s="711">
        <f ca="1">H42/H$47</f>
        <v>0</v>
      </c>
      <c r="J42" s="710">
        <f>H42-'PyG 2'!N6+Finançamento!G19</f>
        <v>0</v>
      </c>
      <c r="K42" s="711">
        <f ca="1">J42/J$47</f>
        <v>0</v>
      </c>
      <c r="L42" s="710">
        <f>J42-'PyG 3'!N6+Finançamento!H19</f>
        <v>0</v>
      </c>
      <c r="M42" s="711">
        <f ca="1">L42/L$47</f>
        <v>0</v>
      </c>
      <c r="N42" s="710">
        <f>L42-'PyG 4'!N6</f>
        <v>0</v>
      </c>
      <c r="O42" s="711">
        <f ca="1">N42/N$47</f>
        <v>0</v>
      </c>
    </row>
    <row r="43" spans="1:15" ht="18" customHeight="1">
      <c r="A43" s="1470" t="str">
        <f>'Balanços anuais'!A30</f>
        <v>Resultados pend. Aplicação</v>
      </c>
      <c r="B43" s="710">
        <f>'Finançamento Inicial'!B12</f>
        <v>0</v>
      </c>
      <c r="C43" s="711">
        <f>IFERROR(B43/B18,0)</f>
        <v>0</v>
      </c>
      <c r="D43" s="710">
        <f>+'Finançamento Inicial'!B12</f>
        <v>0</v>
      </c>
      <c r="E43" s="711">
        <f ca="1">D43/D$47</f>
        <v>0</v>
      </c>
      <c r="F43" s="710">
        <f ca="1">'PPeGG anuais'!B29
-IF(isoc&lt;&gt;0,'IRC Coletivas'!B15,0)
-IF(irpf&lt;&gt;0,'IRS Singulares'!K23*'IRS Singulares'!K20,0)</f>
        <v>-10109.874545454546</v>
      </c>
      <c r="G43" s="711">
        <f ca="1">F43/F$47</f>
        <v>1.3869833619297489</v>
      </c>
      <c r="H43" s="710">
        <f ca="1">'PPeGG anuais'!D29
-IF(isoc&lt;&gt;0,'IRC Coletivas'!D15,0)
-IF(irpf&lt;&gt;0,'IRS Singulares'!L23*'IRS Singulares'!L20,0)</f>
        <v>-7882.6148181818189</v>
      </c>
      <c r="I43" s="711">
        <f ca="1">H43/H$47</f>
        <v>0.52109695637951092</v>
      </c>
      <c r="J43" s="710">
        <f ca="1">'PPeGG anuais'!$G$29
-IF(isoc&lt;&gt;0,'IRC Coletivas'!$G$15,0)
-IF(irpf&lt;&gt;0,'IRS Singulares'!M23*'IRS Singulares'!M20,0)</f>
        <v>-7921.6485315000009</v>
      </c>
      <c r="K43" s="711">
        <f ca="1">J43/J$47</f>
        <v>0.34434001440965611</v>
      </c>
      <c r="L43" s="710">
        <f ca="1">'PPeGG anuais'!$J$29
-IF(isoc&lt;&gt;0,'IRC Coletivas'!$J$15,0)
-IF(irpf&lt;&gt;0,'IRS Singulares'!N23*'IRS Singulares'!N20,0)</f>
        <v>-7915.4769656186982</v>
      </c>
      <c r="M43" s="711">
        <f ca="1">L43/L$47</f>
        <v>0.25638277522245012</v>
      </c>
      <c r="N43" s="710">
        <f ca="1">'PPeGG anuais'!$M$29
-IF(isoc&lt;&gt;0,'IRC Coletivas'!$M$15,0)
-IF(irpf&lt;&gt;0,'IRS Singulares'!O23*'IRS Singulares'!O20,0)</f>
        <v>-7888.6903296170467</v>
      </c>
      <c r="O43" s="711">
        <f ca="1">N43/N$47</f>
        <v>0.20378015617731698</v>
      </c>
    </row>
    <row r="44" spans="1:15" ht="18" customHeight="1">
      <c r="A44" s="1801"/>
      <c r="B44" s="701"/>
      <c r="C44" s="702"/>
      <c r="D44" s="701"/>
      <c r="E44" s="702"/>
      <c r="F44" s="710"/>
      <c r="G44" s="711"/>
      <c r="H44" s="710"/>
      <c r="I44" s="711"/>
      <c r="J44" s="710"/>
      <c r="K44" s="711"/>
      <c r="L44" s="710"/>
      <c r="M44" s="711"/>
      <c r="N44" s="710"/>
      <c r="O44" s="711"/>
    </row>
    <row r="45" spans="1:15" s="802" customFormat="1" ht="18" customHeight="1">
      <c r="A45" s="1700" t="str">
        <f>'Balanços anuais'!A44</f>
        <v>Total Recursos Permanêntes</v>
      </c>
      <c r="B45" s="1692">
        <f>B39+B34</f>
        <v>0</v>
      </c>
      <c r="C45" s="1693">
        <f>IFERROR(B45/B20,0)</f>
        <v>0</v>
      </c>
      <c r="D45" s="1692">
        <f>D39+D34</f>
        <v>2335</v>
      </c>
      <c r="E45" s="1693">
        <f ca="1">D45/D$47</f>
        <v>1</v>
      </c>
      <c r="F45" s="1694">
        <f ca="1">F39+F34</f>
        <v>-7774.874545454546</v>
      </c>
      <c r="G45" s="1695">
        <f ca="1">F45/F$47</f>
        <v>1.0666424778223336</v>
      </c>
      <c r="H45" s="1694">
        <f ca="1">H39+H34</f>
        <v>-15657.489363636365</v>
      </c>
      <c r="I45" s="1695">
        <f ca="1">H45/H$47</f>
        <v>1.0350715137210553</v>
      </c>
      <c r="J45" s="1694">
        <f ca="1">J39+J34</f>
        <v>-23579.137895136366</v>
      </c>
      <c r="K45" s="1695">
        <f ca="1">J45/J$47</f>
        <v>1.0249433120256233</v>
      </c>
      <c r="L45" s="1694">
        <f ca="1">L39+L34</f>
        <v>-31494.614860755064</v>
      </c>
      <c r="M45" s="1695">
        <f ca="1">L45/L$47</f>
        <v>1.0201124704974061</v>
      </c>
      <c r="N45" s="1694">
        <f ca="1">N39+N34</f>
        <v>-39383.305190372113</v>
      </c>
      <c r="O45" s="1695">
        <f ca="1">N45/N$47</f>
        <v>1.0173470813453218</v>
      </c>
    </row>
    <row r="46" spans="1:15" s="802" customFormat="1" ht="21" customHeight="1" thickBot="1">
      <c r="A46" s="1701" t="str">
        <f>'Balanços anuais'!A45</f>
        <v>Total Recursos Alheios</v>
      </c>
      <c r="B46" s="1694">
        <f>B34+B26</f>
        <v>0</v>
      </c>
      <c r="C46" s="1695">
        <f>IFERROR(B46/B21,0)</f>
        <v>0</v>
      </c>
      <c r="D46" s="1694">
        <f ca="1">D34+D26</f>
        <v>0</v>
      </c>
      <c r="E46" s="1695">
        <f ca="1">D46/D$47</f>
        <v>0</v>
      </c>
      <c r="F46" s="1694">
        <f ca="1">F34+F26</f>
        <v>485.76436363636367</v>
      </c>
      <c r="G46" s="1695">
        <f ca="1">F46/F$47</f>
        <v>-6.6642477822333526E-2</v>
      </c>
      <c r="H46" s="1694">
        <f ca="1">H34+H26</f>
        <v>530.52551999999991</v>
      </c>
      <c r="I46" s="1695">
        <f ca="1">H46/H$47</f>
        <v>-3.5071513721055277E-2</v>
      </c>
      <c r="J46" s="1694">
        <f ca="1">J34+J26</f>
        <v>573.82860779999987</v>
      </c>
      <c r="K46" s="1695">
        <f ca="1">J46/J$47</f>
        <v>-2.494331202562327E-2</v>
      </c>
      <c r="L46" s="1694">
        <f ca="1">L34+L26</f>
        <v>620.9457589566</v>
      </c>
      <c r="M46" s="1695">
        <f ca="1">L46/L$47</f>
        <v>-2.0112470497406103E-2</v>
      </c>
      <c r="N46" s="1694">
        <f ca="1">N34+N26</f>
        <v>671.53620560014804</v>
      </c>
      <c r="O46" s="1695">
        <f ca="1">N46/N$47</f>
        <v>-1.7347081345321883E-2</v>
      </c>
    </row>
    <row r="47" spans="1:15" s="49" customFormat="1" ht="21" customHeight="1" thickBot="1">
      <c r="A47" s="1691" t="str">
        <f>'Balanços anuais'!A46</f>
        <v>Capital Próprio e Passivos</v>
      </c>
      <c r="B47" s="1687">
        <f>B39+B34+B26</f>
        <v>0</v>
      </c>
      <c r="C47" s="1688">
        <f>C39+C34+C26</f>
        <v>0</v>
      </c>
      <c r="D47" s="1687">
        <f t="shared" ref="D47:O47" ca="1" si="16">D39+D34+D26</f>
        <v>2335</v>
      </c>
      <c r="E47" s="1688">
        <f t="shared" ca="1" si="16"/>
        <v>1</v>
      </c>
      <c r="F47" s="1689">
        <f t="shared" ca="1" si="16"/>
        <v>-7289.1101818181824</v>
      </c>
      <c r="G47" s="1690">
        <f t="shared" ca="1" si="16"/>
        <v>1</v>
      </c>
      <c r="H47" s="1689">
        <f t="shared" ca="1" si="16"/>
        <v>-15126.963843636366</v>
      </c>
      <c r="I47" s="1690">
        <f t="shared" ca="1" si="16"/>
        <v>1</v>
      </c>
      <c r="J47" s="1689">
        <f t="shared" ca="1" si="16"/>
        <v>-23005.309287336368</v>
      </c>
      <c r="K47" s="1690">
        <f t="shared" ca="1" si="16"/>
        <v>1</v>
      </c>
      <c r="L47" s="1689">
        <f t="shared" ca="1" si="16"/>
        <v>-30873.669101798463</v>
      </c>
      <c r="M47" s="1690">
        <f t="shared" ca="1" si="16"/>
        <v>1</v>
      </c>
      <c r="N47" s="1689">
        <f t="shared" ca="1" si="16"/>
        <v>-38711.768984771967</v>
      </c>
      <c r="O47" s="1690">
        <f t="shared" ca="1" si="16"/>
        <v>0.99999999999999989</v>
      </c>
    </row>
    <row r="48" spans="1:15" ht="15.75" thickBot="1">
      <c r="B48" s="705"/>
      <c r="C48" s="706"/>
      <c r="D48" s="705"/>
      <c r="E48" s="706"/>
      <c r="F48" s="705"/>
      <c r="G48" s="713"/>
      <c r="H48" s="705"/>
      <c r="I48" s="713"/>
      <c r="J48" s="705"/>
      <c r="K48" s="713"/>
      <c r="L48" s="705"/>
      <c r="M48" s="713"/>
      <c r="N48" s="705"/>
      <c r="O48" s="713"/>
    </row>
    <row r="49" spans="1:15" s="49" customFormat="1" ht="20.25" customHeight="1" thickBot="1">
      <c r="A49" s="1686" t="str">
        <f>'Balanços anuais'!A48</f>
        <v>Fundo de Maneio</v>
      </c>
      <c r="B49" s="1682">
        <f>B45-B16</f>
        <v>0</v>
      </c>
      <c r="C49" s="1683">
        <f ca="1">IFERROR(B49/B24,0)</f>
        <v>0</v>
      </c>
      <c r="D49" s="1682">
        <f>D45-D16</f>
        <v>2335</v>
      </c>
      <c r="E49" s="1683">
        <f ca="1">D49/D24</f>
        <v>1</v>
      </c>
      <c r="F49" s="1684">
        <f ca="1">F45-F16</f>
        <v>-7774.874545454546</v>
      </c>
      <c r="G49" s="1685">
        <f ca="1">F49/F24</f>
        <v>1.0666424778223333</v>
      </c>
      <c r="H49" s="1684">
        <f ca="1">H45-H16</f>
        <v>-15657.489363636365</v>
      </c>
      <c r="I49" s="1685">
        <f ca="1">H49/H24</f>
        <v>1.0350715137210553</v>
      </c>
      <c r="J49" s="1684">
        <f ca="1">J45-J16</f>
        <v>-23579.137895136366</v>
      </c>
      <c r="K49" s="1685">
        <f ca="1">J49/J24</f>
        <v>1.0249433120256231</v>
      </c>
      <c r="L49" s="1684">
        <f ca="1">L45-L16</f>
        <v>-31494.614860755064</v>
      </c>
      <c r="M49" s="1685">
        <f ca="1">L49/L24</f>
        <v>1.0201124704974061</v>
      </c>
      <c r="N49" s="1684">
        <f ca="1">N45-N16</f>
        <v>-39383.305190372113</v>
      </c>
      <c r="O49" s="1685">
        <f ca="1">N49/N24</f>
        <v>1.0173470813453218</v>
      </c>
    </row>
    <row r="50" spans="1:15" ht="15.75" thickBot="1">
      <c r="B50" s="36"/>
      <c r="C50" s="698"/>
    </row>
    <row r="51" spans="1:15" s="49" customFormat="1" ht="20.25" customHeight="1" thickBot="1">
      <c r="A51" s="1881" t="str">
        <f>'Balanços anuais'!A50</f>
        <v>Necessidade Operácional Fundos (NOF)</v>
      </c>
      <c r="B51" s="1682">
        <f ca="1">+B12+B11+B13-B29</f>
        <v>0</v>
      </c>
      <c r="C51" s="1685">
        <f ca="1">IFERROR(B51/B26,0)</f>
        <v>0</v>
      </c>
      <c r="D51" s="1682">
        <f ca="1">+D12+D11+D13-D29</f>
        <v>0</v>
      </c>
      <c r="E51" s="1685">
        <f ca="1">D51/D39</f>
        <v>0</v>
      </c>
      <c r="F51" s="1682">
        <f ca="1">+F12+F11+F13-F29</f>
        <v>0</v>
      </c>
      <c r="G51" s="1685">
        <f ca="1">F51/F39</f>
        <v>0</v>
      </c>
      <c r="H51" s="1682">
        <f ca="1">+H12+H11+H13-H29</f>
        <v>0</v>
      </c>
      <c r="I51" s="1685">
        <f ca="1">H51/H39</f>
        <v>0</v>
      </c>
      <c r="J51" s="1682">
        <f ca="1">+J12+J11+J13-J29</f>
        <v>0</v>
      </c>
      <c r="K51" s="1685">
        <f ca="1">J51/J39</f>
        <v>0</v>
      </c>
      <c r="L51" s="1682">
        <f ca="1">+L12+L11+L13-L29</f>
        <v>0</v>
      </c>
      <c r="M51" s="1685">
        <f ca="1">L51/L39</f>
        <v>0</v>
      </c>
      <c r="N51" s="1682">
        <f ca="1">+N12+N11+N13-N29</f>
        <v>0</v>
      </c>
      <c r="O51" s="1685">
        <f ca="1">N51/N39</f>
        <v>0</v>
      </c>
    </row>
    <row r="53" spans="1:15">
      <c r="A53" s="40" t="str">
        <f>'Balanços anuais'!A52</f>
        <v>Todas as quantidades são expressadas em €</v>
      </c>
      <c r="B53" s="40"/>
      <c r="C53" s="40"/>
      <c r="F53" s="36" t="str">
        <f>'Balanços anuais'!F52</f>
        <v>Os % do Fundo de Maneio são estimados sobre o Activo Total.</v>
      </c>
    </row>
    <row r="54" spans="1:15">
      <c r="A54" s="2356"/>
      <c r="B54" s="699" t="str">
        <f ca="1">IF(ABS(B47-B24)&gt;0.005,B47-B24,"")</f>
        <v/>
      </c>
      <c r="C54" s="2356"/>
      <c r="D54" s="699" t="str">
        <f ca="1">IF(ABS(D47-D24)&gt;0.005,D47-D24,"")</f>
        <v/>
      </c>
      <c r="F54" s="699" t="str">
        <f ca="1">IF(ABS(F47-F24)&gt;0.005,F47-F24,"")</f>
        <v/>
      </c>
      <c r="H54" s="699" t="str">
        <f ca="1">IF(ABS(H47-H24)&gt;0.005,H47-H24,"")</f>
        <v/>
      </c>
      <c r="J54" s="699" t="str">
        <f ca="1">IF(ABS(J47-J24)&gt;0.005,J47-J24,"")</f>
        <v/>
      </c>
      <c r="L54" s="699" t="str">
        <f ca="1">IF(ABS(L47-L24)&gt;0.005,L47-L24,"")</f>
        <v/>
      </c>
      <c r="N54" s="699" t="str">
        <f ca="1">IF(ABS(N47-N24)&gt;0.005,N47-N24,"")</f>
        <v/>
      </c>
    </row>
    <row r="55" spans="1:15">
      <c r="A55" s="40" t="str">
        <f>IF(consolidacion,"* El Balance Inicial es la combinación del Balance Previo, las inversiones iniciales y las financiaciones iniciales previstas","")</f>
        <v/>
      </c>
      <c r="B55" s="40"/>
      <c r="C55" s="40"/>
    </row>
    <row r="56" spans="1:15">
      <c r="J56" s="700"/>
    </row>
  </sheetData>
  <sheetProtection sheet="1" objects="1" scenarios="1"/>
  <printOptions horizontalCentered="1"/>
  <pageMargins left="0.78740157480314965" right="0.78740157480314965" top="0.59055118110236227" bottom="0.59055118110236227" header="0" footer="0.31496062992125984"/>
  <pageSetup paperSize="9" scale="59" orientation="landscape" horizontalDpi="300" verticalDpi="300" r:id="rId1"/>
  <headerFooter alignWithMargins="0">
    <oddFooter>&amp;C&amp;"Tahoma,Normal"&amp;10&amp;A</oddFooter>
  </headerFooter>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19">
    <tabColor indexed="61"/>
    <pageSetUpPr fitToPage="1"/>
  </sheetPr>
  <dimension ref="A1:O43"/>
  <sheetViews>
    <sheetView workbookViewId="0"/>
  </sheetViews>
  <sheetFormatPr baseColWidth="10" defaultColWidth="11" defaultRowHeight="15"/>
  <cols>
    <col min="1" max="1" width="43" style="21" customWidth="1"/>
    <col min="2" max="2" width="14" style="21" customWidth="1"/>
    <col min="3" max="3" width="13.75" style="21" customWidth="1"/>
    <col min="4" max="4" width="14" style="21" customWidth="1"/>
    <col min="5" max="5" width="14.25" style="21" customWidth="1"/>
    <col min="6" max="6" width="13.125" style="21" hidden="1" customWidth="1"/>
    <col min="7" max="7" width="14" style="21" customWidth="1"/>
    <col min="8" max="8" width="12.625" style="21" bestFit="1" customWidth="1"/>
    <col min="9" max="9" width="12.625" style="21" hidden="1" customWidth="1"/>
    <col min="10" max="10" width="14" style="21" customWidth="1"/>
    <col min="11" max="11" width="12.625" style="21" bestFit="1" customWidth="1"/>
    <col min="12" max="12" width="12.625" style="21" hidden="1" customWidth="1"/>
    <col min="13" max="13" width="14" style="21" customWidth="1"/>
    <col min="14" max="14" width="12.625" style="21" bestFit="1" customWidth="1"/>
    <col min="15" max="15" width="12.625" style="21" hidden="1" customWidth="1"/>
    <col min="16" max="16384" width="11" style="21"/>
  </cols>
  <sheetData>
    <row r="1" spans="1:15" ht="22.5">
      <c r="A1" s="461" t="s">
        <v>783</v>
      </c>
    </row>
    <row r="2" spans="1:15" ht="22.5">
      <c r="A2" s="461" t="str">
        <f>'Dados Básicos'!$B$9</f>
        <v>WWW, S.L.</v>
      </c>
    </row>
    <row r="3" spans="1:15" ht="26.25" thickBot="1">
      <c r="A3" s="460"/>
      <c r="B3" s="23"/>
    </row>
    <row r="4" spans="1:15" s="463" customFormat="1" ht="21.75" customHeight="1" thickTop="1" thickBot="1">
      <c r="A4" s="468" t="s">
        <v>784</v>
      </c>
      <c r="B4" s="471" t="str">
        <f>CONCATENATE(Parametros!B77,IF(mes0=1,"",CONCATENATE("   (",12-mes0+1," meses)")))</f>
        <v>Ano 0:  2026</v>
      </c>
      <c r="C4" s="472"/>
      <c r="D4" s="471" t="str">
        <f>+Parametros!C77</f>
        <v>Ano 1:  2027</v>
      </c>
      <c r="E4" s="472"/>
      <c r="F4" s="469" t="s">
        <v>8</v>
      </c>
      <c r="G4" s="471" t="str">
        <f>+Parametros!D77</f>
        <v>Ano 2:  2028</v>
      </c>
      <c r="H4" s="472"/>
      <c r="I4" s="469" t="s">
        <v>8</v>
      </c>
      <c r="J4" s="471" t="str">
        <f>+Parametros!E77</f>
        <v>Ano 3:  2029</v>
      </c>
      <c r="K4" s="472"/>
      <c r="L4" s="470" t="s">
        <v>8</v>
      </c>
      <c r="M4" s="471" t="str">
        <f>+Parametros!F77</f>
        <v>Ano 4:  2030</v>
      </c>
      <c r="N4" s="472"/>
      <c r="O4" s="462" t="s">
        <v>8</v>
      </c>
    </row>
    <row r="5" spans="1:15" s="32" customFormat="1" ht="20.25" customHeight="1" thickTop="1">
      <c r="A5" s="1624" t="s">
        <v>785</v>
      </c>
      <c r="B5" s="501">
        <f t="array" ref="B5:B6" ca="1">'PyG 0'!N5:N6</f>
        <v>7199.9999999999991</v>
      </c>
      <c r="C5" s="2616">
        <f t="array" aca="1" ref="C5:C7" ca="1">IFERROR(B5:B7/B$5,0)</f>
        <v>1</v>
      </c>
      <c r="D5" s="502">
        <f t="array" ref="D5:D6" ca="1">'PyG 1'!N5:N6</f>
        <v>12360</v>
      </c>
      <c r="E5" s="2616">
        <f t="array" aca="1" ref="E5:E7" ca="1">IFERROR(D5:D7/D$5,0)</f>
        <v>1</v>
      </c>
      <c r="F5" s="503">
        <f ca="1">IF(ABS(B5)&gt;0.01,(D5-B5)/B5,"")</f>
        <v>0.7166666666666669</v>
      </c>
      <c r="G5" s="501">
        <f t="array" ref="G5:G6" ca="1">'PyG 2'!N5:N6</f>
        <v>13367.339999999998</v>
      </c>
      <c r="H5" s="2616">
        <f t="array" aca="1" ref="H5:H7" ca="1">IFERROR(G5:G7/G$5,0)</f>
        <v>1</v>
      </c>
      <c r="I5" s="504">
        <f ca="1">IF(ABS(D5)&gt;0.01,(G5-D5)/D5,"")</f>
        <v>8.1499999999999864E-2</v>
      </c>
      <c r="J5" s="501">
        <f t="array" ref="J5:J6" ca="1">'PyG 3'!N5:N6</f>
        <v>14463.334572</v>
      </c>
      <c r="K5" s="2616">
        <f t="array" aca="1" ref="K5:K7" ca="1">IFERROR(J5:J7/J$5,0)</f>
        <v>1</v>
      </c>
      <c r="L5" s="505">
        <f ca="1">IF(ABS(G5)&gt;0.01,(J5-G5)/G5,"")</f>
        <v>8.1990476190476308E-2</v>
      </c>
      <c r="M5" s="501">
        <f t="array" ref="M5:M6" ca="1">'PyG 4'!N5:N6</f>
        <v>15640.070423759998</v>
      </c>
      <c r="N5" s="2616">
        <f t="array" aca="1" ref="N5:N7" ca="1">IFERROR(M5:M7/M$5,0)</f>
        <v>1</v>
      </c>
      <c r="O5" s="480">
        <f ca="1">IF(ABS(J5)&gt;0.01,(M5-J5)/J5,"")</f>
        <v>8.1359927470534818E-2</v>
      </c>
    </row>
    <row r="6" spans="1:15" s="32" customFormat="1" ht="20.25" customHeight="1">
      <c r="A6" s="1625" t="s">
        <v>786</v>
      </c>
      <c r="B6" s="481">
        <v>0</v>
      </c>
      <c r="C6" s="2616">
        <f ca="1"/>
        <v>0</v>
      </c>
      <c r="D6" s="481">
        <v>0</v>
      </c>
      <c r="E6" s="2616">
        <f ca="1"/>
        <v>0</v>
      </c>
      <c r="F6" s="477"/>
      <c r="G6" s="1626">
        <v>0</v>
      </c>
      <c r="H6" s="2616">
        <f ca="1"/>
        <v>0</v>
      </c>
      <c r="I6" s="478"/>
      <c r="J6" s="1626">
        <v>0</v>
      </c>
      <c r="K6" s="2616">
        <f ca="1"/>
        <v>0</v>
      </c>
      <c r="L6" s="479"/>
      <c r="M6" s="1626">
        <v>0</v>
      </c>
      <c r="N6" s="2616">
        <f ca="1"/>
        <v>0</v>
      </c>
      <c r="O6" s="479"/>
    </row>
    <row r="7" spans="1:15" s="32" customFormat="1" ht="20.25" customHeight="1">
      <c r="A7" s="541" t="s">
        <v>787</v>
      </c>
      <c r="B7" s="475">
        <f ca="1">B6+B5</f>
        <v>7199.9999999999991</v>
      </c>
      <c r="C7" s="2618">
        <f ca="1"/>
        <v>1</v>
      </c>
      <c r="D7" s="475">
        <f ca="1">D6+D5</f>
        <v>12360</v>
      </c>
      <c r="E7" s="2618">
        <f ca="1"/>
        <v>1</v>
      </c>
      <c r="F7" s="477"/>
      <c r="G7" s="475">
        <f ca="1">G6+G5</f>
        <v>13367.339999999998</v>
      </c>
      <c r="H7" s="2618">
        <f ca="1"/>
        <v>1</v>
      </c>
      <c r="I7" s="478"/>
      <c r="J7" s="475">
        <f ca="1">J6+J5</f>
        <v>14463.334572</v>
      </c>
      <c r="K7" s="2618">
        <f ca="1"/>
        <v>1</v>
      </c>
      <c r="L7" s="479"/>
      <c r="M7" s="475">
        <f ca="1">M6+M5</f>
        <v>15640.070423759998</v>
      </c>
      <c r="N7" s="2618">
        <f ca="1"/>
        <v>1</v>
      </c>
      <c r="O7" s="479"/>
    </row>
    <row r="8" spans="1:15" s="32" customFormat="1" ht="20.25" customHeight="1">
      <c r="A8" s="541"/>
      <c r="B8" s="475"/>
      <c r="C8" s="2617"/>
      <c r="D8" s="476"/>
      <c r="E8" s="2617"/>
      <c r="F8" s="477"/>
      <c r="G8" s="475"/>
      <c r="H8" s="2617"/>
      <c r="I8" s="478"/>
      <c r="J8" s="475"/>
      <c r="K8" s="2617"/>
      <c r="L8" s="479"/>
      <c r="M8" s="475"/>
      <c r="N8" s="2617"/>
      <c r="O8" s="479"/>
    </row>
    <row r="9" spans="1:15" s="35" customFormat="1" ht="20.25" customHeight="1">
      <c r="A9" s="1625" t="s">
        <v>788</v>
      </c>
      <c r="B9" s="481">
        <f t="array" aca="1" ref="B9:B10" ca="1">'PyG 0'!N9:N10</f>
        <v>1008.0000000000001</v>
      </c>
      <c r="C9" s="2616">
        <f t="array" aca="1" ref="C9:C11" ca="1">IFERROR(B9:B11/B$5,0)</f>
        <v>0.14000000000000004</v>
      </c>
      <c r="D9" s="482">
        <f t="array" aca="1" ref="D9:D10" ca="1">'PyG 1'!N9:N10</f>
        <v>1730.4000000000003</v>
      </c>
      <c r="E9" s="2616">
        <f t="array" aca="1" ref="E9:E11" ca="1">IFERROR(D9:D11/D$5,0)</f>
        <v>0.14000000000000001</v>
      </c>
      <c r="F9" s="483">
        <f ca="1">IF(ABS(B9)&gt;0.01,(D9-B9)/B9,"")</f>
        <v>0.71666666666666679</v>
      </c>
      <c r="G9" s="481">
        <f t="array" aca="1" ref="G9:G10" ca="1">'PyG 2'!N9:N10</f>
        <v>1871.4275999999998</v>
      </c>
      <c r="H9" s="2616">
        <f t="array" aca="1" ref="H9:H11" ca="1">IFERROR(G9:G11/G$5,0)</f>
        <v>0.13999999999999999</v>
      </c>
      <c r="I9" s="484">
        <f ca="1">IF(ABS(D9)&gt;0.01,(G9-D9)/D9,"")</f>
        <v>8.1499999999999656E-2</v>
      </c>
      <c r="J9" s="481">
        <f t="array" aca="1" ref="J9:J10" ca="1">'PyG 3'!N9:N10</f>
        <v>2024.86684008</v>
      </c>
      <c r="K9" s="2616">
        <f t="array" aca="1" ref="K9:K11" ca="1">IFERROR(J9:J11/J$5,0)</f>
        <v>0.14000000000000001</v>
      </c>
      <c r="L9" s="485">
        <f ca="1">IF(ABS(G9)&gt;0.01,(J9-G9)/G9,"")</f>
        <v>8.1990476190476322E-2</v>
      </c>
      <c r="M9" s="481">
        <f t="array" aca="1" ref="M9:M10" ca="1">'PyG 4'!N9:N10</f>
        <v>2189.6098593264005</v>
      </c>
      <c r="N9" s="2616">
        <f t="array" aca="1" ref="N9:N11" ca="1">IFERROR(M9:M11/M$5,0)</f>
        <v>0.14000000000000004</v>
      </c>
      <c r="O9" s="485">
        <f ca="1">IF(ABS(J9)&gt;0.01,(M9-J9)/J9,"")</f>
        <v>8.1359927470535165E-2</v>
      </c>
    </row>
    <row r="10" spans="1:15" s="35" customFormat="1" ht="20.25" customHeight="1">
      <c r="A10" s="1625" t="s">
        <v>800</v>
      </c>
      <c r="B10" s="481">
        <f ca="1"/>
        <v>0</v>
      </c>
      <c r="C10" s="2616">
        <f ca="1"/>
        <v>0</v>
      </c>
      <c r="D10" s="482">
        <f ca="1"/>
        <v>0</v>
      </c>
      <c r="E10" s="2616">
        <f ca="1"/>
        <v>0</v>
      </c>
      <c r="F10" s="1629"/>
      <c r="G10" s="481">
        <f ca="1"/>
        <v>0</v>
      </c>
      <c r="H10" s="2616">
        <f ca="1"/>
        <v>0</v>
      </c>
      <c r="I10" s="489"/>
      <c r="J10" s="481">
        <f ca="1"/>
        <v>0</v>
      </c>
      <c r="K10" s="2616">
        <f ca="1"/>
        <v>0</v>
      </c>
      <c r="L10" s="490"/>
      <c r="M10" s="481">
        <f ca="1"/>
        <v>0</v>
      </c>
      <c r="N10" s="2616">
        <f ca="1"/>
        <v>0</v>
      </c>
      <c r="O10" s="485"/>
    </row>
    <row r="11" spans="1:15" s="35" customFormat="1" ht="20.25" customHeight="1">
      <c r="A11" s="1630" t="s">
        <v>799</v>
      </c>
      <c r="B11" s="497">
        <f ca="1">B9+B10</f>
        <v>1008.0000000000001</v>
      </c>
      <c r="C11" s="2618">
        <f ca="1"/>
        <v>0.14000000000000004</v>
      </c>
      <c r="D11" s="498">
        <f ca="1">D9+D10</f>
        <v>1730.4000000000003</v>
      </c>
      <c r="E11" s="2618">
        <f ca="1"/>
        <v>0.14000000000000001</v>
      </c>
      <c r="F11" s="499"/>
      <c r="G11" s="498">
        <f ca="1">G9+G10</f>
        <v>1871.4275999999998</v>
      </c>
      <c r="H11" s="2618">
        <f ca="1"/>
        <v>0.13999999999999999</v>
      </c>
      <c r="I11" s="499"/>
      <c r="J11" s="498">
        <f ca="1">J9+J10</f>
        <v>2024.86684008</v>
      </c>
      <c r="K11" s="2618">
        <f ca="1"/>
        <v>0.14000000000000001</v>
      </c>
      <c r="L11" s="500"/>
      <c r="M11" s="498">
        <f ca="1">M9+M10</f>
        <v>2189.6098593264005</v>
      </c>
      <c r="N11" s="2618">
        <f ca="1"/>
        <v>0.14000000000000004</v>
      </c>
      <c r="O11" s="485"/>
    </row>
    <row r="12" spans="1:15" s="35" customFormat="1" ht="20.25" customHeight="1">
      <c r="A12" s="1628"/>
      <c r="B12" s="486"/>
      <c r="C12" s="2619"/>
      <c r="D12" s="487"/>
      <c r="E12" s="2619"/>
      <c r="F12" s="489"/>
      <c r="G12" s="487"/>
      <c r="H12" s="2619"/>
      <c r="I12" s="489"/>
      <c r="J12" s="487"/>
      <c r="K12" s="2619"/>
      <c r="L12" s="490"/>
      <c r="M12" s="487"/>
      <c r="N12" s="2619"/>
      <c r="O12" s="485"/>
    </row>
    <row r="13" spans="1:15" s="32" customFormat="1" ht="20.25" customHeight="1" thickBot="1">
      <c r="A13" s="473" t="s">
        <v>798</v>
      </c>
      <c r="B13" s="506">
        <f ca="1">'PyG 0'!N13</f>
        <v>6192</v>
      </c>
      <c r="C13" s="2620">
        <f ca="1">IFERROR(B13/B$5,0)</f>
        <v>0.8600000000000001</v>
      </c>
      <c r="D13" s="507">
        <f ca="1">D7-D11</f>
        <v>10629.6</v>
      </c>
      <c r="E13" s="2620">
        <f ca="1">IFERROR(D13/D$5,0)</f>
        <v>0.86</v>
      </c>
      <c r="F13" s="509">
        <f ca="1">IF(ABS(B13)&gt;0.01,(D13-B13)/B13,"")</f>
        <v>0.71666666666666667</v>
      </c>
      <c r="G13" s="507">
        <f ca="1">G7-G11</f>
        <v>11495.912399999999</v>
      </c>
      <c r="H13" s="2620">
        <f ca="1">IFERROR(G13/G$5,0)</f>
        <v>0.8600000000000001</v>
      </c>
      <c r="I13" s="509">
        <f ca="1">IF(ABS(D13)&gt;0.01,(G13-D13)/D13,"")</f>
        <v>8.1499999999999892E-2</v>
      </c>
      <c r="J13" s="507">
        <f ca="1">J7-J11</f>
        <v>12438.46773192</v>
      </c>
      <c r="K13" s="2620">
        <f ca="1">IFERROR(J13/J$5,0)</f>
        <v>0.86</v>
      </c>
      <c r="L13" s="510">
        <f ca="1">IF(ABS(G13)&gt;0.01,(J13-G13)/G13,"")</f>
        <v>8.1990476190476266E-2</v>
      </c>
      <c r="M13" s="507">
        <f ca="1">M7-M11</f>
        <v>13450.460564433597</v>
      </c>
      <c r="N13" s="2620">
        <f ca="1">IFERROR(M13/M$5,0)</f>
        <v>0.85999999999999988</v>
      </c>
      <c r="O13" s="467">
        <f ca="1">IF(ABS(J13)&gt;0.01,(M13-J13)/J13,"")</f>
        <v>8.1359927470534665E-2</v>
      </c>
    </row>
    <row r="14" spans="1:15" s="32" customFormat="1" ht="15.75" thickBot="1">
      <c r="A14" s="540"/>
      <c r="B14" s="511"/>
      <c r="C14" s="2621"/>
      <c r="D14" s="512"/>
      <c r="E14" s="2621"/>
      <c r="F14" s="513"/>
      <c r="G14" s="511"/>
      <c r="H14" s="2621"/>
      <c r="I14" s="514"/>
      <c r="J14" s="511"/>
      <c r="K14" s="2621"/>
      <c r="L14" s="515"/>
      <c r="M14" s="511"/>
      <c r="N14" s="2621"/>
      <c r="O14" s="467"/>
    </row>
    <row r="15" spans="1:15" s="35" customFormat="1" ht="20.25" customHeight="1">
      <c r="A15" s="961" t="s">
        <v>789</v>
      </c>
      <c r="B15" s="501">
        <f>'G.F. 0'!N15+'G.F. 0'!N25</f>
        <v>14400</v>
      </c>
      <c r="C15" s="2615">
        <f t="array" ref="C15:C18" ca="1">IFERROR(B15:B18/B$5,0)</f>
        <v>2.0000000000000004</v>
      </c>
      <c r="D15" s="502">
        <f>'G.F. 1'!N15+'G.F. 1'!N25</f>
        <v>14976</v>
      </c>
      <c r="E15" s="2615">
        <f t="array" ref="E15:E18" ca="1">IFERROR(D15:D18/D$5,0)</f>
        <v>1.2116504854368932</v>
      </c>
      <c r="F15" s="503">
        <f>IF(ABS(B15)&gt;0.01,(D15-B15)/B15,"")</f>
        <v>0.04</v>
      </c>
      <c r="G15" s="501">
        <f>'G.F. 2'!N15+'G.F. 2'!N25</f>
        <v>15575.04</v>
      </c>
      <c r="H15" s="2615">
        <f t="array" ref="H15:H18" ca="1">IFERROR(G15:G18/G$5,0)</f>
        <v>1.1651562689360788</v>
      </c>
      <c r="I15" s="504">
        <f>IF(ABS(D15)&gt;0.01,(G15-D15)/D15,"")</f>
        <v>4.0000000000000056E-2</v>
      </c>
      <c r="J15" s="501">
        <f>'G.F. 3'!N15+'G.F. 3'!N25</f>
        <v>16198.041600000004</v>
      </c>
      <c r="K15" s="2615">
        <f t="array" ref="K15:K18" ca="1">IFERROR(J15:J18/J$5,0)</f>
        <v>1.1199382493272523</v>
      </c>
      <c r="L15" s="505">
        <f>IF(ABS(G15)&gt;0.01,(J15-G15)/G15,"")</f>
        <v>4.0000000000000209E-2</v>
      </c>
      <c r="M15" s="501">
        <f>'G.F. 4'!N15+'G.F. 4'!N25</f>
        <v>16845.963263999998</v>
      </c>
      <c r="N15" s="2615">
        <f t="array" ref="N15:N18" ca="1">IFERROR(M15:M18/M$5,0)</f>
        <v>1.0771027755992735</v>
      </c>
      <c r="O15" s="485">
        <f>IF(ABS(J15)&gt;0.01,(M15-J15)/J15,"")</f>
        <v>3.9999999999999626E-2</v>
      </c>
    </row>
    <row r="16" spans="1:15" s="35" customFormat="1" ht="20.25" customHeight="1">
      <c r="A16" s="2839" t="s">
        <v>790</v>
      </c>
      <c r="B16" s="1626">
        <f ca="1">'G.F. 0'!N20</f>
        <v>1497.9545454545457</v>
      </c>
      <c r="C16" s="2840">
        <f ca="1"/>
        <v>0.2080492424242425</v>
      </c>
      <c r="D16" s="2841">
        <f ca="1">'G.F. 1'!N20</f>
        <v>2862.306818181818</v>
      </c>
      <c r="E16" s="2840">
        <f ca="1"/>
        <v>0.23157822153574578</v>
      </c>
      <c r="F16" s="2842"/>
      <c r="G16" s="1626">
        <f ca="1">'G.F. 2'!N20</f>
        <v>3114.9324375000006</v>
      </c>
      <c r="H16" s="2840">
        <f ca="1"/>
        <v>0.23302560101710595</v>
      </c>
      <c r="I16" s="2843"/>
      <c r="J16" s="1626">
        <f ca="1">'G.F. 3'!N20</f>
        <v>3369.9672831374996</v>
      </c>
      <c r="K16" s="2840">
        <f ca="1"/>
        <v>0.2330007140719485</v>
      </c>
      <c r="L16" s="2844"/>
      <c r="M16" s="1626">
        <f ca="1">'G.F. 4'!N20</f>
        <v>3644.6480344447509</v>
      </c>
      <c r="N16" s="2840">
        <f ca="1"/>
        <v>0.23303271249392163</v>
      </c>
      <c r="O16" s="485"/>
    </row>
    <row r="17" spans="1:15" s="35" customFormat="1" ht="20.25" customHeight="1">
      <c r="A17" s="960" t="s">
        <v>791</v>
      </c>
      <c r="B17" s="481">
        <f ca="1">'G.F. 0'!N55++'IVA 0'!O13</f>
        <v>316.79999999999995</v>
      </c>
      <c r="C17" s="2616">
        <f ca="1"/>
        <v>4.3999999999999997E-2</v>
      </c>
      <c r="D17" s="482">
        <f ca="1">'G.F. 1'!N55+'IVA 1'!O13</f>
        <v>524.35199999999986</v>
      </c>
      <c r="E17" s="2616">
        <f ca="1"/>
        <v>4.2423300970873774E-2</v>
      </c>
      <c r="F17" s="483">
        <f ca="1">IF(ABS(B17)&gt;0.01,(D17-B17)/B17,"")</f>
        <v>0.65515151515151493</v>
      </c>
      <c r="G17" s="481">
        <f ca="1">'G.F. 2'!N55+'IVA 2'!O13</f>
        <v>565.84367999999995</v>
      </c>
      <c r="H17" s="2616">
        <f ca="1"/>
        <v>4.2330312537872158E-2</v>
      </c>
      <c r="I17" s="484">
        <f ca="1">IF(ABS(D17)&gt;0.01,(G17-D17)/D17,"")</f>
        <v>7.91294397656538E-2</v>
      </c>
      <c r="J17" s="481">
        <f ca="1">'G.F. 3'!N55+'IVA 3'!O13</f>
        <v>610.92946608000022</v>
      </c>
      <c r="K17" s="2616">
        <f ca="1"/>
        <v>4.2239876498654523E-2</v>
      </c>
      <c r="L17" s="485">
        <f ca="1">IF(ABS(G17)&gt;0.01,(J17-G17)/G17,"")</f>
        <v>7.9678871875003152E-2</v>
      </c>
      <c r="M17" s="481">
        <f ca="1">'G.F. 4'!N55+'IVA 4'!O13</f>
        <v>659.29474347840005</v>
      </c>
      <c r="N17" s="2616">
        <f ca="1"/>
        <v>4.2154205551198552E-2</v>
      </c>
      <c r="O17" s="485">
        <f ca="1">IF(ABS(J17)&gt;0.01,(M17-J17)/J17,"")</f>
        <v>7.9166712499125838E-2</v>
      </c>
    </row>
    <row r="18" spans="1:15" s="32" customFormat="1" ht="20.25" customHeight="1" thickBot="1">
      <c r="A18" s="473" t="s">
        <v>797</v>
      </c>
      <c r="B18" s="506">
        <f ca="1">SUM(B15:B17)</f>
        <v>16214.754545454545</v>
      </c>
      <c r="C18" s="2620">
        <f ca="1"/>
        <v>2.2520492424242429</v>
      </c>
      <c r="D18" s="506">
        <f ca="1">SUM(D15:D17)</f>
        <v>18362.658818181815</v>
      </c>
      <c r="E18" s="2620">
        <f ca="1"/>
        <v>1.4856520079435125</v>
      </c>
      <c r="F18" s="508">
        <f ca="1">IF(ABS(B18)&gt;0.01,(D18-B18)/B18,"")</f>
        <v>0.13246603682504637</v>
      </c>
      <c r="G18" s="506">
        <f ca="1">SUM(G15:G17)</f>
        <v>19255.816117499999</v>
      </c>
      <c r="H18" s="2620">
        <f ca="1"/>
        <v>1.4405121824910567</v>
      </c>
      <c r="I18" s="509">
        <f ca="1">IF(ABS(D18)&gt;0.01,(G18-D18)/D18,"")</f>
        <v>4.8639867905938675E-2</v>
      </c>
      <c r="J18" s="506">
        <f ca="1">SUM(J15:J17)</f>
        <v>20178.938349217504</v>
      </c>
      <c r="K18" s="2620">
        <f ca="1"/>
        <v>1.3951788398978553</v>
      </c>
      <c r="L18" s="510">
        <f ca="1">IF(ABS(G18)&gt;0.01,(J18-G18)/G18,"")</f>
        <v>4.7939917274062285E-2</v>
      </c>
      <c r="M18" s="506">
        <f ca="1">SUM(M15:M17)</f>
        <v>21149.90604192315</v>
      </c>
      <c r="N18" s="2620">
        <f ca="1"/>
        <v>1.3522896936443936</v>
      </c>
      <c r="O18" s="467">
        <f ca="1">IF(ABS(J18)&gt;0.01,(M18-J18)/J18,"")</f>
        <v>4.8117877952845729E-2</v>
      </c>
    </row>
    <row r="19" spans="1:15" s="32" customFormat="1" ht="15.75" thickBot="1">
      <c r="A19" s="540"/>
      <c r="B19" s="511"/>
      <c r="C19" s="2621"/>
      <c r="D19" s="512"/>
      <c r="E19" s="2621"/>
      <c r="F19" s="513"/>
      <c r="G19" s="511"/>
      <c r="H19" s="2621"/>
      <c r="I19" s="514"/>
      <c r="J19" s="511"/>
      <c r="K19" s="2621"/>
      <c r="L19" s="515"/>
      <c r="M19" s="511"/>
      <c r="N19" s="2621"/>
      <c r="O19" s="467"/>
    </row>
    <row r="20" spans="1:15" ht="36.75" customHeight="1" thickBot="1">
      <c r="A20" s="2025" t="s">
        <v>274</v>
      </c>
      <c r="B20" s="2026">
        <f ca="1">B13-B18</f>
        <v>-10022.754545454545</v>
      </c>
      <c r="C20" s="2622">
        <f ca="1">IFERROR(B20/B$5,0)</f>
        <v>-1.3920492424242425</v>
      </c>
      <c r="D20" s="2026">
        <f ca="1">D13-D18</f>
        <v>-7733.0588181818148</v>
      </c>
      <c r="E20" s="2622">
        <f ca="1">IFERROR(D20/D$5,0)</f>
        <v>-0.6256520079435125</v>
      </c>
      <c r="F20" s="2027"/>
      <c r="G20" s="2026">
        <f ca="1">G13-G18</f>
        <v>-7759.9037174999994</v>
      </c>
      <c r="H20" s="2622">
        <f ca="1">IFERROR(G20/G$5,0)</f>
        <v>-0.58051218249105663</v>
      </c>
      <c r="I20" s="2027"/>
      <c r="J20" s="2026">
        <f ca="1">J13-J18</f>
        <v>-7740.4706172975038</v>
      </c>
      <c r="K20" s="2622">
        <f ca="1">IFERROR(J20/J$5,0)</f>
        <v>-0.53517883989785531</v>
      </c>
      <c r="L20" s="2027"/>
      <c r="M20" s="2026">
        <f ca="1">M13-M18</f>
        <v>-7699.445477489553</v>
      </c>
      <c r="N20" s="2622">
        <f ca="1">IFERROR(M20/M$5,0)</f>
        <v>-0.49228969364439373</v>
      </c>
    </row>
    <row r="21" spans="1:15" s="32" customFormat="1">
      <c r="A21" s="541"/>
      <c r="B21" s="475"/>
      <c r="C21" s="2617"/>
      <c r="D21" s="476"/>
      <c r="E21" s="2617"/>
      <c r="F21" s="477"/>
      <c r="G21" s="475"/>
      <c r="H21" s="2617"/>
      <c r="I21" s="478"/>
      <c r="J21" s="475"/>
      <c r="K21" s="2617"/>
      <c r="L21" s="479"/>
      <c r="M21" s="475"/>
      <c r="N21" s="2617"/>
      <c r="O21" s="467"/>
    </row>
    <row r="22" spans="1:15" s="35" customFormat="1" ht="20.25" customHeight="1">
      <c r="A22" s="960" t="s">
        <v>792</v>
      </c>
      <c r="B22" s="481">
        <f>'PyG 0'!N22</f>
        <v>0</v>
      </c>
      <c r="C22" s="2616">
        <f t="array" ref="C22:C23" ca="1">IFERROR(B22:B23/B$5,0)</f>
        <v>0</v>
      </c>
      <c r="D22" s="482">
        <f>'PyG 1'!N22</f>
        <v>0</v>
      </c>
      <c r="E22" s="2616">
        <f t="array" ref="E22:E23" ca="1">IFERROR(D22:D23/D$5,0)</f>
        <v>0</v>
      </c>
      <c r="F22" s="483" t="str">
        <f>IF(ABS(B22)&gt;0.01,(D22-B22)/B22,"")</f>
        <v/>
      </c>
      <c r="G22" s="481">
        <f>'PyG 2'!N22</f>
        <v>0</v>
      </c>
      <c r="H22" s="2616">
        <f t="array" ref="H22:H23" ca="1">IFERROR(G22:G23/G$5,0)</f>
        <v>0</v>
      </c>
      <c r="I22" s="484" t="str">
        <f>IF(ABS(D22)&gt;0.01,(G22-D22)/D22,"")</f>
        <v/>
      </c>
      <c r="J22" s="481">
        <f>'PyG 3'!N22</f>
        <v>0</v>
      </c>
      <c r="K22" s="2616">
        <f t="array" ref="K22:K23" ca="1">IFERROR(J22:J23/J$5,0)</f>
        <v>0</v>
      </c>
      <c r="L22" s="485" t="str">
        <f>IF(ABS(G22)&gt;0.01,(J22-G22)/G22,"")</f>
        <v/>
      </c>
      <c r="M22" s="481">
        <f>'PyG 4'!N22</f>
        <v>0</v>
      </c>
      <c r="N22" s="2616">
        <f t="array" ref="N22:N23" ca="1">IFERROR(M22:M23/M$5,0)</f>
        <v>0</v>
      </c>
      <c r="O22" s="485" t="str">
        <f>IF(ABS(J22)&gt;0.01,(M22-J22)/J22,"")</f>
        <v/>
      </c>
    </row>
    <row r="23" spans="1:15" s="32" customFormat="1" ht="23.25" customHeight="1">
      <c r="A23" s="2024" t="s">
        <v>782</v>
      </c>
      <c r="B23" s="466">
        <f ca="1">B20-B22</f>
        <v>-10022.754545454545</v>
      </c>
      <c r="C23" s="2618">
        <f ca="1"/>
        <v>-1.3920492424242425</v>
      </c>
      <c r="D23" s="2275">
        <f ca="1">D20-D22</f>
        <v>-7733.0588181818148</v>
      </c>
      <c r="E23" s="2618">
        <f ca="1"/>
        <v>-0.6256520079435125</v>
      </c>
      <c r="F23" s="465">
        <f ca="1">IF(ABS(B23)&gt;0.01,(D23-B23)/B23,"")</f>
        <v>-0.22844974571497798</v>
      </c>
      <c r="G23" s="466">
        <f ca="1">G20-G22</f>
        <v>-7759.9037174999994</v>
      </c>
      <c r="H23" s="2618">
        <f ca="1"/>
        <v>-0.58051218249105663</v>
      </c>
      <c r="I23" s="474">
        <f ca="1">IF(ABS(D23)&gt;0.01,(G23-D23)/D23,"")</f>
        <v>3.4714464158823442E-3</v>
      </c>
      <c r="J23" s="466">
        <f ca="1">J20-J22</f>
        <v>-7740.4706172975038</v>
      </c>
      <c r="K23" s="2618">
        <f ca="1"/>
        <v>-0.53517883989785531</v>
      </c>
      <c r="L23" s="467">
        <f ca="1">IF(ABS(G23)&gt;0.01,(J23-G23)/G23,"")</f>
        <v>-2.5042965621687244E-3</v>
      </c>
      <c r="M23" s="466">
        <f ca="1">M20-M22</f>
        <v>-7699.445477489553</v>
      </c>
      <c r="N23" s="2618">
        <f ca="1"/>
        <v>-0.49228969364439373</v>
      </c>
      <c r="O23" s="467">
        <f ca="1">IF(ABS(J23)&gt;0.01,(M23-J23)/J23,"")</f>
        <v>-5.300083397548545E-3</v>
      </c>
    </row>
    <row r="24" spans="1:15" s="32" customFormat="1" ht="15.75" thickBot="1">
      <c r="A24" s="542"/>
      <c r="B24" s="497"/>
      <c r="C24" s="2623"/>
      <c r="D24" s="498"/>
      <c r="E24" s="2623"/>
      <c r="F24" s="488"/>
      <c r="G24" s="497"/>
      <c r="H24" s="2623"/>
      <c r="I24" s="499"/>
      <c r="J24" s="497"/>
      <c r="K24" s="2623"/>
      <c r="L24" s="500"/>
      <c r="M24" s="497"/>
      <c r="N24" s="2623"/>
      <c r="O24" s="467"/>
    </row>
    <row r="25" spans="1:15" s="35" customFormat="1" ht="18" customHeight="1">
      <c r="A25" s="961" t="s">
        <v>793</v>
      </c>
      <c r="B25" s="501">
        <f t="array" aca="1" ref="B25:B26" ca="1">'PyG 0'!N25:N26</f>
        <v>0</v>
      </c>
      <c r="C25" s="2615">
        <f t="array" ref="C25:C27" ca="1">IFERROR(B25:B27/B$5,0)</f>
        <v>0</v>
      </c>
      <c r="D25" s="502">
        <f t="array" aca="1" ref="D25:D26" ca="1">'PyG 1'!N25:N26</f>
        <v>0</v>
      </c>
      <c r="E25" s="2615">
        <f t="array" ref="E25:E27" ca="1">IFERROR(D25:D27/D$5,0)</f>
        <v>0</v>
      </c>
      <c r="F25" s="503" t="str">
        <f ca="1">IF(ABS(B25)&gt;0.01,(D25-B25)/B25,"")</f>
        <v/>
      </c>
      <c r="G25" s="501">
        <f t="array" aca="1" ref="G25:G26" ca="1">'PyG 2'!N25:N26</f>
        <v>0</v>
      </c>
      <c r="H25" s="2615">
        <f t="array" aca="1" ref="H25:H27" ca="1">IFERROR(G25:G27/G$5,0)</f>
        <v>0</v>
      </c>
      <c r="I25" s="504" t="str">
        <f ca="1">IF(ABS(D25)&gt;0.01,(G25-D25)/D25,"")</f>
        <v/>
      </c>
      <c r="J25" s="501">
        <f t="array" ref="J25:J26" ca="1">'PyG 3'!N25:N26</f>
        <v>0</v>
      </c>
      <c r="K25" s="2615">
        <f t="array" aca="1" ref="K25:K27" ca="1">IFERROR(J25:J27/J$5,0)</f>
        <v>0</v>
      </c>
      <c r="L25" s="505" t="str">
        <f ca="1">IF(ABS(G25)&gt;0.01,(J25-G25)/G25,"")</f>
        <v/>
      </c>
      <c r="M25" s="501">
        <f t="array" aca="1" ref="M25:M26" ca="1">'PyG 4'!N25:N26</f>
        <v>0</v>
      </c>
      <c r="N25" s="2615">
        <f t="array" aca="1" ref="N25:N27" ca="1">IFERROR(M25:M27/M$5,0)</f>
        <v>0</v>
      </c>
      <c r="O25" s="485" t="str">
        <f ca="1">IF(ABS(J25)&gt;0.01,(M25-J25)/J25,"")</f>
        <v/>
      </c>
    </row>
    <row r="26" spans="1:15" s="35" customFormat="1" ht="18" customHeight="1">
      <c r="A26" s="960" t="s">
        <v>794</v>
      </c>
      <c r="B26" s="486">
        <f ca="1"/>
        <v>87.11999999999999</v>
      </c>
      <c r="C26" s="2616">
        <f ca="1"/>
        <v>1.21E-2</v>
      </c>
      <c r="D26" s="482">
        <f ca="1"/>
        <v>149.55599999999995</v>
      </c>
      <c r="E26" s="2616">
        <f ca="1"/>
        <v>1.2099999999999996E-2</v>
      </c>
      <c r="F26" s="483">
        <f ca="1">IF(ABS(B26)&gt;0.01,(D26-B26)/B26,"")</f>
        <v>0.71666666666666634</v>
      </c>
      <c r="G26" s="481">
        <f ca="1"/>
        <v>161.74481399999999</v>
      </c>
      <c r="H26" s="2616">
        <f ca="1"/>
        <v>1.2100000000000001E-2</v>
      </c>
      <c r="I26" s="484">
        <f ca="1">IF(ABS(D26)&gt;0.01,(G26-D26)/D26,"")</f>
        <v>8.1500000000000267E-2</v>
      </c>
      <c r="J26" s="481">
        <f ca="1"/>
        <v>175.00634832119999</v>
      </c>
      <c r="K26" s="2616">
        <f ca="1"/>
        <v>1.21E-2</v>
      </c>
      <c r="L26" s="485">
        <f ca="1">IF(ABS(G26)&gt;0.01,(J26-G26)/G26,"")</f>
        <v>8.1990476190476211E-2</v>
      </c>
      <c r="M26" s="481">
        <f ca="1"/>
        <v>189.24485212749605</v>
      </c>
      <c r="N26" s="2616">
        <f ca="1"/>
        <v>1.2100000000000005E-2</v>
      </c>
      <c r="O26" s="485">
        <f ca="1">IF(ABS(J26)&gt;0.01,(M26-J26)/J26,"")</f>
        <v>8.1359927470535207E-2</v>
      </c>
    </row>
    <row r="27" spans="1:15" s="32" customFormat="1" ht="18" customHeight="1" thickBot="1">
      <c r="A27" s="473" t="s">
        <v>5</v>
      </c>
      <c r="B27" s="1833">
        <f ca="1">'PyG 0'!N27</f>
        <v>-87.11999999999999</v>
      </c>
      <c r="C27" s="2696">
        <f ca="1"/>
        <v>-1.21E-2</v>
      </c>
      <c r="D27" s="1833">
        <f ca="1">D25-D26</f>
        <v>-149.55599999999995</v>
      </c>
      <c r="E27" s="2696">
        <f ca="1"/>
        <v>-1.2099999999999996E-2</v>
      </c>
      <c r="F27" s="508">
        <f ca="1">IF(ABS(B27)&gt;0.01,(D27-B27)/B27,"")</f>
        <v>0.71666666666666634</v>
      </c>
      <c r="G27" s="1833">
        <f ca="1">G25-G26</f>
        <v>-161.74481399999999</v>
      </c>
      <c r="H27" s="2696">
        <f ca="1"/>
        <v>-1.2100000000000001E-2</v>
      </c>
      <c r="I27" s="509">
        <f ca="1">IF(ABS(D27)&gt;0.01,(G27-D27)/D27,"")</f>
        <v>8.1500000000000267E-2</v>
      </c>
      <c r="J27" s="1833">
        <f ca="1">J25-J26</f>
        <v>-175.00634832119999</v>
      </c>
      <c r="K27" s="2696">
        <f ca="1"/>
        <v>-1.21E-2</v>
      </c>
      <c r="L27" s="510">
        <f ca="1">IF(ABS(G27)&gt;0.01,(J27-G27)/G27,"")</f>
        <v>8.1990476190476211E-2</v>
      </c>
      <c r="M27" s="1833">
        <f ca="1">M25-M26</f>
        <v>-189.24485212749605</v>
      </c>
      <c r="N27" s="2697">
        <f ca="1"/>
        <v>-1.2100000000000005E-2</v>
      </c>
      <c r="O27" s="467">
        <f ca="1">IF(ABS(J27)&gt;0.01,(M27-J27)/J27,"")</f>
        <v>8.1359927470535207E-2</v>
      </c>
    </row>
    <row r="28" spans="1:15" s="32" customFormat="1" ht="15.75" thickBot="1">
      <c r="A28" s="540"/>
      <c r="B28" s="511"/>
      <c r="C28" s="2621"/>
      <c r="D28" s="512"/>
      <c r="E28" s="2621"/>
      <c r="F28" s="513"/>
      <c r="G28" s="511"/>
      <c r="H28" s="2621"/>
      <c r="I28" s="514"/>
      <c r="J28" s="511"/>
      <c r="K28" s="2621"/>
      <c r="L28" s="515"/>
      <c r="M28" s="511"/>
      <c r="N28" s="2621"/>
      <c r="O28" s="467"/>
    </row>
    <row r="29" spans="1:15" s="32" customFormat="1" ht="20.25" customHeight="1" thickBot="1">
      <c r="A29" s="543" t="s">
        <v>795</v>
      </c>
      <c r="B29" s="529">
        <f ca="1">'PyG 0'!N29</f>
        <v>-10109.874545454546</v>
      </c>
      <c r="C29" s="2622">
        <f ca="1">IFERROR(B29/B$5,0)</f>
        <v>-1.4041492424242428</v>
      </c>
      <c r="D29" s="529">
        <f ca="1">'PyG 1'!N29</f>
        <v>-7882.6148181818189</v>
      </c>
      <c r="E29" s="2622">
        <f ca="1">IFERROR(D29/D$5,0)</f>
        <v>-0.63775200794351283</v>
      </c>
      <c r="F29" s="521">
        <f ca="1">IF(ABS(B29)&gt;0.01,(D29-B29)/B29,"")</f>
        <v>-0.22030537740689524</v>
      </c>
      <c r="G29" s="529">
        <f ca="1">'PyG 2'!N29</f>
        <v>-7921.6485315000009</v>
      </c>
      <c r="H29" s="2622">
        <f ca="1">IFERROR(G29/G$5,0)</f>
        <v>-0.59261218249105674</v>
      </c>
      <c r="I29" s="522">
        <f ca="1">IF(ABS(D29)&gt;0.01,(G29-D29)/D29,"")</f>
        <v>4.9518737396819024E-3</v>
      </c>
      <c r="J29" s="529">
        <f ca="1">'PyG 3'!N29</f>
        <v>-7915.4769656186982</v>
      </c>
      <c r="K29" s="2622">
        <f ca="1">IFERROR(J29/J$5,0)</f>
        <v>-0.54727883989785497</v>
      </c>
      <c r="L29" s="523">
        <f ca="1">IF(ABS(G29)&gt;0.01,(J29-G29)/G29,"")</f>
        <v>-7.7907595328950122E-4</v>
      </c>
      <c r="M29" s="529">
        <f ca="1">'PyG 4'!N29</f>
        <v>-7888.6903296170467</v>
      </c>
      <c r="N29" s="2622">
        <f ca="1">IFERROR(M29/M$5,0)</f>
        <v>-0.50438969364439357</v>
      </c>
      <c r="O29" s="493">
        <f ca="1">IF(ABS(J29)&gt;0.01,(M29-J29)/J29,"")</f>
        <v>-3.3840836273039084E-3</v>
      </c>
    </row>
    <row r="30" spans="1:15" s="32" customFormat="1">
      <c r="A30" s="544"/>
      <c r="B30" s="516"/>
      <c r="C30" s="2624"/>
      <c r="D30" s="518"/>
      <c r="E30" s="2624"/>
      <c r="F30" s="517"/>
      <c r="G30" s="516"/>
      <c r="H30" s="2624"/>
      <c r="I30" s="519"/>
      <c r="J30" s="516"/>
      <c r="K30" s="2624"/>
      <c r="L30" s="520"/>
      <c r="M30" s="518"/>
      <c r="N30" s="2624"/>
      <c r="O30" s="493"/>
    </row>
    <row r="31" spans="1:15" s="35" customFormat="1" ht="20.25" customHeight="1">
      <c r="A31" s="539" t="str">
        <f>IF(isoc=0,'Dados Básicos'!$J$43&amp;" ( "&amp;'Dados Básicos'!$I$43&amp;" )",'Dados Básicos'!$J$44&amp;" ( "&amp;'Dados Básicos'!$I$44&amp;" )")</f>
        <v>Imposto Rendas Pessoas Coletivas ( I.R.C. )</v>
      </c>
      <c r="B31" s="494">
        <f ca="1">'IRC Coletivas'!B15+'IRS Singulares'!K23*'IRS Singulares'!K20</f>
        <v>0</v>
      </c>
      <c r="C31" s="2616">
        <f ca="1">IFERROR(B31/B$5,0)</f>
        <v>0</v>
      </c>
      <c r="D31" s="494">
        <f ca="1">'IRC Coletivas'!D15+'IRS Singulares'!L23*'IRS Singulares'!L20</f>
        <v>0</v>
      </c>
      <c r="E31" s="2616">
        <f ca="1">IFERROR(D31/D$5,0)</f>
        <v>0</v>
      </c>
      <c r="F31" s="491" t="str">
        <f ca="1">IF(ABS(B31)&gt;0.01,(D31-B31)/B31,"")</f>
        <v/>
      </c>
      <c r="G31" s="494">
        <f ca="1">'IRC Coletivas'!G15+'IRS Singulares'!M23*'IRS Singulares'!M20</f>
        <v>0</v>
      </c>
      <c r="H31" s="2616">
        <f ca="1">IFERROR(G31/G$5,0)</f>
        <v>0</v>
      </c>
      <c r="I31" s="492" t="str">
        <f ca="1">IF(ABS(D31)&gt;0.01,(G31-D31)/D31,"")</f>
        <v/>
      </c>
      <c r="J31" s="494">
        <f ca="1">'IRC Coletivas'!J15+'IRS Singulares'!N23*'IRS Singulares'!N20</f>
        <v>0</v>
      </c>
      <c r="K31" s="2616">
        <f ca="1">IFERROR(J31/J$5,0)</f>
        <v>0</v>
      </c>
      <c r="L31" s="493" t="str">
        <f ca="1">IF(ABS(G31)&gt;0.01,(J31-G31)/G31,"")</f>
        <v/>
      </c>
      <c r="M31" s="495">
        <f ca="1">'IRC Coletivas'!M15+'IRS Singulares'!O23*'IRS Singulares'!O20</f>
        <v>0</v>
      </c>
      <c r="N31" s="2616">
        <f ca="1">IFERROR(M31/M$5,0)</f>
        <v>0</v>
      </c>
      <c r="O31" s="493" t="str">
        <f ca="1">IF(ABS(J31)&gt;0.01,(M31-J31)/J31,"")</f>
        <v/>
      </c>
    </row>
    <row r="32" spans="1:15" s="35" customFormat="1" ht="15.75" thickBot="1">
      <c r="A32" s="545"/>
      <c r="B32" s="524"/>
      <c r="C32" s="2625"/>
      <c r="D32" s="526"/>
      <c r="E32" s="2625"/>
      <c r="F32" s="525"/>
      <c r="G32" s="524"/>
      <c r="H32" s="2625"/>
      <c r="I32" s="527"/>
      <c r="J32" s="524"/>
      <c r="K32" s="2625"/>
      <c r="L32" s="528"/>
      <c r="M32" s="526"/>
      <c r="N32" s="2625"/>
      <c r="O32" s="496"/>
    </row>
    <row r="33" spans="1:15" s="35" customFormat="1" ht="22.5" customHeight="1" thickBot="1">
      <c r="A33" s="543" t="s">
        <v>796</v>
      </c>
      <c r="B33" s="529">
        <f ca="1">B29-B31</f>
        <v>-10109.874545454546</v>
      </c>
      <c r="C33" s="2622">
        <f ca="1">IFERROR(B33/B$5,0)</f>
        <v>-1.4041492424242428</v>
      </c>
      <c r="D33" s="530">
        <f ca="1">D29-D31</f>
        <v>-7882.6148181818189</v>
      </c>
      <c r="E33" s="2622">
        <f ca="1">IFERROR(D33/D$5,0)</f>
        <v>-0.63775200794351283</v>
      </c>
      <c r="F33" s="521">
        <f ca="1">IF(ABS(B33)&gt;0.01,(D33-B33)/B33,"")</f>
        <v>-0.22030537740689524</v>
      </c>
      <c r="G33" s="529">
        <f ca="1">G29-G31</f>
        <v>-7921.6485315000009</v>
      </c>
      <c r="H33" s="2622">
        <f ca="1">IFERROR(G33/G$5,0)</f>
        <v>-0.59261218249105674</v>
      </c>
      <c r="I33" s="522">
        <f ca="1">IF(ABS(D33)&gt;0.01,(G33-D33)/D33,"")</f>
        <v>4.9518737396819024E-3</v>
      </c>
      <c r="J33" s="529">
        <f ca="1">J29-J31</f>
        <v>-7915.4769656186982</v>
      </c>
      <c r="K33" s="2622">
        <f ca="1">IFERROR(J33/J$5,0)</f>
        <v>-0.54727883989785497</v>
      </c>
      <c r="L33" s="523">
        <f ca="1">IF(ABS(G33)&gt;0.01,(J33-G33)/G33,"")</f>
        <v>-7.7907595328950122E-4</v>
      </c>
      <c r="M33" s="530">
        <f ca="1">M29-M31</f>
        <v>-7888.6903296170467</v>
      </c>
      <c r="N33" s="2622">
        <f ca="1">IFERROR(M33/M$5,0)</f>
        <v>-0.50438969364439357</v>
      </c>
      <c r="O33" s="464">
        <f ca="1">IF(ABS(J33)&gt;0.01,(M33-J33)/J33,"")</f>
        <v>-3.3840836273039084E-3</v>
      </c>
    </row>
    <row r="34" spans="1:15">
      <c r="A34" s="2046" t="str">
        <f>'Dados Evaluação'!B53</f>
        <v/>
      </c>
      <c r="D34" s="168"/>
    </row>
    <row r="35" spans="1:15">
      <c r="A35" s="1469" t="str">
        <f>'IRC Coletivas'!A35</f>
        <v>Todas as quantidades são expressadas em Euros</v>
      </c>
      <c r="D35" s="168"/>
    </row>
    <row r="36" spans="1:15">
      <c r="A36" s="1469" t="str">
        <f>IF(mes0=1,"",CONCATENATE("Sólo ",12-mes0+1," meses de actividad en ",B4," ( de ",LEFT('Dados Básicos'!F21,LEN('Dados Básicos'!F21)-8)," a diciembre )"))</f>
        <v/>
      </c>
      <c r="D36" s="168"/>
    </row>
    <row r="37" spans="1:15">
      <c r="A37" s="1469" t="str">
        <f>IF(irpf&lt;&gt;0,CONCATENATE("Forma jurídica: ",'Dados Básicos'!B24,"  No sujeto a Imp. de Sociedades sino a I.R.P.F."),"")</f>
        <v/>
      </c>
      <c r="D37" s="168"/>
    </row>
    <row r="38" spans="1:15">
      <c r="A38" s="1469" t="str">
        <f>IF(A37="","","Las cuentas de resultados reflejan el resultado contable, NO el computable para el IRPF")</f>
        <v/>
      </c>
      <c r="D38" s="168"/>
    </row>
    <row r="39" spans="1:15">
      <c r="D39" s="168"/>
    </row>
    <row r="40" spans="1:15">
      <c r="D40" s="168"/>
    </row>
    <row r="41" spans="1:15">
      <c r="D41" s="168"/>
    </row>
    <row r="42" spans="1:15">
      <c r="D42" s="168"/>
    </row>
    <row r="43" spans="1:15">
      <c r="D43" s="168"/>
    </row>
  </sheetData>
  <sheetProtection sheet="1" objects="1" scenarios="1"/>
  <phoneticPr fontId="4" type="noConversion"/>
  <printOptions horizontalCentered="1" verticalCentered="1"/>
  <pageMargins left="0.61" right="0.61" top="0.33" bottom="0.45" header="0.11811023622047245" footer="0.11811023622047245"/>
  <pageSetup paperSize="9" scale="62" orientation="landscape" horizontalDpi="300" verticalDpi="300" r:id="rId1"/>
  <headerFooter alignWithMargins="0">
    <oddFooter>&amp;C&amp;"Tahoma,Normal"&amp;10&amp;A</oddFooter>
  </headerFooter>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60">
    <pageSetUpPr fitToPage="1"/>
  </sheetPr>
  <dimension ref="A1:O35"/>
  <sheetViews>
    <sheetView workbookViewId="0"/>
  </sheetViews>
  <sheetFormatPr baseColWidth="10" defaultColWidth="11" defaultRowHeight="15"/>
  <cols>
    <col min="1" max="1" width="29" style="21" customWidth="1"/>
    <col min="2" max="2" width="11.25" style="21" customWidth="1"/>
    <col min="3" max="3" width="10.5" style="21" customWidth="1"/>
    <col min="4" max="4" width="11.25" style="21" customWidth="1"/>
    <col min="5" max="6" width="10.5" style="21" customWidth="1"/>
    <col min="7" max="7" width="11.25" style="21" customWidth="1"/>
    <col min="8" max="9" width="10.5" style="21" customWidth="1"/>
    <col min="10" max="10" width="11.25" style="21" customWidth="1"/>
    <col min="11" max="11" width="10.5" style="21" customWidth="1"/>
    <col min="12" max="12" width="11.625" style="21" customWidth="1"/>
    <col min="13" max="13" width="11.25" style="21" customWidth="1"/>
    <col min="14" max="15" width="10.5" style="21" customWidth="1"/>
    <col min="16" max="16384" width="11" style="21"/>
  </cols>
  <sheetData>
    <row r="1" spans="1:15" ht="25.5">
      <c r="A1" s="2860" t="str">
        <f>'Dados Básicos'!$J$44&amp;" ( "&amp;'Dados Básicos'!$I$44&amp;" )"</f>
        <v>Imposto Rendas Pessoas Coletivas ( I.R.C. )</v>
      </c>
      <c r="I1" s="962" t="str">
        <f>IF(isoc=0,CONCATENATE("Forma Jurídica: ",'Dados Básicos'!B24),"")</f>
        <v/>
      </c>
      <c r="J1" s="962"/>
      <c r="M1" s="962"/>
    </row>
    <row r="2" spans="1:15" ht="25.5">
      <c r="A2" s="964" t="str">
        <f>'Dados Básicos'!$B$9</f>
        <v>WWW, S.L.</v>
      </c>
      <c r="I2" s="962" t="str">
        <f>IF(isoc=0,"Não sujeto "&amp;'Dados Básicos'!$H$44,"")</f>
        <v/>
      </c>
      <c r="J2" s="962"/>
      <c r="M2" s="962"/>
    </row>
    <row r="3" spans="1:15" ht="23.25">
      <c r="I3" s="962" t="str">
        <f>IF(isoc=0,"TRIBUTACIÓN EN "&amp;'Dados Básicos'!$I$43,"")</f>
        <v/>
      </c>
      <c r="J3" s="962"/>
      <c r="M3" s="962"/>
    </row>
    <row r="4" spans="1:15" ht="23.25">
      <c r="F4" s="963"/>
    </row>
    <row r="5" spans="1:15" ht="23.25" thickBot="1">
      <c r="A5" s="461" t="str">
        <f>"Quotas e pagamentos por conta do "&amp;'Dados Básicos'!$H$44</f>
        <v>Quotas e pagamentos por conta do Imposto Pessoas Coletivas</v>
      </c>
      <c r="B5" s="24"/>
      <c r="D5" s="24"/>
      <c r="E5" s="24"/>
      <c r="F5" s="24"/>
      <c r="G5" s="24"/>
      <c r="H5" s="24"/>
      <c r="I5" s="24"/>
      <c r="J5" s="24"/>
      <c r="K5" s="24"/>
      <c r="L5" s="24"/>
      <c r="M5" s="24"/>
      <c r="N5" s="24"/>
      <c r="O5" s="24"/>
    </row>
    <row r="6" spans="1:15" s="35" customFormat="1" ht="20.25" customHeight="1" thickBot="1">
      <c r="A6" s="996"/>
      <c r="B6" s="997" t="str">
        <f>Parametros!D$65</f>
        <v>2026</v>
      </c>
      <c r="C6" s="998" t="s">
        <v>6</v>
      </c>
      <c r="D6" s="999" t="str">
        <f>Parametros!E$65</f>
        <v>2027</v>
      </c>
      <c r="E6" s="1000" t="s">
        <v>26</v>
      </c>
      <c r="F6" s="469" t="s">
        <v>808</v>
      </c>
      <c r="G6" s="1001" t="str">
        <f>Parametros!F$65</f>
        <v>2028</v>
      </c>
      <c r="H6" s="1000" t="s">
        <v>6</v>
      </c>
      <c r="I6" s="1002" t="str">
        <f>$F6</f>
        <v>Variação</v>
      </c>
      <c r="J6" s="1003" t="str">
        <f>Parametros!G$65</f>
        <v>2029</v>
      </c>
      <c r="K6" s="1000" t="s">
        <v>6</v>
      </c>
      <c r="L6" s="469" t="str">
        <f>$F6</f>
        <v>Variação</v>
      </c>
      <c r="M6" s="1001" t="str">
        <f>Parametros!H$65</f>
        <v>2030</v>
      </c>
      <c r="N6" s="998" t="s">
        <v>6</v>
      </c>
      <c r="O6" s="1004" t="str">
        <f>$F6</f>
        <v>Variação</v>
      </c>
    </row>
    <row r="7" spans="1:15" s="35" customFormat="1" ht="20.25" customHeight="1">
      <c r="A7" s="967" t="s">
        <v>1146</v>
      </c>
      <c r="B7" s="974">
        <f ca="1">IF('PPeGG anuais'!B29&lt;0,0,IF(SUM(resprevio)&gt;0,0,IF('PPeGG anuais'!B29&gt;-SUM(resprevio),-SUM(resprevio),'PPeGG anuais'!B29)))</f>
        <v>0</v>
      </c>
      <c r="C7" s="970"/>
      <c r="D7" s="971">
        <f ca="1">IF('PPeGG anuais'!D29&lt;0,0,IF(B9=0,0,IF('PPeGG anuais'!D29&gt;B9,B9,'PPeGG anuais'!D29)))</f>
        <v>0</v>
      </c>
      <c r="E7" s="972"/>
      <c r="F7" s="973"/>
      <c r="G7" s="974">
        <f ca="1">IF('PPeGG anuais'!G29&lt;0,0,IF(D9=0,0,IF('PPeGG anuais'!G29&gt;D9,D9,'PPeGG anuais'!G29)))</f>
        <v>0</v>
      </c>
      <c r="H7" s="972"/>
      <c r="I7" s="975"/>
      <c r="J7" s="971">
        <f ca="1">IF('PPeGG anuais'!J29&lt;0,0,IF(G9=0,0,IF('PPeGG anuais'!J29&gt;G9,G9,'PPeGG anuais'!J29)))</f>
        <v>0</v>
      </c>
      <c r="K7" s="972"/>
      <c r="L7" s="976"/>
      <c r="M7" s="974">
        <f ca="1">IF('PPeGG anuais'!M29&lt;0,0,IF(J9=0,0,IF('PPeGG anuais'!M29&gt;J9,J9,'PPeGG anuais'!M29)))</f>
        <v>0</v>
      </c>
      <c r="N7" s="972"/>
      <c r="O7" s="975"/>
    </row>
    <row r="8" spans="1:15" ht="18" customHeight="1">
      <c r="A8" s="965"/>
      <c r="B8" s="977"/>
      <c r="C8" s="978"/>
      <c r="D8" s="979"/>
      <c r="E8" s="980"/>
      <c r="F8" s="981"/>
      <c r="G8" s="977"/>
      <c r="H8" s="980"/>
      <c r="I8" s="982"/>
      <c r="J8" s="979"/>
      <c r="K8" s="980"/>
      <c r="L8" s="981"/>
      <c r="M8" s="977"/>
      <c r="N8" s="980"/>
      <c r="O8" s="982"/>
    </row>
    <row r="9" spans="1:15" s="35" customFormat="1" ht="18" customHeight="1">
      <c r="A9" s="966" t="s">
        <v>802</v>
      </c>
      <c r="B9" s="1792">
        <f ca="1">IF('Balanços anuais'!$D$28+'Balanços anuais'!$D$30&lt;0,
      IF('PPeGG anuais'!B29&lt;0,
          -'PPeGG anuais'!B29-'Balanços anuais'!$D$28-'Balanços anuais'!$D$30,
           IF('PPeGG anuais'!B29&gt;-'Balanços anuais'!$D$28-'Balanços anuais'!$D$30,
                0,
               -'PPeGG anuais'!B29-'Balanços anuais'!$D$28-'Balanços anuais'!$D$30)),
     IF('PPeGG anuais'!B29&gt;0,
          0,
          IF('Balanços anuais'!$D$28+'Balanços anuais'!$D$30&gt;-'PPeGG anuais'!B29,
              -'PPeGG anuais'!B29,
              -'Balanços anuais'!$D$28-'Balanços anuais'!$D$30-'PPeGG anuais'!B29)))</f>
        <v>10774.874545454546</v>
      </c>
      <c r="C9" s="990">
        <f ca="1">IFERROR(B9/'PPeGG anuais'!B$5,0)</f>
        <v>1.4965103535353539</v>
      </c>
      <c r="D9" s="1704">
        <f ca="1">IF('PPeGG anuais'!D29-B9&lt;0,-'PPeGG anuais'!D29+B9,0)</f>
        <v>18657.489363636363</v>
      </c>
      <c r="E9" s="1466">
        <f ca="1">IFERROR(D9/'PPeGG anuais'!D$5,0)</f>
        <v>1.5095056119446895</v>
      </c>
      <c r="F9" s="989">
        <f ca="1">IF(ABS(B9)&gt;0.01,(D9-B9)/B9,"")</f>
        <v>0.73157369813713069</v>
      </c>
      <c r="G9" s="1705">
        <f ca="1">IF('PPeGG anuais'!G29-D9&lt;0,-'PPeGG anuais'!G29+D9,0)</f>
        <v>26579.137895136366</v>
      </c>
      <c r="H9" s="1466">
        <f ca="1">IFERROR(G9/'PPeGG anuais'!G$5,0)</f>
        <v>1.9883640197029753</v>
      </c>
      <c r="I9" s="989">
        <f ca="1">IF(ABS(D9)&gt;0.01,(G9-D9)/D9,"")</f>
        <v>0.4245827708705211</v>
      </c>
      <c r="J9" s="1704">
        <f ca="1">IF('PPeGG anuais'!J29-G9&lt;0,-'PPeGG anuais'!J29+G9,0)</f>
        <v>34494.614860755064</v>
      </c>
      <c r="K9" s="1466">
        <f ca="1">IFERROR(J9/'PPeGG anuais'!J$5,0)</f>
        <v>2.3849697100649401</v>
      </c>
      <c r="L9" s="986">
        <f ca="1">IF(ABS(G9)&gt;0.01,(J9-G9)/G9,"")</f>
        <v>0.29780788966323574</v>
      </c>
      <c r="M9" s="1705">
        <f ca="1">IF('PPeGG anuais'!M29-J9&lt;0,-'PPeGG anuais'!M29+J9,0)</f>
        <v>42383.305190372113</v>
      </c>
      <c r="N9" s="1466">
        <f ca="1">IFERROR(M9/'PPeGG anuais'!M$5,0)</f>
        <v>2.709917797172094</v>
      </c>
      <c r="O9" s="989">
        <f ca="1">IF(ABS(J9)&gt;0.01,(M9-J9)/J9,"")</f>
        <v>0.22869338769142503</v>
      </c>
    </row>
    <row r="10" spans="1:15" s="35" customFormat="1" ht="18" customHeight="1">
      <c r="A10" s="1703"/>
      <c r="B10" s="1705"/>
      <c r="C10" s="1706"/>
      <c r="D10" s="1704"/>
      <c r="E10" s="1707"/>
      <c r="F10" s="988"/>
      <c r="G10" s="1705"/>
      <c r="H10" s="1707"/>
      <c r="I10" s="987"/>
      <c r="J10" s="1704"/>
      <c r="K10" s="1707"/>
      <c r="L10" s="988"/>
      <c r="M10" s="1705"/>
      <c r="N10" s="1707"/>
      <c r="O10" s="987"/>
    </row>
    <row r="11" spans="1:15" s="35" customFormat="1" ht="18" customHeight="1">
      <c r="A11" s="968" t="s">
        <v>94</v>
      </c>
      <c r="B11" s="1705">
        <f ca="1">IF(isoc=0,0,IF(B9&gt;0,0,'PPeGG anuais'!B29+IF(SUM(resprevio)&lt;0,SUM(resprevio),0)))</f>
        <v>0</v>
      </c>
      <c r="C11" s="1706" t="str">
        <f ca="1">IF(B11&lt;&gt;0,B11/'PPeGG anuais'!B$5,"")</f>
        <v/>
      </c>
      <c r="D11" s="1704">
        <f ca="1">IF(isoc=0,0,IF('PPeGG anuais'!D29-B9&gt;0,'PPeGG anuais'!D29-B9,0))</f>
        <v>0</v>
      </c>
      <c r="E11" s="1466" t="str">
        <f ca="1">IF(D11&lt;&gt;0,D11/'PPeGG anuais'!D$5,"")</f>
        <v/>
      </c>
      <c r="F11" s="988" t="str">
        <f ca="1">IF(ABS(B11)&gt;0.01,(D11-B11)/B11,"")</f>
        <v/>
      </c>
      <c r="G11" s="1705">
        <f ca="1">IF(isoc=0,0,IF('PPeGG anuais'!G29-D9&gt;0,'PPeGG anuais'!G29-D9,0))</f>
        <v>0</v>
      </c>
      <c r="H11" s="1466" t="str">
        <f ca="1">IF(G11&lt;&gt;0,G11/'PPeGG anuais'!G$5,"")</f>
        <v/>
      </c>
      <c r="I11" s="989" t="str">
        <f ca="1">IF(ABS(D11)&gt;0.01,(G11-D11)/D11,"")</f>
        <v/>
      </c>
      <c r="J11" s="1704">
        <f ca="1">IF(isoc=0,0,IF('PPeGG anuais'!J29-G9&gt;0,'PPeGG anuais'!J29-G9,0))</f>
        <v>0</v>
      </c>
      <c r="K11" s="1466" t="str">
        <f ca="1">IF(J11&lt;&gt;0,J11/'PPeGG anuais'!J$5,"")</f>
        <v/>
      </c>
      <c r="L11" s="986" t="str">
        <f ca="1">IF(ABS(G11)&gt;0.01,(J11-G11)/G11,"")</f>
        <v/>
      </c>
      <c r="M11" s="1705">
        <f ca="1">IF(isoc=0,0,IF('PPeGG anuais'!M29-J9&gt;0,'PPeGG anuais'!M29-J9,0))</f>
        <v>0</v>
      </c>
      <c r="N11" s="1466" t="str">
        <f ca="1">IF(M11&lt;&gt;0,M11/'PPeGG anuais'!M$5,"")</f>
        <v/>
      </c>
      <c r="O11" s="989" t="str">
        <f ca="1">IF(ABS(J11)&gt;0.01,(M11-J11)/J11,"")</f>
        <v/>
      </c>
    </row>
    <row r="12" spans="1:15" s="35" customFormat="1" ht="18" customHeight="1">
      <c r="A12" s="1719" t="str">
        <f>CONCATENATE("Base imponible ao  ",TEXT(isoc,"0%"))</f>
        <v>Base imponible ao  23%</v>
      </c>
      <c r="B12" s="1708">
        <f ca="1">MIN(B11,'Dados Básicos'!$C$85)</f>
        <v>0</v>
      </c>
      <c r="C12" s="984" t="str">
        <f t="shared" ref="C12:E13" ca="1" si="0">IF(B$11&lt;&gt;0,B12/B$11,"")</f>
        <v/>
      </c>
      <c r="D12" s="1708">
        <f ca="1">MIN(D11,'Dados Básicos'!$C$85)</f>
        <v>0</v>
      </c>
      <c r="E12" s="985" t="str">
        <f t="shared" ca="1" si="0"/>
        <v/>
      </c>
      <c r="F12" s="1709" t="str">
        <f ca="1">IF(ABS(B12)&gt;0.01,(D12-B12)/B12,"")</f>
        <v/>
      </c>
      <c r="G12" s="1708">
        <f ca="1">MIN(G11,'Dados Básicos'!$C$85)</f>
        <v>0</v>
      </c>
      <c r="H12" s="985" t="str">
        <f ca="1">IF(G$11&lt;&gt;0,G12/G$11,"")</f>
        <v/>
      </c>
      <c r="I12" s="988" t="str">
        <f ca="1">IF(ABS(D12)&gt;0.01,(G12-D12)/D12,"")</f>
        <v/>
      </c>
      <c r="J12" s="1708">
        <f ca="1">MIN(J11,'Dados Básicos'!$C$85)</f>
        <v>0</v>
      </c>
      <c r="K12" s="985" t="str">
        <f ca="1">IF(J$11&lt;&gt;0,J12/J$11,"")</f>
        <v/>
      </c>
      <c r="L12" s="988" t="str">
        <f ca="1">IF(ABS(G12)&gt;0.01,(J12-G12)/G12,"")</f>
        <v/>
      </c>
      <c r="M12" s="1708">
        <f ca="1">MIN(M11,'Dados Básicos'!$C$85)</f>
        <v>0</v>
      </c>
      <c r="N12" s="985" t="str">
        <f ca="1">IF(M$11&lt;&gt;0,M12/M$11,"")</f>
        <v/>
      </c>
      <c r="O12" s="987" t="str">
        <f ca="1">IF(ABS(J12)&gt;0.01,(M12-J12)/J12,"")</f>
        <v/>
      </c>
    </row>
    <row r="13" spans="1:15" s="35" customFormat="1" ht="18" customHeight="1">
      <c r="A13" s="1719" t="str">
        <f>CONCATENATE("Base imponible ao  ",TEXT('Dados Básicos'!C37,"0%"))</f>
        <v>Base imponible ao  27%</v>
      </c>
      <c r="B13" s="1708">
        <f ca="1">B11-B12</f>
        <v>0</v>
      </c>
      <c r="C13" s="984" t="str">
        <f t="shared" ca="1" si="0"/>
        <v/>
      </c>
      <c r="D13" s="1708">
        <f ca="1">D11-D12</f>
        <v>0</v>
      </c>
      <c r="E13" s="985" t="str">
        <f t="shared" ca="1" si="0"/>
        <v/>
      </c>
      <c r="F13" s="1710" t="str">
        <f ca="1">IF(ABS(B13)&gt;0.01,(D13-B13)/B13,"")</f>
        <v/>
      </c>
      <c r="G13" s="1708">
        <f ca="1">G11-G12</f>
        <v>0</v>
      </c>
      <c r="H13" s="985" t="str">
        <f ca="1">IF(G$11&lt;&gt;0,G13/G$11,"")</f>
        <v/>
      </c>
      <c r="I13" s="986" t="str">
        <f ca="1">IF(ABS(D13)&gt;0.01,(G13-D13)/D13,"")</f>
        <v/>
      </c>
      <c r="J13" s="1708">
        <f ca="1">J11-J12</f>
        <v>0</v>
      </c>
      <c r="K13" s="985" t="str">
        <f ca="1">IF(J$11&lt;&gt;0,J13/J$11,"")</f>
        <v/>
      </c>
      <c r="L13" s="986" t="str">
        <f ca="1">IF(ABS(G13)&gt;0.01,(J13-G13)/G13,"")</f>
        <v/>
      </c>
      <c r="M13" s="1708">
        <f ca="1">M11-M12</f>
        <v>0</v>
      </c>
      <c r="N13" s="985" t="str">
        <f ca="1">IF(M$11&lt;&gt;0,M13/M$11,"")</f>
        <v/>
      </c>
      <c r="O13" s="989" t="str">
        <f ca="1">IF(ABS(J13)&gt;0.01,(M13-J13)/J13,"")</f>
        <v/>
      </c>
    </row>
    <row r="14" spans="1:15" s="35" customFormat="1" ht="13.5" customHeight="1">
      <c r="A14" s="1719"/>
      <c r="B14" s="1708"/>
      <c r="C14" s="984"/>
      <c r="D14" s="1708"/>
      <c r="E14" s="985"/>
      <c r="F14" s="1710"/>
      <c r="G14" s="1708"/>
      <c r="H14" s="985"/>
      <c r="I14" s="986"/>
      <c r="J14" s="1708"/>
      <c r="K14" s="985"/>
      <c r="L14" s="986"/>
      <c r="M14" s="1708"/>
      <c r="N14" s="985"/>
      <c r="O14" s="989"/>
    </row>
    <row r="15" spans="1:15" s="35" customFormat="1" ht="21.75" customHeight="1">
      <c r="A15" s="968" t="s">
        <v>803</v>
      </c>
      <c r="B15" s="983">
        <f ca="1">B12*isoc+B13*'Dados Básicos'!$C$37</f>
        <v>0</v>
      </c>
      <c r="C15" s="984" t="str">
        <f ca="1">IF(B15&lt;&gt;0,B15/'PPeGG anuais'!B$29,"")</f>
        <v/>
      </c>
      <c r="D15" s="983">
        <f ca="1">D12*isoc+D13*'Dados Básicos'!$C$37</f>
        <v>0</v>
      </c>
      <c r="E15" s="985" t="str">
        <f ca="1">IF(D15&lt;&gt;0,D15/'PPeGG anuais'!D$29,"")</f>
        <v/>
      </c>
      <c r="F15" s="986" t="str">
        <f ca="1">IF(ABS(B15)&gt;0.01,(D15-B15)/B15,"")</f>
        <v/>
      </c>
      <c r="G15" s="983">
        <f ca="1">G12*isoc+G13*'Dados Básicos'!$C$37</f>
        <v>0</v>
      </c>
      <c r="H15" s="985" t="str">
        <f ca="1">IF(G15&lt;&gt;0,G15/'PPeGG anuais'!G$29,"")</f>
        <v/>
      </c>
      <c r="I15" s="987" t="str">
        <f ca="1">IF(ABS(D15)&gt;0.01,(G15-D15)/D15,"")</f>
        <v/>
      </c>
      <c r="J15" s="983">
        <f ca="1">J12*isoc+J13*'Dados Básicos'!$C$37</f>
        <v>0</v>
      </c>
      <c r="K15" s="985" t="str">
        <f ca="1">IF(J15&lt;&gt;0,J15/'PPeGG anuais'!J$29,"")</f>
        <v/>
      </c>
      <c r="L15" s="988" t="str">
        <f ca="1">IF(ABS(G15)&gt;0.01,(J15-G15)/G15,"")</f>
        <v/>
      </c>
      <c r="M15" s="983">
        <f ca="1">M12*isoc+M13*'Dados Básicos'!$C$37</f>
        <v>0</v>
      </c>
      <c r="N15" s="985" t="str">
        <f ca="1">IF(M15&lt;&gt;0,M15/'PPeGG anuais'!M$29,"")</f>
        <v/>
      </c>
      <c r="O15" s="989" t="str">
        <f ca="1">IF(ABS(J15)&gt;0.01,(M15-J15)/J15,"")</f>
        <v/>
      </c>
    </row>
    <row r="16" spans="1:15" s="35" customFormat="1" ht="18" customHeight="1">
      <c r="A16" s="1703"/>
      <c r="B16" s="1705"/>
      <c r="C16" s="1706"/>
      <c r="D16" s="1704"/>
      <c r="E16" s="1466"/>
      <c r="F16" s="988"/>
      <c r="G16" s="1705"/>
      <c r="H16" s="1466"/>
      <c r="I16" s="989"/>
      <c r="J16" s="1704"/>
      <c r="K16" s="1466"/>
      <c r="L16" s="986"/>
      <c r="M16" s="1705"/>
      <c r="N16" s="1466"/>
      <c r="O16" s="989"/>
    </row>
    <row r="17" spans="1:15" s="35" customFormat="1" ht="18" customHeight="1">
      <c r="A17" s="2078" t="s">
        <v>804</v>
      </c>
      <c r="B17" s="2079" t="str">
        <f>'Dados Básicos'!$B$38</f>
        <v>Ano anterior</v>
      </c>
      <c r="C17" s="2080"/>
      <c r="D17" s="2077">
        <f>'Dados Básicos'!$D$38</f>
        <v>-1</v>
      </c>
      <c r="E17" s="1707"/>
      <c r="F17" s="988"/>
      <c r="G17" s="1705"/>
      <c r="H17" s="1707"/>
      <c r="I17" s="987"/>
      <c r="J17" s="1704"/>
      <c r="K17" s="1707"/>
      <c r="L17" s="988"/>
      <c r="M17" s="1705"/>
      <c r="N17" s="1707"/>
      <c r="O17" s="987"/>
    </row>
    <row r="18" spans="1:15" s="35" customFormat="1" ht="18" customHeight="1">
      <c r="A18" s="1711" t="s">
        <v>23</v>
      </c>
      <c r="B18" s="1712">
        <f>IF($D$17=-1,0,
IF('PyG 0'!$D$31&gt;0,'PyG 0'!$D$31*'Dados Básicos'!$C$39,0))</f>
        <v>0</v>
      </c>
      <c r="C18" s="990" t="str">
        <f>IF(B18&lt;&gt;0,B18/'PPeGG anuais'!B$29,"")</f>
        <v/>
      </c>
      <c r="D18" s="1713">
        <f>IF($D$17=-1,B19,
IF('PyG 1'!$D$31&gt;0,'PyG 1'!$D$31*'Dados Básicos'!$C$39,0))</f>
        <v>0</v>
      </c>
      <c r="E18" s="1707" t="str">
        <f>IF(D18&lt;&gt;0,D18/'PPeGG anuais'!D$29,"")</f>
        <v/>
      </c>
      <c r="F18" s="986" t="str">
        <f>IF(ABS(B18)&gt;0.01,(D18-B18)/B18,"")</f>
        <v/>
      </c>
      <c r="G18" s="1712">
        <f ca="1">IF($D$17=-1,D19,
IF('PyG 2'!$D$31&gt;0,'PyG 2'!$D$31*'Dados Básicos'!$C$39,0))</f>
        <v>0</v>
      </c>
      <c r="H18" s="1707"/>
      <c r="I18" s="989" t="str">
        <f>IF(ABS(D18)&gt;0.01,(G18-D18)/D18,"")</f>
        <v/>
      </c>
      <c r="J18" s="1713">
        <f ca="1">IF($D$17=-1,G19,
IF('PyG 3'!$D$31&gt;0,'PyG 3'!$D$31*'Dados Básicos'!$C$39,0))</f>
        <v>0</v>
      </c>
      <c r="K18" s="1707"/>
      <c r="L18" s="986" t="str">
        <f ca="1">IF(ABS(G18)&gt;0.01,(J18-G18)/G18,"")</f>
        <v/>
      </c>
      <c r="M18" s="1712">
        <f ca="1">IF($D$17=-1,J19,
IF('PyG 4'!$D$31&gt;0,'PyG 4'!$D$31*'Dados Básicos'!$C$39,0))</f>
        <v>0</v>
      </c>
      <c r="N18" s="1707"/>
      <c r="O18" s="989" t="str">
        <f ca="1">IF(ABS(J18)&gt;0.01,(M18-J18)/J18,"")</f>
        <v/>
      </c>
    </row>
    <row r="19" spans="1:15" s="35" customFormat="1" ht="18" customHeight="1">
      <c r="A19" s="1711" t="s">
        <v>24</v>
      </c>
      <c r="B19" s="1712">
        <f>IF($D$17=-1,IF(AND(isoc&lt;&gt;0,SUM(resprevio)&gt;0,'Finançamento Inicial'!$B$12&gt;0),
          'Finançamento Inicial'!$B$12*'Dados Básicos'!$C$39,   0),
    IF('PyG 0'!$J$31*'Dados Básicos'!$C$39-B18&gt;0,'PyG 0'!$J$31*'Dados Básicos'!$C$39-B18,0))</f>
        <v>0</v>
      </c>
      <c r="C19" s="990" t="str">
        <f>IF(B19&lt;&gt;0,B19/'PPeGG anuais'!B$29,"")</f>
        <v/>
      </c>
      <c r="D19" s="1713">
        <f ca="1">IF($D$17=-1,$B$15*'Dados Básicos'!$C$39,
    IF('PyG 1'!$J$31*'Dados Básicos'!$C$39-D18&gt;0,'PyG 1'!$J$31*'Dados Básicos'!$C$39-D18,0))</f>
        <v>0</v>
      </c>
      <c r="E19" s="1466" t="str">
        <f ca="1">IF(D19&lt;&gt;0,D19/'PPeGG anuais'!D$29,"")</f>
        <v/>
      </c>
      <c r="F19" s="986" t="str">
        <f>IF(ABS(B19)&gt;0.01,(D19-B19)/B19,"")</f>
        <v/>
      </c>
      <c r="G19" s="1712">
        <f ca="1">IF($D$17=-1,$D$15*'Dados Básicos'!$C$39,
    IF('PyG 2'!$J$31*'Dados Básicos'!$C$39-G18&gt;0,'PyG 2'!$J$31*'Dados Básicos'!$C$39-G18,0))</f>
        <v>0</v>
      </c>
      <c r="H19" s="1707"/>
      <c r="I19" s="989" t="str">
        <f ca="1">IF(ABS(D19)&gt;0.01,(G19-D19)/D19,"")</f>
        <v/>
      </c>
      <c r="J19" s="1713">
        <f ca="1">IF($D$17=-1,$G$15*'Dados Básicos'!$C$39,
    IF('PyG 3'!$J$31*'Dados Básicos'!$C$39-J18&gt;0,'PyG 3'!$J$31*'Dados Básicos'!$C$39-J18,0))</f>
        <v>0</v>
      </c>
      <c r="K19" s="1707"/>
      <c r="L19" s="986" t="str">
        <f ca="1">IF(ABS(G19)&gt;0.01,(J19-G19)/G19,"")</f>
        <v/>
      </c>
      <c r="M19" s="1712">
        <f ca="1">IF($D$17=-1,$J$15*'Dados Básicos'!$C$39,
    IF('PyG 4'!$J$31*'Dados Básicos'!$C$39-M18&gt;0,'PyG 4'!$J$31*'Dados Básicos'!$C$39-M18,0))</f>
        <v>0</v>
      </c>
      <c r="N19" s="1707"/>
      <c r="O19" s="989" t="str">
        <f ca="1">IF(ABS(J19)&gt;0.01,(M19-J19)/J19,"")</f>
        <v/>
      </c>
    </row>
    <row r="20" spans="1:15" s="35" customFormat="1" ht="18" customHeight="1">
      <c r="A20" s="1711" t="s">
        <v>25</v>
      </c>
      <c r="B20" s="1712">
        <f>IF($D$17=-1,B19,
IF('PyG 0'!$L$31*'Dados Básicos'!$C$39-B19-B18&gt;0,'PyG 0'!$L$31*'Dados Básicos'!$C$39-B19-B18,0))</f>
        <v>0</v>
      </c>
      <c r="C20" s="990" t="str">
        <f>IF(B20&lt;&gt;0,B20/'PPeGG anuais'!B$29,"")</f>
        <v/>
      </c>
      <c r="D20" s="1713">
        <f ca="1">IF($D$17=-1,D19,
IF('PyG 1'!$L$31*'Dados Básicos'!$C$39-D19-D18&gt;0,'PyG 1'!$L$31*'Dados Básicos'!$C$39-D19-D18,0))</f>
        <v>0</v>
      </c>
      <c r="E20" s="1466" t="str">
        <f ca="1">IF(D20&lt;&gt;0,D20/'PPeGG anuais'!D$29,"")</f>
        <v/>
      </c>
      <c r="F20" s="986" t="str">
        <f>IF(ABS(B20)&gt;0.01,(D20-B20)/B20,"")</f>
        <v/>
      </c>
      <c r="G20" s="1712">
        <f ca="1">IF($D$17=-1,G19,
IF('PyG 2'!$L$31*'Dados Básicos'!$C$39-G19-G18&gt;0,'PyG 2'!$L$31*'Dados Básicos'!$C$39-G19-G18,0))</f>
        <v>0</v>
      </c>
      <c r="H20" s="1707"/>
      <c r="I20" s="989" t="str">
        <f ca="1">IF(ABS(D20)&gt;0.01,(G20-D20)/D20,"")</f>
        <v/>
      </c>
      <c r="J20" s="1713">
        <f ca="1">IF($D$17=-1,J19,
IF('PyG 3'!$L$31*'Dados Básicos'!$C$39-J19-J18&gt;0,'PyG 3'!$L$31*'Dados Básicos'!$C$39-J19-J18,0))</f>
        <v>0</v>
      </c>
      <c r="K20" s="1707"/>
      <c r="L20" s="986" t="str">
        <f ca="1">IF(ABS(G20)&gt;0.01,(J20-G20)/G20,"")</f>
        <v/>
      </c>
      <c r="M20" s="1712">
        <f ca="1">IF($D$17=-1,M19,
IF('PyG 4'!$L$31*'Dados Básicos'!$C$39-M19-M18&gt;0,'PyG 4'!$L$31*'Dados Básicos'!$C$39-M19-M18,0))</f>
        <v>0</v>
      </c>
      <c r="N20" s="1707"/>
      <c r="O20" s="989" t="str">
        <f ca="1">IF(ABS(J20)&gt;0.01,(M20-J20)/J20,"")</f>
        <v/>
      </c>
    </row>
    <row r="21" spans="1:15" s="35" customFormat="1">
      <c r="A21" s="1714"/>
      <c r="B21" s="1705"/>
      <c r="C21" s="1706"/>
      <c r="D21" s="1704"/>
      <c r="E21" s="1707"/>
      <c r="F21" s="988"/>
      <c r="G21" s="1705"/>
      <c r="H21" s="1707"/>
      <c r="I21" s="987"/>
      <c r="J21" s="1704"/>
      <c r="K21" s="1707"/>
      <c r="L21" s="988"/>
      <c r="M21" s="1705"/>
      <c r="N21" s="1707"/>
      <c r="O21" s="987"/>
    </row>
    <row r="23" spans="1:15" s="35" customFormat="1" ht="21.75" customHeight="1">
      <c r="A23" s="968" t="s">
        <v>805</v>
      </c>
      <c r="B23" s="983">
        <f ca="1">B15-SUM(B18:B20)</f>
        <v>0</v>
      </c>
      <c r="C23" s="990" t="str">
        <f ca="1">IF(B23&lt;&gt;0,B23/'PPeGG anuais'!B$29,"")</f>
        <v/>
      </c>
      <c r="D23" s="991">
        <f ca="1">D15-SUM(D18:D20)</f>
        <v>0</v>
      </c>
      <c r="E23" s="1466" t="str">
        <f ca="1">IF(D23&lt;&gt;0,D23/'PPeGG anuais'!D$29,"")</f>
        <v/>
      </c>
      <c r="F23" s="1468" t="str">
        <f ca="1">IF(ABS(B23)&gt;0.01,(D23-B23)/B23,"")</f>
        <v/>
      </c>
      <c r="G23" s="983">
        <f ca="1">G15-SUM(G18:G20)</f>
        <v>0</v>
      </c>
      <c r="H23" s="1466" t="str">
        <f ca="1">IF(G23&lt;&gt;0,G23/'PPeGG anuais'!G$29,"")</f>
        <v/>
      </c>
      <c r="I23" s="989" t="str">
        <f ca="1">IF(ABS(D23)&gt;0.01,(G23-D23)/D23,"")</f>
        <v/>
      </c>
      <c r="J23" s="991">
        <f ca="1">J15-SUM(J18:J20)</f>
        <v>0</v>
      </c>
      <c r="K23" s="1466" t="str">
        <f ca="1">IF(J23&lt;&gt;0,J23/'PPeGG anuais'!J$29,"")</f>
        <v/>
      </c>
      <c r="L23" s="986" t="str">
        <f ca="1">IF(ABS(G23)&gt;0.01,(J23-G23)/G23,"")</f>
        <v/>
      </c>
      <c r="M23" s="983">
        <f ca="1">M15-SUM(M18:M20)</f>
        <v>0</v>
      </c>
      <c r="N23" s="1466" t="str">
        <f ca="1">IF(M23&lt;&gt;0,M23/'PPeGG anuais'!M$29,"")</f>
        <v/>
      </c>
      <c r="O23" s="989" t="str">
        <f ca="1">IF(ABS(J23)&gt;0.01,(M23-J23)/J23,"")</f>
        <v/>
      </c>
    </row>
    <row r="24" spans="1:15" s="35" customFormat="1" ht="21.75" customHeight="1">
      <c r="A24" s="968" t="s">
        <v>806</v>
      </c>
      <c r="B24" s="983">
        <f ca="1">'PPeGG anuais'!B29-B15</f>
        <v>-10109.874545454546</v>
      </c>
      <c r="C24" s="990">
        <f ca="1">IF(B24&lt;&gt;0,B24/'PPeGG anuais'!B$29,"")</f>
        <v>1</v>
      </c>
      <c r="D24" s="991">
        <f ca="1">'PPeGG anuais'!D29-D15</f>
        <v>-7882.6148181818189</v>
      </c>
      <c r="E24" s="1466">
        <f ca="1">IF(D24&lt;&gt;0,D24/'PPeGG anuais'!D$29,"")</f>
        <v>1</v>
      </c>
      <c r="F24" s="986">
        <f ca="1">IF(ABS(B24)&gt;0.01,(D24-B24)/B24,"")</f>
        <v>-0.22030537740689524</v>
      </c>
      <c r="G24" s="983">
        <f ca="1">'PPeGG anuais'!G29-G15</f>
        <v>-7921.6485315000009</v>
      </c>
      <c r="H24" s="1466">
        <f ca="1">IF(G24&lt;&gt;0,G24/'PPeGG anuais'!G$29,"")</f>
        <v>1</v>
      </c>
      <c r="I24" s="989">
        <f ca="1">IF(ABS(D24)&gt;0.01,(G24-D24)/D24,"")</f>
        <v>4.9518737396819024E-3</v>
      </c>
      <c r="J24" s="991">
        <f ca="1">'PPeGG anuais'!J29-J15</f>
        <v>-7915.4769656186982</v>
      </c>
      <c r="K24" s="1466">
        <f ca="1">IF(J24&lt;&gt;0,J24/'PPeGG anuais'!J$29,"")</f>
        <v>1</v>
      </c>
      <c r="L24" s="986">
        <f ca="1">IF(ABS(G24)&gt;0.01,(J24-G24)/G24,"")</f>
        <v>-7.7907595328950122E-4</v>
      </c>
      <c r="M24" s="983">
        <f ca="1">'PPeGG anuais'!M29-M15</f>
        <v>-7888.6903296170467</v>
      </c>
      <c r="N24" s="1466">
        <f ca="1">IF(M24&lt;&gt;0,M24/'PPeGG anuais'!M$29,"")</f>
        <v>1</v>
      </c>
      <c r="O24" s="989">
        <f ca="1">IF(ABS(J24)&gt;0.01,(M24-J24)/J24,"")</f>
        <v>-3.3840836273039084E-3</v>
      </c>
    </row>
    <row r="25" spans="1:15" s="35" customFormat="1" ht="21.75" customHeight="1" thickBot="1">
      <c r="A25" s="969" t="s">
        <v>807</v>
      </c>
      <c r="B25" s="2447">
        <f ca="1">(1-isoc)*B12+(1-'Dados Básicos'!$C$37)*B13
+IF(SUM(resprevio)&gt;0,SUM(resprevio),0)*0</f>
        <v>0</v>
      </c>
      <c r="C25" s="1467" t="str">
        <f ca="1">IF(B25&lt;&gt;0,B25/'PPeGG anuais'!B$29,"")</f>
        <v/>
      </c>
      <c r="D25" s="992">
        <f ca="1">(1-isoc)*D12+(1-'Dados Básicos'!$C$37)*D13</f>
        <v>0</v>
      </c>
      <c r="E25" s="1444" t="str">
        <f ca="1">IF(D25&lt;&gt;0,D25/'PPeGG anuais'!D$29,"")</f>
        <v/>
      </c>
      <c r="F25" s="993" t="str">
        <f ca="1">IF(ABS(B25)&gt;0.01,(D25-B25)/B25,"")</f>
        <v/>
      </c>
      <c r="G25" s="994">
        <f ca="1">(1-isoc)*G12+(1-'Dados Básicos'!$C$37)*G13</f>
        <v>0</v>
      </c>
      <c r="H25" s="1444" t="str">
        <f ca="1">IF(G25&lt;&gt;0,G25/'PPeGG anuais'!G$29,"")</f>
        <v/>
      </c>
      <c r="I25" s="995" t="str">
        <f ca="1">IF(ABS(D25)&gt;0.01,(G25-D25)/D25,"")</f>
        <v/>
      </c>
      <c r="J25" s="992">
        <f ca="1">(1-isoc)*J12+(1-'Dados Básicos'!$C$37)*J13</f>
        <v>0</v>
      </c>
      <c r="K25" s="1444" t="str">
        <f ca="1">IF(J25&lt;&gt;0,J25/'PPeGG anuais'!J$29,"")</f>
        <v/>
      </c>
      <c r="L25" s="993" t="str">
        <f ca="1">IF(ABS(G25)&gt;0.01,(J25-G25)/G25,"")</f>
        <v/>
      </c>
      <c r="M25" s="994">
        <f ca="1">(1-isoc)*M12+(1-'Dados Básicos'!$C$37)*M13</f>
        <v>0</v>
      </c>
      <c r="N25" s="1444" t="str">
        <f ca="1">IF(M25&lt;&gt;0,M25/'PPeGG anuais'!M$29,"")</f>
        <v/>
      </c>
      <c r="O25" s="995" t="str">
        <f ca="1">IF(ABS(J25)&gt;0.01,(M25-J25)/J25,"")</f>
        <v/>
      </c>
    </row>
    <row r="27" spans="1:15">
      <c r="A27" s="24" t="str">
        <f>IF(mes0=1,"",CONCATENATE("(Sólo ",12-mes0+1," meses de actividad en ano 0: ",B6,")"))</f>
        <v/>
      </c>
    </row>
    <row r="29" spans="1:15" ht="23.25" thickBot="1">
      <c r="A29" s="461" t="s">
        <v>812</v>
      </c>
      <c r="D29" s="168"/>
    </row>
    <row r="30" spans="1:15" s="35" customFormat="1" ht="19.5" customHeight="1" thickBot="1">
      <c r="A30" s="996"/>
      <c r="B30" s="1001" t="str">
        <f>B6</f>
        <v>2026</v>
      </c>
      <c r="C30" s="1715" t="s">
        <v>809</v>
      </c>
      <c r="D30" s="997" t="str">
        <f>D6</f>
        <v>2027</v>
      </c>
      <c r="E30" s="1716" t="str">
        <f>$C30</f>
        <v>% / Lucro</v>
      </c>
      <c r="F30" s="1717" t="str">
        <f>$F$6</f>
        <v>Variação</v>
      </c>
      <c r="G30" s="999" t="str">
        <f>G6</f>
        <v>2028</v>
      </c>
      <c r="H30" s="1716" t="str">
        <f>$C30</f>
        <v>% / Lucro</v>
      </c>
      <c r="I30" s="1718" t="str">
        <f>$F$6</f>
        <v>Variação</v>
      </c>
      <c r="J30" s="1001" t="str">
        <f>J6</f>
        <v>2029</v>
      </c>
      <c r="K30" s="1716" t="str">
        <f>$C30</f>
        <v>% / Lucro</v>
      </c>
      <c r="L30" s="1718" t="str">
        <f>$F$6</f>
        <v>Variação</v>
      </c>
      <c r="M30" s="997" t="str">
        <f>M6</f>
        <v>2030</v>
      </c>
      <c r="N30" s="1716" t="str">
        <f>$C30</f>
        <v>% / Lucro</v>
      </c>
      <c r="O30" s="1717" t="str">
        <f>$F$6</f>
        <v>Variação</v>
      </c>
    </row>
    <row r="31" spans="1:15" s="35" customFormat="1" ht="21" customHeight="1">
      <c r="A31" s="1592" t="s">
        <v>811</v>
      </c>
      <c r="B31" s="1436">
        <f ca="1">B$25*Parametros!C42</f>
        <v>0</v>
      </c>
      <c r="C31" s="1437" t="str">
        <f ca="1">IF(B31&lt;&gt;0,B31/B$25,"")</f>
        <v/>
      </c>
      <c r="D31" s="1436">
        <f ca="1">D$25*Parametros!D42</f>
        <v>0</v>
      </c>
      <c r="E31" s="1438" t="str">
        <f ca="1">IF(D31&lt;&gt;0,D31/D$25,"")</f>
        <v/>
      </c>
      <c r="F31" s="1439" t="str">
        <f ca="1">IF(B31&lt;&gt;0,(D31-B31)/B31,"")</f>
        <v/>
      </c>
      <c r="G31" s="1440">
        <f ca="1">G$25*Parametros!E42</f>
        <v>0</v>
      </c>
      <c r="H31" s="1438" t="str">
        <f ca="1">IF(G31&lt;&gt;0,G31/G$25,"")</f>
        <v/>
      </c>
      <c r="I31" s="1441" t="str">
        <f ca="1">IF(D31&lt;&gt;0,(G31-D31)/D31,"")</f>
        <v/>
      </c>
      <c r="J31" s="1436">
        <f ca="1">J$25*Parametros!F42</f>
        <v>0</v>
      </c>
      <c r="K31" s="1438" t="str">
        <f ca="1">IF(J31&lt;&gt;0,J31/J$25,"")</f>
        <v/>
      </c>
      <c r="L31" s="1441" t="str">
        <f ca="1">IF(G31&lt;&gt;0,(J31-G31)/G31,"")</f>
        <v/>
      </c>
      <c r="M31" s="1436">
        <f ca="1">M$25*Parametros!G42</f>
        <v>0</v>
      </c>
      <c r="N31" s="1438" t="str">
        <f ca="1">IF(M31&lt;&gt;0,M31/M$25,"")</f>
        <v/>
      </c>
      <c r="O31" s="1439" t="str">
        <f ca="1">IF(J31&lt;&gt;0,(M31-J31)/J31,"")</f>
        <v/>
      </c>
    </row>
    <row r="32" spans="1:15" s="35" customFormat="1" ht="21" customHeight="1" thickBot="1">
      <c r="A32" s="1593" t="s">
        <v>810</v>
      </c>
      <c r="B32" s="1442">
        <f ca="1">B$25*Parametros!C43</f>
        <v>0</v>
      </c>
      <c r="C32" s="1443" t="str">
        <f ca="1">IF(B32&lt;&gt;0,B32/B$25,"")</f>
        <v/>
      </c>
      <c r="D32" s="1442">
        <f ca="1">D$25*Parametros!D43</f>
        <v>0</v>
      </c>
      <c r="E32" s="1444" t="str">
        <f ca="1">IF(D32&lt;&gt;0,D32/D$25,"")</f>
        <v/>
      </c>
      <c r="F32" s="1445" t="str">
        <f ca="1">IF(B32&lt;&gt;0,(D32-B32)/B32,"")</f>
        <v/>
      </c>
      <c r="G32" s="1446">
        <f ca="1">G$25*Parametros!E43</f>
        <v>0</v>
      </c>
      <c r="H32" s="1444" t="str">
        <f ca="1">IF(G32&lt;&gt;0,G32/G$25,"")</f>
        <v/>
      </c>
      <c r="I32" s="1447" t="str">
        <f ca="1">IF(D32&lt;&gt;0,(G32-D32)/D32,"")</f>
        <v/>
      </c>
      <c r="J32" s="1442">
        <f ca="1">J$25*Parametros!F43</f>
        <v>0</v>
      </c>
      <c r="K32" s="1444" t="str">
        <f ca="1">IF(J32&lt;&gt;0,J32/J$25,"")</f>
        <v/>
      </c>
      <c r="L32" s="1447" t="str">
        <f ca="1">IF(G32&lt;&gt;0,(J32-G32)/G32,"")</f>
        <v/>
      </c>
      <c r="M32" s="1442">
        <f ca="1">M$25*Parametros!G43</f>
        <v>0</v>
      </c>
      <c r="N32" s="1444" t="str">
        <f ca="1">IF(M32&lt;&gt;0,M32/M$25,"")</f>
        <v/>
      </c>
      <c r="O32" s="1445" t="str">
        <f ca="1">IF(J32&lt;&gt;0,(M32-J32)/J32,"")</f>
        <v/>
      </c>
    </row>
    <row r="35" spans="1:1">
      <c r="A35" s="21" t="str">
        <f>CONCATENATE("Todas as quantidades são expressadas em ",Parametros!$G$11)</f>
        <v>Todas as quantidades são expressadas em Euros</v>
      </c>
    </row>
  </sheetData>
  <sheetProtection sheet="1" objects="1" scenarios="1"/>
  <phoneticPr fontId="4" type="noConversion"/>
  <printOptions horizontalCentered="1" verticalCentered="1"/>
  <pageMargins left="0.55118110236220474" right="0.75" top="0.52" bottom="1" header="0" footer="0"/>
  <pageSetup paperSize="9" scale="68" orientation="landscape" r:id="rId1"/>
  <headerFooter alignWithMargins="0"/>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281">
    <pageSetUpPr fitToPage="1"/>
  </sheetPr>
  <dimension ref="A1:V30"/>
  <sheetViews>
    <sheetView topLeftCell="A6" workbookViewId="0">
      <selection activeCell="C23" sqref="C23"/>
    </sheetView>
  </sheetViews>
  <sheetFormatPr baseColWidth="10" defaultColWidth="11" defaultRowHeight="15"/>
  <cols>
    <col min="1" max="1" width="18.625" style="36" customWidth="1"/>
    <col min="2" max="2" width="11" style="36"/>
    <col min="3" max="3" width="13.5" style="36" customWidth="1"/>
    <col min="4" max="7" width="11" style="36"/>
    <col min="8" max="8" width="6.125" style="36" customWidth="1"/>
    <col min="9" max="9" width="16.125" style="36" customWidth="1"/>
    <col min="10" max="10" width="11.875" style="36" bestFit="1" customWidth="1"/>
    <col min="11" max="11" width="12" style="36" customWidth="1"/>
    <col min="12" max="13" width="11" style="36"/>
    <col min="14" max="14" width="10.5" style="36" customWidth="1"/>
    <col min="15" max="16" width="11" style="36"/>
    <col min="17" max="17" width="11.75" style="36" bestFit="1" customWidth="1"/>
    <col min="18" max="22" width="11.375" style="36" customWidth="1"/>
    <col min="23" max="16384" width="11" style="36"/>
  </cols>
  <sheetData>
    <row r="1" spans="1:22" ht="23.25">
      <c r="A1" s="68" t="str">
        <f>'Dados Básicos'!$I$43&amp;" Profissionais e Trabalhadores independentes"</f>
        <v>I.R.S. Profissionais e Trabalhadores independentes</v>
      </c>
      <c r="K1" s="1010" t="str">
        <f>IF(irpf=0,CONCATENATE("Forma Jurídica: ",'Dados Básicos'!B24),"")</f>
        <v>Forma Jurídica: Sociedade Responsabilidade Limitada  ( S.R.L. )</v>
      </c>
    </row>
    <row r="2" spans="1:22" s="62" customFormat="1" ht="23.25">
      <c r="A2" s="68" t="str">
        <f>"Previsões de retenções e pagamentos do "&amp;'Dados Básicos'!$I$43</f>
        <v>Previsões de retenções e pagamentos do I.R.S.</v>
      </c>
      <c r="B2" s="1011"/>
      <c r="K2" s="1010" t="str">
        <f>IF($K$1="","","Não sujeto ao "&amp;'Dados Básicos'!$I$43)</f>
        <v>Não sujeto ao I.R.S.</v>
      </c>
    </row>
    <row r="3" spans="1:22" s="62" customFormat="1" ht="23.25">
      <c r="A3" s="68" t="str">
        <f>'Prev.Vendas 0'!A2</f>
        <v>WWW, S.L.</v>
      </c>
      <c r="B3" s="1011"/>
      <c r="K3" s="1010" t="str">
        <f>IF(K1="","","TRIBUTAÇÃO EM "&amp;'Dados Básicos'!$H$44)</f>
        <v>TRIBUTAÇÃO EM Imposto Pessoas Coletivas</v>
      </c>
    </row>
    <row r="4" spans="1:22" s="62" customFormat="1" ht="22.5">
      <c r="A4" s="68"/>
      <c r="B4" s="1011"/>
    </row>
    <row r="5" spans="1:22" ht="23.25" thickBot="1">
      <c r="A5" s="68" t="str">
        <f>"Dados para as declarações anuais do "&amp;'Dados Básicos'!$H$43</f>
        <v>Dados para as declarações anuais do Imposto Pessoas Singulares</v>
      </c>
    </row>
    <row r="6" spans="1:22" ht="20.25" customHeight="1" thickTop="1" thickBot="1">
      <c r="A6" s="60"/>
      <c r="J6" s="1048" t="str">
        <f>"Tabela de Taxas em Portugal do "&amp;'Dados Básicos'!$I$43&amp;" em Euros (ex. 2023)"</f>
        <v>Tabela de Taxas em Portugal do I.R.S. em Euros (ex. 2023)</v>
      </c>
      <c r="K6" s="1049"/>
      <c r="L6" s="1049"/>
      <c r="M6" s="1049"/>
      <c r="N6" s="1050"/>
      <c r="P6" s="2531">
        <v>2023</v>
      </c>
      <c r="R6" s="740" t="str">
        <f>"Cálculo detalhado tramos "&amp;'Dados Básicos'!$I$43&amp;" por socio"</f>
        <v>Cálculo detalhado tramos I.R.S. por socio</v>
      </c>
      <c r="S6" s="3141"/>
      <c r="T6" s="3141"/>
      <c r="U6" s="3141"/>
      <c r="V6" s="3143"/>
    </row>
    <row r="7" spans="1:22" ht="31.5" customHeight="1" thickTop="1" thickBot="1">
      <c r="A7" s="1029"/>
      <c r="B7" s="1030"/>
      <c r="C7" s="2111" t="str">
        <f t="array" ref="C7:G7">anni</f>
        <v>Ano 0:  2026</v>
      </c>
      <c r="D7" s="2112" t="str">
        <v>Ano 1:  2027</v>
      </c>
      <c r="E7" s="2113" t="str">
        <v>Ano 2:  2028</v>
      </c>
      <c r="F7" s="2111" t="str">
        <v>Ano 3:  2029</v>
      </c>
      <c r="G7" s="2114" t="str">
        <v>Ano 4:  2030</v>
      </c>
      <c r="J7" s="2464" t="s">
        <v>50</v>
      </c>
      <c r="K7" s="2465" t="s">
        <v>1091</v>
      </c>
      <c r="L7" s="2471" t="s">
        <v>1079</v>
      </c>
      <c r="M7" s="2466" t="s">
        <v>49</v>
      </c>
      <c r="N7" s="2467" t="s">
        <v>3</v>
      </c>
      <c r="P7" s="2534" t="s">
        <v>324</v>
      </c>
      <c r="R7" s="2115" t="str">
        <f t="array" ref="R7:V7">anni</f>
        <v>Ano 0:  2026</v>
      </c>
      <c r="S7" s="2115" t="str">
        <v>Ano 1:  2027</v>
      </c>
      <c r="T7" s="2115" t="str">
        <v>Ano 2:  2028</v>
      </c>
      <c r="U7" s="2115" t="str">
        <v>Ano 3:  2029</v>
      </c>
      <c r="V7" s="2115" t="str">
        <v>Ano 4:  2030</v>
      </c>
    </row>
    <row r="8" spans="1:22">
      <c r="A8" s="1032" t="s">
        <v>823</v>
      </c>
      <c r="B8" s="360"/>
      <c r="C8" s="1012"/>
      <c r="D8" s="1013"/>
      <c r="E8" s="770"/>
      <c r="F8" s="1012"/>
      <c r="G8" s="1033"/>
      <c r="J8" s="1096">
        <v>0</v>
      </c>
      <c r="K8" s="1094">
        <f t="shared" ref="K8:K15" si="0">J9-0.01</f>
        <v>7478.99</v>
      </c>
      <c r="L8" s="1025">
        <v>0</v>
      </c>
      <c r="M8" s="1026">
        <v>0.14499999999999999</v>
      </c>
      <c r="N8" s="1051">
        <f t="shared" ref="N8:N16" si="1">L8+M8</f>
        <v>0.14499999999999999</v>
      </c>
      <c r="P8" s="2532"/>
      <c r="R8" s="3144">
        <f t="shared" ref="R8:V9" si="2">IF(K$21&gt;=$J8,(MIN($K8,K$21)-$J8)*$N8,0)</f>
        <v>0</v>
      </c>
      <c r="S8" s="3142">
        <f t="shared" si="2"/>
        <v>0</v>
      </c>
      <c r="T8" s="3142">
        <f t="shared" si="2"/>
        <v>0</v>
      </c>
      <c r="U8" s="3142">
        <f t="shared" si="2"/>
        <v>0</v>
      </c>
      <c r="V8" s="3145">
        <f t="shared" si="2"/>
        <v>0</v>
      </c>
    </row>
    <row r="9" spans="1:22">
      <c r="A9" s="1034"/>
      <c r="B9" s="1092" t="s">
        <v>824</v>
      </c>
      <c r="C9" s="2680">
        <f>IF(irpf&lt;&gt;0,'Prev.Vendas 0'!$N$25,0)</f>
        <v>0</v>
      </c>
      <c r="D9" s="2681">
        <f>IF(irpf&lt;&gt;0,'Prev.Vendas 1'!$N$25,0)</f>
        <v>0</v>
      </c>
      <c r="E9" s="2682">
        <f>IF(irpf&lt;&gt;0,'Prev.Vendas 2'!$N$25,0)</f>
        <v>0</v>
      </c>
      <c r="F9" s="2680">
        <f>IF(irpf&lt;&gt;0,'Prev.Vendas 3'!$N$25,0)</f>
        <v>0</v>
      </c>
      <c r="G9" s="2683">
        <f>IF(irpf&lt;&gt;0,'Prev.Vendas 4'!$N$25,0)</f>
        <v>0</v>
      </c>
      <c r="J9" s="1097">
        <v>7479</v>
      </c>
      <c r="K9" s="1095">
        <f t="shared" si="0"/>
        <v>11283.99</v>
      </c>
      <c r="L9" s="1027">
        <v>0</v>
      </c>
      <c r="M9" s="1028">
        <v>0.21</v>
      </c>
      <c r="N9" s="1052">
        <f t="shared" si="1"/>
        <v>0.21</v>
      </c>
      <c r="P9" s="2532"/>
      <c r="R9" s="3144">
        <f t="shared" si="2"/>
        <v>0</v>
      </c>
      <c r="S9" s="3142">
        <f t="shared" si="2"/>
        <v>0</v>
      </c>
      <c r="T9" s="3142">
        <f t="shared" si="2"/>
        <v>0</v>
      </c>
      <c r="U9" s="3142">
        <f t="shared" si="2"/>
        <v>0</v>
      </c>
      <c r="V9" s="3146">
        <f t="shared" si="2"/>
        <v>0</v>
      </c>
    </row>
    <row r="10" spans="1:22">
      <c r="A10" s="1035"/>
      <c r="B10" s="1093" t="s">
        <v>825</v>
      </c>
      <c r="C10" s="2666">
        <f>IF(irpf&lt;&gt;0,'PyG 0'!$N$6,0)</f>
        <v>0</v>
      </c>
      <c r="D10" s="2667">
        <f>IF(irpf&lt;&gt;0,'PyG 1'!$N$6,0)</f>
        <v>0</v>
      </c>
      <c r="E10" s="2668">
        <f>IF(irpf&lt;&gt;0,'PyG 2'!$N$6,0)</f>
        <v>0</v>
      </c>
      <c r="F10" s="2666">
        <f>IF(irpf&lt;&gt;0,'PyG 3'!$N$6,0)</f>
        <v>0</v>
      </c>
      <c r="G10" s="2669">
        <f>IF(irpf&lt;&gt;0,'PyG 4'!$N$6,0)</f>
        <v>0</v>
      </c>
      <c r="J10" s="1098">
        <v>11284</v>
      </c>
      <c r="K10" s="1095">
        <f t="shared" si="0"/>
        <v>15991.99</v>
      </c>
      <c r="L10" s="1027">
        <v>0</v>
      </c>
      <c r="M10" s="1028">
        <v>0.26500000000000001</v>
      </c>
      <c r="N10" s="1052">
        <f t="shared" si="1"/>
        <v>0.26500000000000001</v>
      </c>
      <c r="O10" s="1005"/>
      <c r="P10" s="2532"/>
      <c r="R10" s="3144">
        <f t="shared" ref="R10:R15" si="3">IF(K$21&gt;=$J10,(MIN($K10,K$21)-$J10)*$N10,0)</f>
        <v>0</v>
      </c>
      <c r="S10" s="3142">
        <f t="shared" ref="S10:V16" si="4">IF(L$21&gt;=$J10,(MIN($K10,L$21)-$J10)*$N10,0)</f>
        <v>0</v>
      </c>
      <c r="T10" s="3142">
        <f t="shared" si="4"/>
        <v>0</v>
      </c>
      <c r="U10" s="3142">
        <f t="shared" si="4"/>
        <v>0</v>
      </c>
      <c r="V10" s="3146">
        <f t="shared" si="4"/>
        <v>0</v>
      </c>
    </row>
    <row r="11" spans="1:22">
      <c r="A11" s="1035"/>
      <c r="B11" s="1091" t="s">
        <v>826</v>
      </c>
      <c r="C11" s="2666">
        <f>C9+C10</f>
        <v>0</v>
      </c>
      <c r="D11" s="2667">
        <f>D9+D10</f>
        <v>0</v>
      </c>
      <c r="E11" s="2668">
        <f>E9+E10</f>
        <v>0</v>
      </c>
      <c r="F11" s="2666">
        <f>F9+F10</f>
        <v>0</v>
      </c>
      <c r="G11" s="2669">
        <f>G9+G10</f>
        <v>0</v>
      </c>
      <c r="J11" s="1098">
        <v>15992</v>
      </c>
      <c r="K11" s="1095">
        <f t="shared" si="0"/>
        <v>20699.990000000002</v>
      </c>
      <c r="L11" s="1027">
        <v>0</v>
      </c>
      <c r="M11" s="1028">
        <v>0.28499999999999998</v>
      </c>
      <c r="N11" s="1052">
        <f t="shared" si="1"/>
        <v>0.28499999999999998</v>
      </c>
      <c r="O11" s="1005"/>
      <c r="P11" s="2532"/>
      <c r="R11" s="3144">
        <f t="shared" si="3"/>
        <v>0</v>
      </c>
      <c r="S11" s="3142">
        <f t="shared" si="4"/>
        <v>0</v>
      </c>
      <c r="T11" s="3142">
        <f t="shared" si="4"/>
        <v>0</v>
      </c>
      <c r="U11" s="3142">
        <f t="shared" si="4"/>
        <v>0</v>
      </c>
      <c r="V11" s="3146">
        <f t="shared" si="4"/>
        <v>0</v>
      </c>
    </row>
    <row r="12" spans="1:22">
      <c r="A12" s="1035"/>
      <c r="B12" s="1006"/>
      <c r="C12" s="1014"/>
      <c r="D12" s="1015"/>
      <c r="E12" s="1016"/>
      <c r="F12" s="1014"/>
      <c r="G12" s="1036"/>
      <c r="J12" s="1098">
        <v>20700</v>
      </c>
      <c r="K12" s="1095">
        <f t="shared" si="0"/>
        <v>26354.99</v>
      </c>
      <c r="L12" s="1027">
        <v>2.5000000000000001E-2</v>
      </c>
      <c r="M12" s="1028">
        <v>0.35</v>
      </c>
      <c r="N12" s="1052">
        <f t="shared" si="1"/>
        <v>0.375</v>
      </c>
      <c r="O12" s="1005"/>
      <c r="P12" s="2532"/>
      <c r="R12" s="3144">
        <f t="shared" si="3"/>
        <v>0</v>
      </c>
      <c r="S12" s="3142">
        <f t="shared" si="4"/>
        <v>0</v>
      </c>
      <c r="T12" s="3142">
        <f t="shared" si="4"/>
        <v>0</v>
      </c>
      <c r="U12" s="3142">
        <f t="shared" si="4"/>
        <v>0</v>
      </c>
      <c r="V12" s="3146">
        <f t="shared" si="4"/>
        <v>0</v>
      </c>
    </row>
    <row r="13" spans="1:22">
      <c r="A13" s="1037"/>
      <c r="B13" s="1090" t="s">
        <v>827</v>
      </c>
      <c r="C13" s="2666">
        <f>IF(irpf&lt;&gt;0,'Distr CV 0'!$N$28,0)</f>
        <v>0</v>
      </c>
      <c r="D13" s="2667">
        <f>IF(irpf&lt;&gt;0,'Distr CV 1'!$N$28,0)</f>
        <v>0</v>
      </c>
      <c r="E13" s="2668">
        <f>IF(irpf&lt;&gt;0,'Distr CV 2'!$N$28,0)</f>
        <v>0</v>
      </c>
      <c r="F13" s="2666">
        <f>IF(irpf&lt;&gt;0,'Distr CV 3'!$N$28,0)</f>
        <v>0</v>
      </c>
      <c r="G13" s="2669">
        <f>IF(irpf&lt;&gt;0,'Distr CV 4'!$N$28,0)</f>
        <v>0</v>
      </c>
      <c r="J13" s="1098">
        <v>26355</v>
      </c>
      <c r="K13" s="1095">
        <f t="shared" si="0"/>
        <v>38631.99</v>
      </c>
      <c r="L13" s="1027">
        <v>2.5000000000000001E-2</v>
      </c>
      <c r="M13" s="1028">
        <v>0.37</v>
      </c>
      <c r="N13" s="1052">
        <f t="shared" si="1"/>
        <v>0.39500000000000002</v>
      </c>
      <c r="O13" s="1005"/>
      <c r="P13" s="2532"/>
      <c r="R13" s="3144">
        <f t="shared" si="3"/>
        <v>0</v>
      </c>
      <c r="S13" s="3142">
        <f t="shared" si="4"/>
        <v>0</v>
      </c>
      <c r="T13" s="3142">
        <f t="shared" si="4"/>
        <v>0</v>
      </c>
      <c r="U13" s="3142">
        <f t="shared" si="4"/>
        <v>0</v>
      </c>
      <c r="V13" s="3146">
        <f t="shared" si="4"/>
        <v>0</v>
      </c>
    </row>
    <row r="14" spans="1:22">
      <c r="A14" s="1037"/>
      <c r="B14" s="1090" t="s">
        <v>828</v>
      </c>
      <c r="C14" s="2666">
        <f>IF(irpf&lt;&gt;0,'G.F. 0'!N27-SUM('Resumo Despesas Fixas'!B5:B6),0)</f>
        <v>0</v>
      </c>
      <c r="D14" s="2667">
        <f>IF(irpf&lt;&gt;0,'G.F. 1'!N27-SUM('Resumo Despesas Fixas'!C5:C6),0)</f>
        <v>0</v>
      </c>
      <c r="E14" s="2668">
        <f>IF(irpf&lt;&gt;0,'G.F. 2'!$N$27-SUM('Resumo Despesas Fixas'!D5:D6),0)</f>
        <v>0</v>
      </c>
      <c r="F14" s="2666">
        <f>IF(irpf&lt;&gt;0,'G.F. 3'!$N$27-SUM('Resumo Despesas Fixas'!E5:E6),0)</f>
        <v>0</v>
      </c>
      <c r="G14" s="2669">
        <f>IF(irpf&lt;&gt;0,'G.F. 4'!$N$27-SUM('Resumo Despesas Fixas'!F5:F6),0)</f>
        <v>0</v>
      </c>
      <c r="J14" s="1098">
        <v>38632</v>
      </c>
      <c r="K14" s="1095">
        <f t="shared" si="0"/>
        <v>50482.99</v>
      </c>
      <c r="L14" s="1027">
        <v>0.05</v>
      </c>
      <c r="M14" s="1028">
        <v>0.435</v>
      </c>
      <c r="N14" s="1052">
        <f t="shared" si="1"/>
        <v>0.48499999999999999</v>
      </c>
      <c r="O14" s="1005"/>
      <c r="P14" s="2532"/>
      <c r="R14" s="3144">
        <f t="shared" si="3"/>
        <v>0</v>
      </c>
      <c r="S14" s="3142">
        <f t="shared" si="4"/>
        <v>0</v>
      </c>
      <c r="T14" s="3142">
        <f t="shared" si="4"/>
        <v>0</v>
      </c>
      <c r="U14" s="3142">
        <f t="shared" si="4"/>
        <v>0</v>
      </c>
      <c r="V14" s="3146">
        <f t="shared" si="4"/>
        <v>0</v>
      </c>
    </row>
    <row r="15" spans="1:22">
      <c r="A15" s="1037"/>
      <c r="B15" s="1090" t="s">
        <v>829</v>
      </c>
      <c r="C15" s="2666">
        <f>IF(irpf&lt;&gt;0,'G.F. 0'!$N$55,0)</f>
        <v>0</v>
      </c>
      <c r="D15" s="2667">
        <f>IF(irpf&lt;&gt;0,'G.F. 1'!$N$55,0)</f>
        <v>0</v>
      </c>
      <c r="E15" s="2668">
        <f>IF(irpf&lt;&gt;0,'G.F. 2'!$N$55,0)</f>
        <v>0</v>
      </c>
      <c r="F15" s="2666">
        <f>IF(irpf&lt;&gt;0,'G.F. 3'!$N$55,0)</f>
        <v>0</v>
      </c>
      <c r="G15" s="2669">
        <f>IF(irpf&lt;&gt;0,'G.F. 4'!$N$55,0)</f>
        <v>0</v>
      </c>
      <c r="J15" s="1098">
        <v>50483</v>
      </c>
      <c r="K15" s="1095">
        <f t="shared" si="0"/>
        <v>78833.990000000005</v>
      </c>
      <c r="L15" s="3184">
        <v>0.05</v>
      </c>
      <c r="M15" s="3185">
        <v>0.45</v>
      </c>
      <c r="N15" s="3186">
        <f t="shared" si="1"/>
        <v>0.5</v>
      </c>
      <c r="O15" s="1005"/>
      <c r="P15" s="3187"/>
      <c r="R15" s="3144">
        <f t="shared" si="3"/>
        <v>0</v>
      </c>
      <c r="S15" s="3148">
        <f t="shared" si="4"/>
        <v>0</v>
      </c>
      <c r="T15" s="3148">
        <f t="shared" si="4"/>
        <v>0</v>
      </c>
      <c r="U15" s="3148">
        <f t="shared" si="4"/>
        <v>0</v>
      </c>
      <c r="V15" s="3149">
        <f t="shared" si="4"/>
        <v>0</v>
      </c>
    </row>
    <row r="16" spans="1:22" ht="15.75" thickBot="1">
      <c r="A16" s="1037"/>
      <c r="B16" s="1090" t="s">
        <v>830</v>
      </c>
      <c r="C16" s="2674">
        <f t="array" ref="C16:G16">IF(irpf&lt;&gt;0,Amortiçações!D41:H41,0)</f>
        <v>0</v>
      </c>
      <c r="D16" s="2674">
        <v>0</v>
      </c>
      <c r="E16" s="2675">
        <v>0</v>
      </c>
      <c r="F16" s="2674">
        <v>0</v>
      </c>
      <c r="G16" s="2676">
        <v>0</v>
      </c>
      <c r="J16" s="1099">
        <v>78834</v>
      </c>
      <c r="K16" s="1053"/>
      <c r="L16" s="1054">
        <v>0.05</v>
      </c>
      <c r="M16" s="1055">
        <v>0.48</v>
      </c>
      <c r="N16" s="1056">
        <f t="shared" si="1"/>
        <v>0.53</v>
      </c>
      <c r="O16" s="1005"/>
      <c r="P16" s="2533"/>
      <c r="R16" s="3147">
        <f>IF(K$21&gt;=$J16,(MIN($K16,K$21)-$J16)*$N16,0)</f>
        <v>0</v>
      </c>
      <c r="S16" s="3148">
        <f t="shared" si="4"/>
        <v>0</v>
      </c>
      <c r="T16" s="3148">
        <f t="shared" si="4"/>
        <v>0</v>
      </c>
      <c r="U16" s="3148">
        <f t="shared" si="4"/>
        <v>0</v>
      </c>
      <c r="V16" s="3149">
        <f t="shared" si="4"/>
        <v>0</v>
      </c>
    </row>
    <row r="17" spans="1:22" ht="16.5" thickTop="1" thickBot="1">
      <c r="A17" s="1037"/>
      <c r="B17" s="1090" t="s">
        <v>831</v>
      </c>
      <c r="C17" s="2674">
        <f>IF(irpf&lt;&gt;0,-'PPeGG anuais'!B27,0)</f>
        <v>0</v>
      </c>
      <c r="D17" s="2677">
        <f>IF(irpf&lt;&gt;0,-'PPeGG anuais'!D27,0)</f>
        <v>0</v>
      </c>
      <c r="E17" s="2675">
        <f>IF(irpf&lt;&gt;0,-'PPeGG anuais'!G27,0)</f>
        <v>0</v>
      </c>
      <c r="F17" s="2678">
        <f>IF(irpf&lt;&gt;0,-'PPeGG anuais'!J27,0)</f>
        <v>0</v>
      </c>
      <c r="G17" s="2679">
        <f>IF(irpf&lt;&gt;0,-'PPeGG anuais'!M27,0)</f>
        <v>0</v>
      </c>
      <c r="I17" s="1007"/>
      <c r="K17" s="1005"/>
      <c r="L17" s="1005"/>
      <c r="M17" s="1005"/>
      <c r="R17" s="3150">
        <f>SUM(R8:R16)</f>
        <v>0</v>
      </c>
      <c r="S17" s="3151">
        <f>SUM(S8:S16)</f>
        <v>0</v>
      </c>
      <c r="T17" s="3151">
        <f>SUM(T8:T16)</f>
        <v>0</v>
      </c>
      <c r="U17" s="3151">
        <f>SUM(U8:U16)</f>
        <v>0</v>
      </c>
      <c r="V17" s="3152">
        <f>SUM(V8:V16)</f>
        <v>0</v>
      </c>
    </row>
    <row r="18" spans="1:22" ht="31.5" customHeight="1" thickTop="1" thickBot="1">
      <c r="A18" s="1037"/>
      <c r="B18" s="1091" t="s">
        <v>832</v>
      </c>
      <c r="C18" s="2684">
        <f>SUM(C13:C17)</f>
        <v>0</v>
      </c>
      <c r="D18" s="2685">
        <f>SUM(D13:D17)</f>
        <v>0</v>
      </c>
      <c r="E18" s="2686">
        <f>SUM(E13:E17)</f>
        <v>0</v>
      </c>
      <c r="F18" s="2684">
        <f>SUM(F13:F17)</f>
        <v>0</v>
      </c>
      <c r="G18" s="2687">
        <f>SUM(G13:G17)</f>
        <v>0</v>
      </c>
      <c r="I18" s="1059" t="s">
        <v>813</v>
      </c>
      <c r="J18" s="1060"/>
      <c r="K18" s="1060"/>
      <c r="L18" s="1060"/>
      <c r="M18" s="1061"/>
      <c r="N18" s="1045"/>
      <c r="O18" s="1046"/>
    </row>
    <row r="19" spans="1:22" ht="30.75" thickBot="1">
      <c r="A19" s="1035"/>
      <c r="B19" s="365"/>
      <c r="C19" s="1017"/>
      <c r="D19" s="905"/>
      <c r="E19" s="1018"/>
      <c r="F19" s="1017"/>
      <c r="G19" s="1038"/>
      <c r="I19" s="1047"/>
      <c r="J19" s="2468" t="s">
        <v>814</v>
      </c>
      <c r="K19" s="2115" t="str">
        <f t="array" ref="K19:O19">anni</f>
        <v>Ano 0:  2026</v>
      </c>
      <c r="L19" s="2116" t="str">
        <v>Ano 1:  2027</v>
      </c>
      <c r="M19" s="2115" t="str">
        <v>Ano 2:  2028</v>
      </c>
      <c r="N19" s="2115" t="str">
        <v>Ano 3:  2029</v>
      </c>
      <c r="O19" s="2117" t="str">
        <v>Ano 4:  2030</v>
      </c>
    </row>
    <row r="20" spans="1:22" ht="15.75" thickBot="1">
      <c r="A20" s="1039"/>
      <c r="B20" s="1009" t="str">
        <f>"Base Imponível "&amp;'Dados Básicos'!$I$43</f>
        <v>Base Imponível I.R.S.</v>
      </c>
      <c r="C20" s="2688">
        <f t="array" ref="C20:G20">IF(C11:G11-C18:G18&lt;0,0,C11:G11-C18:G18)</f>
        <v>0</v>
      </c>
      <c r="D20" s="2689">
        <v>0</v>
      </c>
      <c r="E20" s="2690">
        <v>0</v>
      </c>
      <c r="F20" s="2688">
        <v>0</v>
      </c>
      <c r="G20" s="2691">
        <v>0</v>
      </c>
      <c r="I20" s="1062"/>
      <c r="J20" s="2469" t="s">
        <v>815</v>
      </c>
      <c r="K20" s="1416">
        <f>MAX('Quadro Pessoal'!O23,1)</f>
        <v>1</v>
      </c>
      <c r="L20" s="1411">
        <f>MAX('Quadro Pessoal'!O42,1)</f>
        <v>1</v>
      </c>
      <c r="M20" s="1416">
        <f>MAX('Quadro Pessoal'!O61,1)</f>
        <v>1</v>
      </c>
      <c r="N20" s="1416">
        <f>MAX('Quadro Pessoal'!O80,1)</f>
        <v>1</v>
      </c>
      <c r="O20" s="1063">
        <f>MAX('Quadro Pessoal'!O99,1)</f>
        <v>1</v>
      </c>
    </row>
    <row r="21" spans="1:22" ht="15.75" thickBot="1">
      <c r="A21" s="1031"/>
      <c r="B21" s="719"/>
      <c r="C21" s="1019"/>
      <c r="D21" s="1020"/>
      <c r="E21" s="1021"/>
      <c r="F21" s="1019"/>
      <c r="G21" s="1040"/>
      <c r="I21" s="1037"/>
      <c r="J21" s="1091" t="s">
        <v>816</v>
      </c>
      <c r="K21" s="1417">
        <f t="array" ref="K21:O21">IF(C20:G20=0,0,C20:G20/K20:O20)</f>
        <v>0</v>
      </c>
      <c r="L21" s="1412">
        <v>0</v>
      </c>
      <c r="M21" s="1417">
        <v>0</v>
      </c>
      <c r="N21" s="1417">
        <v>0</v>
      </c>
      <c r="O21" s="1100">
        <v>0</v>
      </c>
    </row>
    <row r="22" spans="1:22">
      <c r="A22" s="1041" t="s">
        <v>833</v>
      </c>
      <c r="B22" s="1013"/>
      <c r="C22" s="1022"/>
      <c r="D22" s="1023"/>
      <c r="E22" s="1024"/>
      <c r="F22" s="1022"/>
      <c r="G22" s="1042"/>
      <c r="I22" s="1035"/>
      <c r="J22" s="393"/>
      <c r="K22" s="1017"/>
      <c r="L22" s="905"/>
      <c r="M22" s="1017"/>
      <c r="N22" s="1017"/>
      <c r="O22" s="1101"/>
    </row>
    <row r="23" spans="1:22">
      <c r="A23" s="1037"/>
      <c r="B23" s="1090" t="s">
        <v>834</v>
      </c>
      <c r="C23" s="2666">
        <f ca="1">'Ret IRS'!N9</f>
        <v>0</v>
      </c>
      <c r="D23" s="2667">
        <f ca="1">'Ret IRS'!N18</f>
        <v>0</v>
      </c>
      <c r="E23" s="2668">
        <f ca="1">'Ret IRS'!N27</f>
        <v>0</v>
      </c>
      <c r="F23" s="2666">
        <f ca="1">'Ret IRS'!N36</f>
        <v>0</v>
      </c>
      <c r="G23" s="2669">
        <f ca="1">'Ret IRS'!N45</f>
        <v>0</v>
      </c>
      <c r="I23" s="1037"/>
      <c r="J23" s="1091" t="s">
        <v>817</v>
      </c>
      <c r="K23" s="1417">
        <f>R17</f>
        <v>0</v>
      </c>
      <c r="L23" s="1412">
        <f>S17</f>
        <v>0</v>
      </c>
      <c r="M23" s="1417">
        <f t="shared" ref="M23:O23" si="5">T17</f>
        <v>0</v>
      </c>
      <c r="N23" s="1417">
        <f t="shared" si="5"/>
        <v>0</v>
      </c>
      <c r="O23" s="1100">
        <f t="shared" si="5"/>
        <v>0</v>
      </c>
    </row>
    <row r="24" spans="1:22">
      <c r="A24" s="1037"/>
      <c r="B24" s="1090" t="s">
        <v>835</v>
      </c>
      <c r="C24" s="2666">
        <f ca="1">SUM('Ret IRS'!C13:N13)</f>
        <v>0</v>
      </c>
      <c r="D24" s="2667">
        <f ca="1">SUM('Ret IRS'!C22:N22)</f>
        <v>0</v>
      </c>
      <c r="E24" s="2668">
        <f ca="1">SUM('Ret IRS'!C31:N31)</f>
        <v>0</v>
      </c>
      <c r="F24" s="2666">
        <f ca="1">SUM('Ret IRS'!C40:N40)</f>
        <v>0</v>
      </c>
      <c r="G24" s="2669">
        <f ca="1">SUM('Ret IRS'!C49:N49)</f>
        <v>0</v>
      </c>
      <c r="I24" s="1037"/>
      <c r="J24" s="1091" t="s">
        <v>818</v>
      </c>
      <c r="K24" s="1418">
        <f t="array" ref="K24:O24" ca="1">IF(K20:O20=0,0,C25:G25/K20:O20)</f>
        <v>0</v>
      </c>
      <c r="L24" s="1413">
        <f ca="1"/>
        <v>0</v>
      </c>
      <c r="M24" s="1418">
        <f ca="1"/>
        <v>0</v>
      </c>
      <c r="N24" s="1418">
        <f ca="1"/>
        <v>0</v>
      </c>
      <c r="O24" s="1102">
        <f ca="1"/>
        <v>0</v>
      </c>
    </row>
    <row r="25" spans="1:22" ht="15.75" thickBot="1">
      <c r="A25" s="1043"/>
      <c r="B25" s="1044" t="s">
        <v>836</v>
      </c>
      <c r="C25" s="2670">
        <f t="array" ref="C25:G25" ca="1">C23:G23+C24:G24</f>
        <v>0</v>
      </c>
      <c r="D25" s="2671">
        <f ca="1"/>
        <v>0</v>
      </c>
      <c r="E25" s="2672">
        <f ca="1"/>
        <v>0</v>
      </c>
      <c r="F25" s="2670">
        <f ca="1"/>
        <v>0</v>
      </c>
      <c r="G25" s="2673">
        <f ca="1"/>
        <v>0</v>
      </c>
      <c r="I25" s="1035"/>
      <c r="J25" s="365"/>
      <c r="K25" s="1017"/>
      <c r="L25" s="905"/>
      <c r="M25" s="1017"/>
      <c r="N25" s="1017"/>
      <c r="O25" s="1101"/>
    </row>
    <row r="26" spans="1:22" s="62" customFormat="1" ht="18.75" customHeight="1" thickTop="1" thickBot="1">
      <c r="A26" s="60"/>
      <c r="B26" s="61"/>
      <c r="I26" s="1037"/>
      <c r="J26" s="1091" t="s">
        <v>819</v>
      </c>
      <c r="K26" s="1417">
        <f t="array" ref="K26:O26" ca="1">K23:O23-K24:O24</f>
        <v>0</v>
      </c>
      <c r="L26" s="1412">
        <f ca="1"/>
        <v>0</v>
      </c>
      <c r="M26" s="1417">
        <f ca="1"/>
        <v>0</v>
      </c>
      <c r="N26" s="1417">
        <f ca="1"/>
        <v>0</v>
      </c>
      <c r="O26" s="1100">
        <f ca="1"/>
        <v>0</v>
      </c>
      <c r="P26" s="36"/>
      <c r="Q26" s="36"/>
      <c r="R26" s="36"/>
      <c r="S26" s="36"/>
      <c r="T26" s="36"/>
      <c r="U26" s="36"/>
      <c r="V26" s="36"/>
    </row>
    <row r="27" spans="1:22" s="62" customFormat="1" ht="18.75" customHeight="1" thickBot="1">
      <c r="A27" s="36"/>
      <c r="B27" s="255" t="s">
        <v>61</v>
      </c>
      <c r="C27" s="1613">
        <f>+J9</f>
        <v>7479</v>
      </c>
      <c r="D27" s="36"/>
      <c r="E27" s="36"/>
      <c r="F27" s="36"/>
      <c r="G27" s="36"/>
      <c r="I27" s="1031"/>
      <c r="J27" s="1410" t="s">
        <v>820</v>
      </c>
      <c r="K27" s="1419">
        <f ca="1">IF(K26=0,'Ret IRS'!N11,0)</f>
        <v>0</v>
      </c>
      <c r="L27" s="1414">
        <f ca="1">IF(L26=0,'Ret IRS'!N20,0)</f>
        <v>0</v>
      </c>
      <c r="M27" s="1419">
        <f ca="1">IF(M26=0,'Ret IRS'!N29,0)</f>
        <v>0</v>
      </c>
      <c r="N27" s="1419">
        <f ca="1">IF(N26=0,'Ret IRS'!N38,0)</f>
        <v>0</v>
      </c>
      <c r="O27" s="1103">
        <f ca="1">IF(O26=0,'Ret IRS'!N47,0)</f>
        <v>0</v>
      </c>
      <c r="Q27" s="239"/>
    </row>
    <row r="28" spans="1:22" ht="15.75" thickBot="1">
      <c r="I28" s="1057"/>
      <c r="J28" s="2470" t="s">
        <v>821</v>
      </c>
      <c r="K28" s="1420">
        <f t="array" ref="K28:O28">IF(K21:O21=0,0,K23:O23/K21:O21)</f>
        <v>0</v>
      </c>
      <c r="L28" s="1415">
        <v>0</v>
      </c>
      <c r="M28" s="1420">
        <v>0</v>
      </c>
      <c r="N28" s="1421">
        <v>0</v>
      </c>
      <c r="O28" s="1058">
        <v>0</v>
      </c>
      <c r="P28" s="62"/>
      <c r="Q28" s="239"/>
      <c r="R28" s="62"/>
      <c r="S28" s="62"/>
      <c r="T28" s="62"/>
      <c r="U28" s="62"/>
      <c r="V28" s="62"/>
    </row>
    <row r="29" spans="1:22" ht="16.5" thickTop="1" thickBot="1"/>
    <row r="30" spans="1:22" ht="15.75" thickBot="1">
      <c r="I30" s="2565"/>
      <c r="J30" s="2566" t="s">
        <v>822</v>
      </c>
      <c r="K30" s="2567">
        <f>IF(K20&gt;0,K21/K20/12,0)</f>
        <v>0</v>
      </c>
      <c r="L30" s="2568">
        <f>IF(L20&gt;0,L21/L20/12,0)</f>
        <v>0</v>
      </c>
      <c r="M30" s="2567">
        <f>IF(M20&gt;0,M21/M20/12,0)</f>
        <v>0</v>
      </c>
      <c r="N30" s="2567">
        <f>IF(N20&gt;0,N21/N20/12,0)</f>
        <v>0</v>
      </c>
      <c r="O30" s="2569">
        <f>IF(O20&gt;0,O21/O20/12,0)</f>
        <v>0</v>
      </c>
    </row>
  </sheetData>
  <sheetProtection sheet="1" objects="1" scenarios="1"/>
  <phoneticPr fontId="4" type="noConversion"/>
  <printOptions horizontalCentered="1"/>
  <pageMargins left="0.56999999999999995" right="0.75" top="0.46" bottom="1" header="0" footer="0"/>
  <pageSetup paperSize="9" scale="70" orientation="landscape" horizontalDpi="300" r:id="rId1"/>
  <headerFooter alignWithMargins="0"/>
  <rowBreaks count="1" manualBreakCount="1">
    <brk id="35" max="16383" man="1"/>
  </rowBreaks>
  <drawing r:id="rId2"/>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20">
    <tabColor indexed="42"/>
    <pageSetUpPr fitToPage="1"/>
  </sheetPr>
  <dimension ref="A1:S57"/>
  <sheetViews>
    <sheetView workbookViewId="0"/>
  </sheetViews>
  <sheetFormatPr baseColWidth="10" defaultColWidth="11" defaultRowHeight="12.75"/>
  <cols>
    <col min="1" max="1" width="26.375" style="287" customWidth="1"/>
    <col min="2" max="2" width="9.75" style="289" customWidth="1"/>
    <col min="3" max="3" width="10.5" style="88" customWidth="1"/>
    <col min="4" max="8" width="11.75" style="88" customWidth="1"/>
    <col min="9" max="13" width="11.5" style="88" customWidth="1"/>
    <col min="14" max="14" width="10.125" style="88" customWidth="1"/>
    <col min="15" max="15" width="9.5" style="287" customWidth="1"/>
    <col min="16" max="16384" width="11" style="88"/>
  </cols>
  <sheetData>
    <row r="1" spans="1:15" ht="25.5">
      <c r="A1" s="964" t="s">
        <v>843</v>
      </c>
      <c r="B1" s="1081"/>
      <c r="E1" s="461" t="str">
        <f>Parametros!B$77</f>
        <v>Ano 0:  2026</v>
      </c>
      <c r="F1" s="304"/>
      <c r="M1" s="1082"/>
      <c r="O1" s="88"/>
    </row>
    <row r="2" spans="1:15" s="554" customFormat="1" ht="25.5">
      <c r="A2" s="171" t="str">
        <f>'Dados Básicos'!B9</f>
        <v>WWW, S.L.</v>
      </c>
      <c r="B2" s="1081"/>
      <c r="D2" s="1083"/>
      <c r="E2" s="168"/>
    </row>
    <row r="3" spans="1:15" ht="21" customHeight="1">
      <c r="A3" s="88"/>
      <c r="B3" s="1068"/>
      <c r="O3" s="88"/>
    </row>
    <row r="4" spans="1:15" ht="25.5">
      <c r="A4" s="171" t="str">
        <f>"Vendas ("&amp;'Dados Básicos'!$A$28&amp;" incl.)"</f>
        <v>Vendas (IVA incl.)</v>
      </c>
      <c r="B4" s="1068"/>
      <c r="E4" s="172"/>
      <c r="F4" s="172"/>
      <c r="O4" s="88"/>
    </row>
    <row r="5" spans="1:15" ht="5.25" customHeight="1" thickBot="1"/>
    <row r="6" spans="1:15" s="1064" customFormat="1" ht="16.149999999999999" customHeight="1" thickBot="1">
      <c r="A6" s="174" t="s">
        <v>837</v>
      </c>
      <c r="B6" s="2743" t="str">
        <f t="array" ref="B6:M6">meses</f>
        <v>janeiro</v>
      </c>
      <c r="C6" s="2744" t="str">
        <v>fevereiro</v>
      </c>
      <c r="D6" s="2744" t="str">
        <v>março</v>
      </c>
      <c r="E6" s="2744" t="str">
        <v>abril</v>
      </c>
      <c r="F6" s="2744" t="str">
        <v>maio</v>
      </c>
      <c r="G6" s="2744" t="str">
        <v>junho</v>
      </c>
      <c r="H6" s="2744" t="str">
        <v>julho</v>
      </c>
      <c r="I6" s="2744" t="str">
        <v>agosto</v>
      </c>
      <c r="J6" s="2744" t="str">
        <v>setembro</v>
      </c>
      <c r="K6" s="2744" t="str">
        <v>outubro</v>
      </c>
      <c r="L6" s="2744" t="str">
        <v>novembro</v>
      </c>
      <c r="M6" s="2744" t="str">
        <v>dezembro</v>
      </c>
      <c r="N6" s="2744" t="s">
        <v>3</v>
      </c>
    </row>
    <row r="7" spans="1:15" s="561" customFormat="1" ht="16.149999999999999" customHeight="1">
      <c r="A7" s="2120" t="str">
        <f t="array" ref="A7:A14">productos</f>
        <v>produto 1</v>
      </c>
      <c r="B7" s="1065">
        <f t="array" aca="1" ref="B7:M14" ca="1">'Prev.Vendas 0'!B17:M24*(1+Parametros!$E24:$E31 - ret_irpf  )</f>
        <v>242</v>
      </c>
      <c r="C7" s="1065">
        <f ca="1"/>
        <v>330</v>
      </c>
      <c r="D7" s="1065">
        <f ca="1"/>
        <v>418.00000000000006</v>
      </c>
      <c r="E7" s="1065">
        <f ca="1"/>
        <v>506</v>
      </c>
      <c r="F7" s="1065">
        <f ca="1"/>
        <v>594</v>
      </c>
      <c r="G7" s="1065">
        <f ca="1"/>
        <v>682</v>
      </c>
      <c r="H7" s="1065">
        <f ca="1"/>
        <v>770</v>
      </c>
      <c r="I7" s="1065">
        <f ca="1"/>
        <v>857.99999999999989</v>
      </c>
      <c r="J7" s="1065">
        <f ca="1"/>
        <v>946</v>
      </c>
      <c r="K7" s="1065">
        <f ca="1"/>
        <v>1034</v>
      </c>
      <c r="L7" s="1065">
        <f ca="1"/>
        <v>1122</v>
      </c>
      <c r="M7" s="1065">
        <f ca="1"/>
        <v>1210</v>
      </c>
      <c r="N7" s="2121">
        <f t="shared" ref="N7:N14" ca="1" si="0">SUM(B7:M7)</f>
        <v>8712</v>
      </c>
    </row>
    <row r="8" spans="1:15" s="561" customFormat="1" ht="16.149999999999999" customHeight="1">
      <c r="A8" s="2122" t="str">
        <v/>
      </c>
      <c r="B8" s="1065">
        <f ca="1"/>
        <v>0</v>
      </c>
      <c r="C8" s="1065">
        <f ca="1"/>
        <v>0</v>
      </c>
      <c r="D8" s="1065">
        <f ca="1"/>
        <v>0</v>
      </c>
      <c r="E8" s="1065">
        <f ca="1"/>
        <v>0</v>
      </c>
      <c r="F8" s="1065">
        <f ca="1"/>
        <v>0</v>
      </c>
      <c r="G8" s="1065">
        <f ca="1"/>
        <v>0</v>
      </c>
      <c r="H8" s="1065">
        <f ca="1"/>
        <v>0</v>
      </c>
      <c r="I8" s="1065">
        <f ca="1"/>
        <v>0</v>
      </c>
      <c r="J8" s="1065">
        <f ca="1"/>
        <v>0</v>
      </c>
      <c r="K8" s="1065">
        <f ca="1"/>
        <v>0</v>
      </c>
      <c r="L8" s="1065">
        <f ca="1"/>
        <v>0</v>
      </c>
      <c r="M8" s="1065">
        <f ca="1"/>
        <v>0</v>
      </c>
      <c r="N8" s="2121">
        <f t="shared" ca="1" si="0"/>
        <v>0</v>
      </c>
    </row>
    <row r="9" spans="1:15" s="561" customFormat="1" ht="16.149999999999999" customHeight="1">
      <c r="A9" s="2122" t="str">
        <v/>
      </c>
      <c r="B9" s="1065">
        <f ca="1"/>
        <v>0</v>
      </c>
      <c r="C9" s="1065">
        <f ca="1"/>
        <v>0</v>
      </c>
      <c r="D9" s="1065">
        <f ca="1"/>
        <v>0</v>
      </c>
      <c r="E9" s="1065">
        <f ca="1"/>
        <v>0</v>
      </c>
      <c r="F9" s="1065">
        <f ca="1"/>
        <v>0</v>
      </c>
      <c r="G9" s="1065">
        <f ca="1"/>
        <v>0</v>
      </c>
      <c r="H9" s="1065">
        <f ca="1"/>
        <v>0</v>
      </c>
      <c r="I9" s="1065">
        <f ca="1"/>
        <v>0</v>
      </c>
      <c r="J9" s="1065">
        <f ca="1"/>
        <v>0</v>
      </c>
      <c r="K9" s="1065">
        <f ca="1"/>
        <v>0</v>
      </c>
      <c r="L9" s="1065">
        <f ca="1"/>
        <v>0</v>
      </c>
      <c r="M9" s="1065">
        <f ca="1"/>
        <v>0</v>
      </c>
      <c r="N9" s="2121">
        <f t="shared" ca="1" si="0"/>
        <v>0</v>
      </c>
    </row>
    <row r="10" spans="1:15" s="561" customFormat="1" ht="16.149999999999999" customHeight="1">
      <c r="A10" s="2122" t="str">
        <v/>
      </c>
      <c r="B10" s="1065">
        <f ca="1"/>
        <v>0</v>
      </c>
      <c r="C10" s="1065">
        <f ca="1"/>
        <v>0</v>
      </c>
      <c r="D10" s="1065">
        <f ca="1"/>
        <v>0</v>
      </c>
      <c r="E10" s="1065">
        <f ca="1"/>
        <v>0</v>
      </c>
      <c r="F10" s="1065">
        <f ca="1"/>
        <v>0</v>
      </c>
      <c r="G10" s="1065">
        <f ca="1"/>
        <v>0</v>
      </c>
      <c r="H10" s="1065">
        <f ca="1"/>
        <v>0</v>
      </c>
      <c r="I10" s="1065">
        <f ca="1"/>
        <v>0</v>
      </c>
      <c r="J10" s="1065">
        <f ca="1"/>
        <v>0</v>
      </c>
      <c r="K10" s="1065">
        <f ca="1"/>
        <v>0</v>
      </c>
      <c r="L10" s="1065">
        <f ca="1"/>
        <v>0</v>
      </c>
      <c r="M10" s="1065">
        <f ca="1"/>
        <v>0</v>
      </c>
      <c r="N10" s="2121">
        <f t="shared" ca="1" si="0"/>
        <v>0</v>
      </c>
    </row>
    <row r="11" spans="1:15" s="561" customFormat="1" ht="16.149999999999999" customHeight="1">
      <c r="A11" s="2122" t="str">
        <v/>
      </c>
      <c r="B11" s="1065">
        <f ca="1"/>
        <v>0</v>
      </c>
      <c r="C11" s="1065">
        <f ca="1"/>
        <v>0</v>
      </c>
      <c r="D11" s="1065">
        <f ca="1"/>
        <v>0</v>
      </c>
      <c r="E11" s="1065">
        <f ca="1"/>
        <v>0</v>
      </c>
      <c r="F11" s="1065">
        <f ca="1"/>
        <v>0</v>
      </c>
      <c r="G11" s="1065">
        <f ca="1"/>
        <v>0</v>
      </c>
      <c r="H11" s="1065">
        <f ca="1"/>
        <v>0</v>
      </c>
      <c r="I11" s="1065">
        <f ca="1"/>
        <v>0</v>
      </c>
      <c r="J11" s="1065">
        <f ca="1"/>
        <v>0</v>
      </c>
      <c r="K11" s="1065">
        <f ca="1"/>
        <v>0</v>
      </c>
      <c r="L11" s="1065">
        <f ca="1"/>
        <v>0</v>
      </c>
      <c r="M11" s="1065">
        <f ca="1"/>
        <v>0</v>
      </c>
      <c r="N11" s="2121">
        <f t="shared" ca="1" si="0"/>
        <v>0</v>
      </c>
    </row>
    <row r="12" spans="1:15" s="561" customFormat="1" ht="16.149999999999999" customHeight="1">
      <c r="A12" s="2122" t="str">
        <v/>
      </c>
      <c r="B12" s="1065">
        <f ca="1"/>
        <v>0</v>
      </c>
      <c r="C12" s="1065">
        <f ca="1"/>
        <v>0</v>
      </c>
      <c r="D12" s="1065">
        <f ca="1"/>
        <v>0</v>
      </c>
      <c r="E12" s="1065">
        <f ca="1"/>
        <v>0</v>
      </c>
      <c r="F12" s="1065">
        <f ca="1"/>
        <v>0</v>
      </c>
      <c r="G12" s="1065">
        <f ca="1"/>
        <v>0</v>
      </c>
      <c r="H12" s="1065">
        <f ca="1"/>
        <v>0</v>
      </c>
      <c r="I12" s="1065">
        <f ca="1"/>
        <v>0</v>
      </c>
      <c r="J12" s="1065">
        <f ca="1"/>
        <v>0</v>
      </c>
      <c r="K12" s="1065">
        <f ca="1"/>
        <v>0</v>
      </c>
      <c r="L12" s="1065">
        <f ca="1"/>
        <v>0</v>
      </c>
      <c r="M12" s="1065">
        <f ca="1"/>
        <v>0</v>
      </c>
      <c r="N12" s="2121">
        <f t="shared" ca="1" si="0"/>
        <v>0</v>
      </c>
    </row>
    <row r="13" spans="1:15" s="561" customFormat="1" ht="16.149999999999999" customHeight="1">
      <c r="A13" s="2122" t="str">
        <v/>
      </c>
      <c r="B13" s="1065">
        <f ca="1"/>
        <v>0</v>
      </c>
      <c r="C13" s="1065">
        <f ca="1"/>
        <v>0</v>
      </c>
      <c r="D13" s="1065">
        <f ca="1"/>
        <v>0</v>
      </c>
      <c r="E13" s="1065">
        <f ca="1"/>
        <v>0</v>
      </c>
      <c r="F13" s="1065">
        <f ca="1"/>
        <v>0</v>
      </c>
      <c r="G13" s="1065">
        <f ca="1"/>
        <v>0</v>
      </c>
      <c r="H13" s="1065">
        <f ca="1"/>
        <v>0</v>
      </c>
      <c r="I13" s="1065">
        <f ca="1"/>
        <v>0</v>
      </c>
      <c r="J13" s="1065">
        <f ca="1"/>
        <v>0</v>
      </c>
      <c r="K13" s="1065">
        <f ca="1"/>
        <v>0</v>
      </c>
      <c r="L13" s="1065">
        <f ca="1"/>
        <v>0</v>
      </c>
      <c r="M13" s="1065">
        <f ca="1"/>
        <v>0</v>
      </c>
      <c r="N13" s="2121">
        <f t="shared" ca="1" si="0"/>
        <v>0</v>
      </c>
    </row>
    <row r="14" spans="1:15" s="561" customFormat="1" ht="16.149999999999999" customHeight="1" thickBot="1">
      <c r="A14" s="2123" t="str">
        <v/>
      </c>
      <c r="B14" s="1066">
        <f ca="1"/>
        <v>0</v>
      </c>
      <c r="C14" s="1066">
        <f ca="1"/>
        <v>0</v>
      </c>
      <c r="D14" s="1066">
        <f ca="1"/>
        <v>0</v>
      </c>
      <c r="E14" s="1066">
        <f ca="1"/>
        <v>0</v>
      </c>
      <c r="F14" s="1066">
        <f ca="1"/>
        <v>0</v>
      </c>
      <c r="G14" s="1066">
        <f ca="1"/>
        <v>0</v>
      </c>
      <c r="H14" s="1066">
        <f ca="1"/>
        <v>0</v>
      </c>
      <c r="I14" s="1066">
        <f ca="1"/>
        <v>0</v>
      </c>
      <c r="J14" s="1066">
        <f ca="1"/>
        <v>0</v>
      </c>
      <c r="K14" s="1066">
        <f ca="1"/>
        <v>0</v>
      </c>
      <c r="L14" s="1066">
        <f ca="1"/>
        <v>0</v>
      </c>
      <c r="M14" s="1066">
        <f ca="1"/>
        <v>0</v>
      </c>
      <c r="N14" s="2121">
        <f t="shared" ca="1" si="0"/>
        <v>0</v>
      </c>
    </row>
    <row r="15" spans="1:15" s="561" customFormat="1" ht="16.149999999999999" customHeight="1" thickBot="1">
      <c r="A15" s="174" t="s">
        <v>3</v>
      </c>
      <c r="B15" s="2748">
        <f t="shared" ref="B15:N15" ca="1" si="1">SUM(B7:B14)</f>
        <v>242</v>
      </c>
      <c r="C15" s="2748">
        <f t="shared" ca="1" si="1"/>
        <v>330</v>
      </c>
      <c r="D15" s="2748">
        <f t="shared" ca="1" si="1"/>
        <v>418.00000000000006</v>
      </c>
      <c r="E15" s="2748">
        <f t="shared" ca="1" si="1"/>
        <v>506</v>
      </c>
      <c r="F15" s="2748">
        <f t="shared" ca="1" si="1"/>
        <v>594</v>
      </c>
      <c r="G15" s="2748">
        <f t="shared" ca="1" si="1"/>
        <v>682</v>
      </c>
      <c r="H15" s="2748">
        <f t="shared" ca="1" si="1"/>
        <v>770</v>
      </c>
      <c r="I15" s="2748">
        <f t="shared" ca="1" si="1"/>
        <v>857.99999999999989</v>
      </c>
      <c r="J15" s="2748">
        <f t="shared" ca="1" si="1"/>
        <v>946</v>
      </c>
      <c r="K15" s="2748">
        <f t="shared" ca="1" si="1"/>
        <v>1034</v>
      </c>
      <c r="L15" s="2748">
        <f t="shared" ca="1" si="1"/>
        <v>1122</v>
      </c>
      <c r="M15" s="2748">
        <f t="shared" ca="1" si="1"/>
        <v>1210</v>
      </c>
      <c r="N15" s="2748">
        <f t="shared" ca="1" si="1"/>
        <v>8712</v>
      </c>
    </row>
    <row r="16" spans="1:15" s="561" customFormat="1" ht="16.149999999999999" customHeight="1">
      <c r="A16" s="25"/>
    </row>
    <row r="17" spans="1:19" s="334" customFormat="1" ht="22.5">
      <c r="A17" s="334" t="s">
        <v>838</v>
      </c>
      <c r="B17" s="172"/>
      <c r="E17" s="172"/>
      <c r="F17" s="172"/>
    </row>
    <row r="18" spans="1:19" ht="16.5" customHeight="1" thickBot="1">
      <c r="A18" s="88"/>
      <c r="B18" s="88"/>
      <c r="O18" s="88"/>
      <c r="P18" s="1067" t="s">
        <v>841</v>
      </c>
      <c r="Q18" s="1085" t="str">
        <f>Parametros!E65</f>
        <v>2027</v>
      </c>
    </row>
    <row r="19" spans="1:19" s="1064" customFormat="1" ht="28.5" customHeight="1" thickBot="1">
      <c r="A19" s="174" t="s">
        <v>839</v>
      </c>
      <c r="B19" s="2745" t="str">
        <f t="array" ref="B19:M19">'Estimações Vendas'!B5:M5</f>
        <v>janeiro 
2026</v>
      </c>
      <c r="C19" s="2745" t="str">
        <v>fevereiro 
2026</v>
      </c>
      <c r="D19" s="2745" t="str">
        <v>março 
2026</v>
      </c>
      <c r="E19" s="2745" t="str">
        <v>abril 
2026</v>
      </c>
      <c r="F19" s="2745" t="str">
        <v>maio 
2026</v>
      </c>
      <c r="G19" s="2745" t="str">
        <v>junho 
2026</v>
      </c>
      <c r="H19" s="2745" t="str">
        <v>julho 
2026</v>
      </c>
      <c r="I19" s="2745" t="str">
        <v>agosto 
2026</v>
      </c>
      <c r="J19" s="2745" t="str">
        <v>setembro 
2026</v>
      </c>
      <c r="K19" s="2745" t="str">
        <v>outubro 
2026</v>
      </c>
      <c r="L19" s="2745" t="str">
        <v>novembro 
2026</v>
      </c>
      <c r="M19" s="2745" t="str">
        <v>dezembro 
2026</v>
      </c>
      <c r="N19" s="2745" t="str">
        <f t="array" ref="N19:S19">'Receitas e pagamentos 1'!B19:G19</f>
        <v>janeiro 
2027</v>
      </c>
      <c r="O19" s="2745" t="str">
        <v>fevereiro 
2027</v>
      </c>
      <c r="P19" s="2745" t="str">
        <v>março 
2027</v>
      </c>
      <c r="Q19" s="2745" t="str">
        <v>abril 
2027</v>
      </c>
      <c r="R19" s="2745" t="str">
        <v>maio 
2027</v>
      </c>
      <c r="S19" s="2745" t="str">
        <v>junho 
2027</v>
      </c>
    </row>
    <row r="20" spans="1:19" s="554" customFormat="1" ht="16.149999999999999" customHeight="1">
      <c r="A20" s="2119" t="s">
        <v>15</v>
      </c>
      <c r="B20" s="1069">
        <f t="array" aca="1" ref="B20" ca="1">SUM('Pol. Cobranças e Pagamentos'!$B$7:$B$14*B7:B14)</f>
        <v>242</v>
      </c>
      <c r="C20" s="1069">
        <f t="array" aca="1" ref="C20" ca="1">SUM('Pol. Cobranças e Pagamentos'!$B$7:$B$14*C7:C14)</f>
        <v>330</v>
      </c>
      <c r="D20" s="1069">
        <f t="array" aca="1" ref="D20" ca="1">SUM('Pol. Cobranças e Pagamentos'!$B$7:$B$14*D7:D14)</f>
        <v>418.00000000000006</v>
      </c>
      <c r="E20" s="1069">
        <f t="array" aca="1" ref="E20" ca="1">SUM('Pol. Cobranças e Pagamentos'!$B$7:$B$14*E7:E14)</f>
        <v>506</v>
      </c>
      <c r="F20" s="1069">
        <f t="array" aca="1" ref="F20" ca="1">SUM('Pol. Cobranças e Pagamentos'!$B$7:$B$14*F7:F14)</f>
        <v>594</v>
      </c>
      <c r="G20" s="1069">
        <f t="array" aca="1" ref="G20" ca="1">SUM('Pol. Cobranças e Pagamentos'!$B$7:$B$14*G7:G14)</f>
        <v>682</v>
      </c>
      <c r="H20" s="1069">
        <f t="array" aca="1" ref="H20" ca="1">SUM('Pol. Cobranças e Pagamentos'!$B$7:$B$14*H7:H14)</f>
        <v>770</v>
      </c>
      <c r="I20" s="1069">
        <f t="array" aca="1" ref="I20" ca="1">SUM('Pol. Cobranças e Pagamentos'!$B$7:$B$14*I7:I14)</f>
        <v>857.99999999999989</v>
      </c>
      <c r="J20" s="1069">
        <f t="array" aca="1" ref="J20" ca="1">SUM('Pol. Cobranças e Pagamentos'!$B$7:$B$14*J7:J14)</f>
        <v>946</v>
      </c>
      <c r="K20" s="1069">
        <f t="array" aca="1" ref="K20" ca="1">SUM('Pol. Cobranças e Pagamentos'!$B$7:$B$14*K7:K14)</f>
        <v>1034</v>
      </c>
      <c r="L20" s="1069">
        <f t="array" aca="1" ref="L20" ca="1">SUM('Pol. Cobranças e Pagamentos'!$B$7:$B$14*L7:L14)</f>
        <v>1122</v>
      </c>
      <c r="M20" s="1069">
        <f t="array" aca="1" ref="M20" ca="1">SUM('Pol. Cobranças e Pagamentos'!$B$7:$B$14*M7:M14)</f>
        <v>1210</v>
      </c>
      <c r="N20" s="1069"/>
      <c r="O20" s="1069"/>
      <c r="P20" s="1069"/>
      <c r="Q20" s="1069"/>
      <c r="R20" s="1069"/>
      <c r="S20" s="1069"/>
    </row>
    <row r="21" spans="1:19" s="561" customFormat="1" ht="16.149999999999999" customHeight="1">
      <c r="A21" s="2846">
        <v>30</v>
      </c>
      <c r="B21" s="1070"/>
      <c r="C21" s="1069">
        <f t="array" aca="1" ref="C21" ca="1">SUM('Pol. Cobranças e Pagamentos'!$C$7:$C$14*B$7:B$14)</f>
        <v>0</v>
      </c>
      <c r="D21" s="1069">
        <f t="array" aca="1" ref="D21" ca="1">SUM('Pol. Cobranças e Pagamentos'!$C$7:$C$14*C$7:C$14)</f>
        <v>0</v>
      </c>
      <c r="E21" s="1069">
        <f t="array" aca="1" ref="E21" ca="1">SUM('Pol. Cobranças e Pagamentos'!$C$7:$C$14*D$7:D$14)</f>
        <v>0</v>
      </c>
      <c r="F21" s="1069">
        <f t="array" aca="1" ref="F21" ca="1">SUM('Pol. Cobranças e Pagamentos'!$C$7:$C$14*E$7:E$14)</f>
        <v>0</v>
      </c>
      <c r="G21" s="1069">
        <f t="array" aca="1" ref="G21" ca="1">SUM('Pol. Cobranças e Pagamentos'!$C$7:$C$14*F$7:F$14)</f>
        <v>0</v>
      </c>
      <c r="H21" s="1069">
        <f t="array" aca="1" ref="H21" ca="1">SUM('Pol. Cobranças e Pagamentos'!$C$7:$C$14*G$7:G$14)</f>
        <v>0</v>
      </c>
      <c r="I21" s="1069">
        <f t="array" aca="1" ref="I21" ca="1">SUM('Pol. Cobranças e Pagamentos'!$C$7:$C$14*H$7:H$14)</f>
        <v>0</v>
      </c>
      <c r="J21" s="1069">
        <f t="array" aca="1" ref="J21" ca="1">SUM('Pol. Cobranças e Pagamentos'!$C$7:$C$14*I$7:I$14)</f>
        <v>0</v>
      </c>
      <c r="K21" s="1069">
        <f t="array" aca="1" ref="K21" ca="1">SUM('Pol. Cobranças e Pagamentos'!$C$7:$C$14*J$7:J$14)</f>
        <v>0</v>
      </c>
      <c r="L21" s="1069">
        <f t="array" aca="1" ref="L21" ca="1">SUM('Pol. Cobranças e Pagamentos'!$C$7:$C$14*K$7:K$14)</f>
        <v>0</v>
      </c>
      <c r="M21" s="1069">
        <f t="array" aca="1" ref="M21" ca="1">SUM('Pol. Cobranças e Pagamentos'!$C$7:$C$14*L$7:L$14)</f>
        <v>0</v>
      </c>
      <c r="N21" s="1069">
        <f t="array" aca="1" ref="N21" ca="1">SUM('Pol. Cobranças e Pagamentos'!$C$7:$C$14*M$7:M$14)</f>
        <v>0</v>
      </c>
      <c r="O21" s="1069"/>
      <c r="P21" s="1069"/>
      <c r="Q21" s="1069"/>
      <c r="R21" s="1069"/>
      <c r="S21" s="1069"/>
    </row>
    <row r="22" spans="1:19" s="554" customFormat="1" ht="16.149999999999999" customHeight="1">
      <c r="A22" s="2846">
        <v>60</v>
      </c>
      <c r="B22" s="1070"/>
      <c r="C22" s="1070"/>
      <c r="D22" s="1069">
        <f t="array" aca="1" ref="D22" ca="1">SUM('Pol. Cobranças e Pagamentos'!$D$7:$D$14*B$7:B$14)</f>
        <v>0</v>
      </c>
      <c r="E22" s="1069">
        <f t="array" aca="1" ref="E22" ca="1">SUM('Pol. Cobranças e Pagamentos'!$D$7:$D$14*C$7:C$14)</f>
        <v>0</v>
      </c>
      <c r="F22" s="1069">
        <f t="array" aca="1" ref="F22" ca="1">SUM('Pol. Cobranças e Pagamentos'!$D$7:$D$14*D$7:D$14)</f>
        <v>0</v>
      </c>
      <c r="G22" s="1069">
        <f t="array" aca="1" ref="G22" ca="1">SUM('Pol. Cobranças e Pagamentos'!$D$7:$D$14*E$7:E$14)</f>
        <v>0</v>
      </c>
      <c r="H22" s="1069">
        <f t="array" aca="1" ref="H22" ca="1">SUM('Pol. Cobranças e Pagamentos'!$D$7:$D$14*F$7:F$14)</f>
        <v>0</v>
      </c>
      <c r="I22" s="1069">
        <f t="array" aca="1" ref="I22" ca="1">SUM('Pol. Cobranças e Pagamentos'!$D$7:$D$14*G$7:G$14)</f>
        <v>0</v>
      </c>
      <c r="J22" s="1069">
        <f t="array" aca="1" ref="J22" ca="1">SUM('Pol. Cobranças e Pagamentos'!$D$7:$D$14*H$7:H$14)</f>
        <v>0</v>
      </c>
      <c r="K22" s="1069">
        <f t="array" aca="1" ref="K22" ca="1">SUM('Pol. Cobranças e Pagamentos'!$D$7:$D$14*I$7:I$14)</f>
        <v>0</v>
      </c>
      <c r="L22" s="1069">
        <f t="array" aca="1" ref="L22" ca="1">SUM('Pol. Cobranças e Pagamentos'!$D$7:$D$14*J$7:J$14)</f>
        <v>0</v>
      </c>
      <c r="M22" s="1069">
        <f t="array" aca="1" ref="M22" ca="1">SUM('Pol. Cobranças e Pagamentos'!$D$7:$D$14*K$7:K$14)</f>
        <v>0</v>
      </c>
      <c r="N22" s="1069">
        <f t="array" aca="1" ref="N22" ca="1">SUM('Pol. Cobranças e Pagamentos'!$D$7:$D$14*L$7:L$14)</f>
        <v>0</v>
      </c>
      <c r="O22" s="1069">
        <f t="array" aca="1" ref="O22" ca="1">SUM('Pol. Cobranças e Pagamentos'!$D$7:$D$14*M$7:M$14)</f>
        <v>0</v>
      </c>
      <c r="P22" s="1069"/>
      <c r="Q22" s="1069"/>
      <c r="R22" s="1069"/>
      <c r="S22" s="1069"/>
    </row>
    <row r="23" spans="1:19" s="554" customFormat="1" ht="16.149999999999999" customHeight="1">
      <c r="A23" s="2846">
        <v>90</v>
      </c>
      <c r="B23" s="1070"/>
      <c r="C23" s="1070"/>
      <c r="D23" s="1070"/>
      <c r="E23" s="1069">
        <f t="array" aca="1" ref="E23" ca="1">SUM('Pol. Cobranças e Pagamentos'!$E$7:$E$14*B$7:B$14)</f>
        <v>0</v>
      </c>
      <c r="F23" s="1069">
        <f t="array" aca="1" ref="F23" ca="1">SUM('Pol. Cobranças e Pagamentos'!$E$7:$E$14*C$7:C$14)</f>
        <v>0</v>
      </c>
      <c r="G23" s="1069">
        <f t="array" aca="1" ref="G23" ca="1">SUM('Pol. Cobranças e Pagamentos'!$E$7:$E$14*D$7:D$14)</f>
        <v>0</v>
      </c>
      <c r="H23" s="1069">
        <f t="array" aca="1" ref="H23" ca="1">SUM('Pol. Cobranças e Pagamentos'!$E$7:$E$14*E$7:E$14)</f>
        <v>0</v>
      </c>
      <c r="I23" s="1069">
        <f t="array" aca="1" ref="I23" ca="1">SUM('Pol. Cobranças e Pagamentos'!$E$7:$E$14*F$7:F$14)</f>
        <v>0</v>
      </c>
      <c r="J23" s="1069">
        <f t="array" aca="1" ref="J23" ca="1">SUM('Pol. Cobranças e Pagamentos'!$E$7:$E$14*G$7:G$14)</f>
        <v>0</v>
      </c>
      <c r="K23" s="1069">
        <f t="array" aca="1" ref="K23" ca="1">SUM('Pol. Cobranças e Pagamentos'!$E$7:$E$14*H$7:H$14)</f>
        <v>0</v>
      </c>
      <c r="L23" s="1069">
        <f t="array" aca="1" ref="L23" ca="1">SUM('Pol. Cobranças e Pagamentos'!$E$7:$E$14*I$7:I$14)</f>
        <v>0</v>
      </c>
      <c r="M23" s="1069">
        <f t="array" aca="1" ref="M23" ca="1">SUM('Pol. Cobranças e Pagamentos'!$E$7:$E$14*J$7:J$14)</f>
        <v>0</v>
      </c>
      <c r="N23" s="1069">
        <f t="array" aca="1" ref="N23" ca="1">SUM('Pol. Cobranças e Pagamentos'!$E$7:$E$14*K$7:K$14)</f>
        <v>0</v>
      </c>
      <c r="O23" s="1069">
        <f t="array" aca="1" ref="O23" ca="1">SUM('Pol. Cobranças e Pagamentos'!$E$7:$E$14*L$7:L$14)</f>
        <v>0</v>
      </c>
      <c r="P23" s="1069">
        <f t="array" aca="1" ref="P23" ca="1">SUM('Pol. Cobranças e Pagamentos'!$E$7:$E$14*M$7:M$14)</f>
        <v>0</v>
      </c>
      <c r="Q23" s="1069"/>
      <c r="R23" s="1069"/>
      <c r="S23" s="1069"/>
    </row>
    <row r="24" spans="1:19" s="554" customFormat="1" ht="16.149999999999999" customHeight="1">
      <c r="A24" s="2846">
        <v>120</v>
      </c>
      <c r="B24" s="1070"/>
      <c r="C24" s="1070"/>
      <c r="D24" s="1070"/>
      <c r="E24" s="1070"/>
      <c r="F24" s="1069">
        <f t="array" aca="1" ref="F24" ca="1">SUM('Pol. Cobranças e Pagamentos'!$F$7:$F$14*B$7:B$14)</f>
        <v>0</v>
      </c>
      <c r="G24" s="1069">
        <f t="array" aca="1" ref="G24" ca="1">SUM('Pol. Cobranças e Pagamentos'!$F$7:$F$14*C$7:C$14)</f>
        <v>0</v>
      </c>
      <c r="H24" s="1069">
        <f t="array" aca="1" ref="H24" ca="1">SUM('Pol. Cobranças e Pagamentos'!$F$7:$F$14*D$7:D$14)</f>
        <v>0</v>
      </c>
      <c r="I24" s="1069">
        <f t="array" aca="1" ref="I24" ca="1">SUM('Pol. Cobranças e Pagamentos'!$F$7:$F$14*E$7:E$14)</f>
        <v>0</v>
      </c>
      <c r="J24" s="1069">
        <f t="array" aca="1" ref="J24" ca="1">SUM('Pol. Cobranças e Pagamentos'!$F$7:$F$14*F$7:F$14)</f>
        <v>0</v>
      </c>
      <c r="K24" s="1069">
        <f t="array" aca="1" ref="K24" ca="1">SUM('Pol. Cobranças e Pagamentos'!$F$7:$F$14*G$7:G$14)</f>
        <v>0</v>
      </c>
      <c r="L24" s="1069">
        <f t="array" aca="1" ref="L24" ca="1">SUM('Pol. Cobranças e Pagamentos'!$F$7:$F$14*H$7:H$14)</f>
        <v>0</v>
      </c>
      <c r="M24" s="1069">
        <f t="array" aca="1" ref="M24" ca="1">SUM('Pol. Cobranças e Pagamentos'!$F$7:$F$14*I$7:I$14)</f>
        <v>0</v>
      </c>
      <c r="N24" s="1069">
        <f t="array" aca="1" ref="N24" ca="1">SUM('Pol. Cobranças e Pagamentos'!$F$7:$F$14*J$7:J$14)</f>
        <v>0</v>
      </c>
      <c r="O24" s="1069">
        <f t="array" aca="1" ref="O24" ca="1">SUM('Pol. Cobranças e Pagamentos'!$F$7:$F$14*K$7:K$14)</f>
        <v>0</v>
      </c>
      <c r="P24" s="1069">
        <f t="array" aca="1" ref="P24" ca="1">SUM('Pol. Cobranças e Pagamentos'!$F$7:$F$14*L$7:L$14)</f>
        <v>0</v>
      </c>
      <c r="Q24" s="1069">
        <f t="array" aca="1" ref="Q24" ca="1">SUM('Pol. Cobranças e Pagamentos'!$F$7:$F$14*M$7:M$14)</f>
        <v>0</v>
      </c>
      <c r="R24" s="1069"/>
      <c r="S24" s="1069"/>
    </row>
    <row r="25" spans="1:19" s="554" customFormat="1" ht="16.149999999999999" customHeight="1">
      <c r="A25" s="2846">
        <v>150</v>
      </c>
      <c r="B25" s="1070"/>
      <c r="C25" s="1070"/>
      <c r="D25" s="1070"/>
      <c r="E25" s="1070"/>
      <c r="F25" s="1070"/>
      <c r="G25" s="1069">
        <f t="array" aca="1" ref="G25" ca="1">SUM('Pol. Cobranças e Pagamentos'!$G$7:$G$14*B$7:B$14)</f>
        <v>0</v>
      </c>
      <c r="H25" s="1069">
        <f t="array" aca="1" ref="H25" ca="1">SUM('Pol. Cobranças e Pagamentos'!$G$7:$G$14*C$7:C$14)</f>
        <v>0</v>
      </c>
      <c r="I25" s="1069">
        <f t="array" aca="1" ref="I25" ca="1">SUM('Pol. Cobranças e Pagamentos'!$G$7:$G$14*D$7:D$14)</f>
        <v>0</v>
      </c>
      <c r="J25" s="1069">
        <f t="array" aca="1" ref="J25" ca="1">SUM('Pol. Cobranças e Pagamentos'!$G$7:$G$14*E$7:E$14)</f>
        <v>0</v>
      </c>
      <c r="K25" s="1069">
        <f t="array" aca="1" ref="K25" ca="1">SUM('Pol. Cobranças e Pagamentos'!$G$7:$G$14*F$7:F$14)</f>
        <v>0</v>
      </c>
      <c r="L25" s="1069">
        <f t="array" aca="1" ref="L25" ca="1">SUM('Pol. Cobranças e Pagamentos'!$G$7:$G$14*G$7:G$14)</f>
        <v>0</v>
      </c>
      <c r="M25" s="1069">
        <f t="array" aca="1" ref="M25" ca="1">SUM('Pol. Cobranças e Pagamentos'!$G$7:$G$14*H$7:H$14)</f>
        <v>0</v>
      </c>
      <c r="N25" s="1069">
        <f t="array" aca="1" ref="N25" ca="1">SUM('Pol. Cobranças e Pagamentos'!$G$7:$G$14*I$7:I$14)</f>
        <v>0</v>
      </c>
      <c r="O25" s="1069">
        <f t="array" aca="1" ref="O25" ca="1">SUM('Pol. Cobranças e Pagamentos'!$G$7:$G$14*J$7:J$14)</f>
        <v>0</v>
      </c>
      <c r="P25" s="1069">
        <f t="array" aca="1" ref="P25" ca="1">SUM('Pol. Cobranças e Pagamentos'!$G$7:$G$14*K$7:K$14)</f>
        <v>0</v>
      </c>
      <c r="Q25" s="1069">
        <f t="array" aca="1" ref="Q25" ca="1">SUM('Pol. Cobranças e Pagamentos'!$G$7:$G$14*L$7:L$14)</f>
        <v>0</v>
      </c>
      <c r="R25" s="1069">
        <f t="array" aca="1" ref="R25" ca="1">SUM('Pol. Cobranças e Pagamentos'!$G$7:$G$14*M$7:M$14)</f>
        <v>0</v>
      </c>
      <c r="S25" s="1069"/>
    </row>
    <row r="26" spans="1:19" s="554" customFormat="1" ht="16.149999999999999" customHeight="1">
      <c r="A26" s="2846">
        <v>180</v>
      </c>
      <c r="B26" s="1070"/>
      <c r="C26" s="1070"/>
      <c r="D26" s="1070"/>
      <c r="E26" s="1070"/>
      <c r="F26" s="1070"/>
      <c r="G26" s="1070"/>
      <c r="H26" s="1069">
        <f t="array" aca="1" ref="H26" ca="1">SUM('Pol. Cobranças e Pagamentos'!$H$7:$H$14*B$7:B$14)</f>
        <v>0</v>
      </c>
      <c r="I26" s="1069">
        <f t="array" aca="1" ref="I26" ca="1">SUM('Pol. Cobranças e Pagamentos'!$H$7:$H$14*C$7:C$14)</f>
        <v>0</v>
      </c>
      <c r="J26" s="1069">
        <f t="array" aca="1" ref="J26" ca="1">SUM('Pol. Cobranças e Pagamentos'!$H$7:$H$14*D$7:D$14)</f>
        <v>0</v>
      </c>
      <c r="K26" s="1069">
        <f t="array" aca="1" ref="K26" ca="1">SUM('Pol. Cobranças e Pagamentos'!$H$7:$H$14*E$7:E$14)</f>
        <v>0</v>
      </c>
      <c r="L26" s="1069">
        <f t="array" aca="1" ref="L26" ca="1">SUM('Pol. Cobranças e Pagamentos'!$H$7:$H$14*F$7:F$14)</f>
        <v>0</v>
      </c>
      <c r="M26" s="1069">
        <f t="array" aca="1" ref="M26" ca="1">SUM('Pol. Cobranças e Pagamentos'!$H$7:$H$14*G$7:G$14)</f>
        <v>0</v>
      </c>
      <c r="N26" s="1069">
        <f t="array" aca="1" ref="N26" ca="1">SUM('Pol. Cobranças e Pagamentos'!$H$7:$H$14*H$7:H$14)</f>
        <v>0</v>
      </c>
      <c r="O26" s="1069">
        <f t="array" aca="1" ref="O26" ca="1">SUM('Pol. Cobranças e Pagamentos'!$H$7:$H$14*I$7:I$14)</f>
        <v>0</v>
      </c>
      <c r="P26" s="1069">
        <f t="array" aca="1" ref="P26" ca="1">SUM('Pol. Cobranças e Pagamentos'!$H$7:$H$14*J$7:J$14)</f>
        <v>0</v>
      </c>
      <c r="Q26" s="1069">
        <f t="array" aca="1" ref="Q26" ca="1">SUM('Pol. Cobranças e Pagamentos'!$H$7:$H$14*K$7:K$14)</f>
        <v>0</v>
      </c>
      <c r="R26" s="1069">
        <f t="array" aca="1" ref="R26" ca="1">SUM('Pol. Cobranças e Pagamentos'!$H$7:$H$14*L$7:L$14)</f>
        <v>0</v>
      </c>
      <c r="S26" s="1069">
        <f t="array" aca="1" ref="S26" ca="1">SUM('Pol. Cobranças e Pagamentos'!$H$7:$H$14*M$7:M$14)</f>
        <v>0</v>
      </c>
    </row>
    <row r="27" spans="1:19" s="554" customFormat="1" ht="16.149999999999999" customHeight="1">
      <c r="A27" s="2847" t="s">
        <v>96</v>
      </c>
      <c r="B27" s="1084">
        <f t="shared" ref="B27:M27" ca="1" si="2">-morisidad*SUM(B20:B26)</f>
        <v>0</v>
      </c>
      <c r="C27" s="1084">
        <f t="shared" ca="1" si="2"/>
        <v>0</v>
      </c>
      <c r="D27" s="1084">
        <f t="shared" ca="1" si="2"/>
        <v>0</v>
      </c>
      <c r="E27" s="1084">
        <f t="shared" ca="1" si="2"/>
        <v>0</v>
      </c>
      <c r="F27" s="1084">
        <f t="shared" ca="1" si="2"/>
        <v>0</v>
      </c>
      <c r="G27" s="1084">
        <f t="shared" ca="1" si="2"/>
        <v>0</v>
      </c>
      <c r="H27" s="1084">
        <f t="shared" ca="1" si="2"/>
        <v>0</v>
      </c>
      <c r="I27" s="1084">
        <f t="shared" ca="1" si="2"/>
        <v>0</v>
      </c>
      <c r="J27" s="1084">
        <f t="shared" ca="1" si="2"/>
        <v>0</v>
      </c>
      <c r="K27" s="1084">
        <f t="shared" ca="1" si="2"/>
        <v>0</v>
      </c>
      <c r="L27" s="1084">
        <f t="shared" ca="1" si="2"/>
        <v>0</v>
      </c>
      <c r="M27" s="1084">
        <f t="shared" ca="1" si="2"/>
        <v>0</v>
      </c>
      <c r="N27" s="1071"/>
      <c r="O27" s="1071"/>
      <c r="P27" s="1071"/>
      <c r="Q27" s="1071"/>
      <c r="R27" s="1071"/>
      <c r="S27" s="1071"/>
    </row>
    <row r="28" spans="1:19" s="561" customFormat="1" ht="16.149999999999999" customHeight="1" thickBot="1">
      <c r="A28" s="2746" t="s">
        <v>3</v>
      </c>
      <c r="B28" s="2747">
        <f t="shared" ref="B28:S28" ca="1" si="3">SUM(B20:B27)</f>
        <v>242</v>
      </c>
      <c r="C28" s="2747">
        <f t="shared" ca="1" si="3"/>
        <v>330</v>
      </c>
      <c r="D28" s="2747">
        <f t="shared" ca="1" si="3"/>
        <v>418.00000000000006</v>
      </c>
      <c r="E28" s="2747">
        <f t="shared" ca="1" si="3"/>
        <v>506</v>
      </c>
      <c r="F28" s="2747">
        <f t="shared" ca="1" si="3"/>
        <v>594</v>
      </c>
      <c r="G28" s="2747">
        <f t="shared" ca="1" si="3"/>
        <v>682</v>
      </c>
      <c r="H28" s="2747">
        <f t="shared" ca="1" si="3"/>
        <v>770</v>
      </c>
      <c r="I28" s="2747">
        <f t="shared" ca="1" si="3"/>
        <v>857.99999999999989</v>
      </c>
      <c r="J28" s="2747">
        <f t="shared" ca="1" si="3"/>
        <v>946</v>
      </c>
      <c r="K28" s="2747">
        <f t="shared" ca="1" si="3"/>
        <v>1034</v>
      </c>
      <c r="L28" s="2747">
        <f t="shared" ca="1" si="3"/>
        <v>1122</v>
      </c>
      <c r="M28" s="2747">
        <f t="shared" ca="1" si="3"/>
        <v>1210</v>
      </c>
      <c r="N28" s="2747">
        <f t="shared" ca="1" si="3"/>
        <v>0</v>
      </c>
      <c r="O28" s="2747">
        <f t="shared" ca="1" si="3"/>
        <v>0</v>
      </c>
      <c r="P28" s="2747">
        <f t="shared" ca="1" si="3"/>
        <v>0</v>
      </c>
      <c r="Q28" s="2747">
        <f t="shared" ca="1" si="3"/>
        <v>0</v>
      </c>
      <c r="R28" s="2747">
        <f t="shared" ca="1" si="3"/>
        <v>0</v>
      </c>
      <c r="S28" s="2747">
        <f t="shared" ca="1" si="3"/>
        <v>0</v>
      </c>
    </row>
    <row r="29" spans="1:19" s="561" customFormat="1" ht="13.5" customHeight="1" thickBot="1">
      <c r="B29" s="1072"/>
    </row>
    <row r="30" spans="1:19" s="554" customFormat="1" ht="16.149999999999999" customHeight="1" thickBot="1">
      <c r="A30" s="287"/>
      <c r="B30" s="1072"/>
      <c r="O30" s="1073"/>
      <c r="P30" s="1074"/>
      <c r="Q30" s="1074"/>
      <c r="R30" s="1086" t="str">
        <f>CONCATENATE("Receitas de vendas pendentes para o ano ",Q18," (sem ",'Dados Básicos'!$A$28,")")</f>
        <v>Receitas de vendas pendentes para o ano 2027 (sem IVA)</v>
      </c>
      <c r="S30" s="1075">
        <f ca="1">SUM(N28:S28)</f>
        <v>0</v>
      </c>
    </row>
    <row r="31" spans="1:19" s="554" customFormat="1" ht="17.25" customHeight="1" thickBot="1">
      <c r="A31" s="287"/>
      <c r="B31" s="1072"/>
      <c r="O31" s="1073"/>
      <c r="P31" s="1074"/>
      <c r="Q31" s="1074"/>
      <c r="R31" s="1087" t="s">
        <v>842</v>
      </c>
      <c r="S31" s="1076">
        <f ca="1">-SUM(B27:M27)</f>
        <v>0</v>
      </c>
    </row>
    <row r="32" spans="1:19" s="334" customFormat="1" ht="22.5">
      <c r="A32" s="334" t="str">
        <f>"Compras e Custos variáveis ("&amp;'Dados Básicos'!$A$28&amp;" incl.)"</f>
        <v>Compras e Custos variáveis (IVA incl.)</v>
      </c>
      <c r="B32" s="172"/>
      <c r="G32" s="172"/>
      <c r="H32" s="172"/>
    </row>
    <row r="33" spans="1:19" ht="7.5" customHeight="1" thickBot="1">
      <c r="P33" s="561"/>
    </row>
    <row r="34" spans="1:19" ht="15.75" thickBot="1">
      <c r="A34" s="174" t="s">
        <v>840</v>
      </c>
      <c r="B34" s="2743" t="str">
        <f t="array" ref="B34:M34">meses</f>
        <v>janeiro</v>
      </c>
      <c r="C34" s="2743" t="str">
        <v>fevereiro</v>
      </c>
      <c r="D34" s="2743" t="str">
        <v>março</v>
      </c>
      <c r="E34" s="2743" t="str">
        <v>abril</v>
      </c>
      <c r="F34" s="2743" t="str">
        <v>maio</v>
      </c>
      <c r="G34" s="2743" t="str">
        <v>junho</v>
      </c>
      <c r="H34" s="2743" t="str">
        <v>julho</v>
      </c>
      <c r="I34" s="2743" t="str">
        <v>agosto</v>
      </c>
      <c r="J34" s="2743" t="str">
        <v>setembro</v>
      </c>
      <c r="K34" s="2743" t="str">
        <v>outubro</v>
      </c>
      <c r="L34" s="2743" t="str">
        <v>novembro</v>
      </c>
      <c r="M34" s="2743" t="str">
        <v>dezembro</v>
      </c>
      <c r="N34" s="2744" t="s">
        <v>3</v>
      </c>
      <c r="O34" s="561"/>
    </row>
    <row r="35" spans="1:19" ht="14.25">
      <c r="A35" s="2120" t="str">
        <f t="array" ref="A35:A42">productos</f>
        <v>produto 1</v>
      </c>
      <c r="B35" s="1065">
        <f t="array" aca="1" ref="B35:M42" ca="1">'Distr CV 0'!B46:M53+'Distr CV 0'!B59:M66</f>
        <v>33.880000000000003</v>
      </c>
      <c r="C35" s="1065">
        <f ca="1"/>
        <v>46.2</v>
      </c>
      <c r="D35" s="1065">
        <f ca="1"/>
        <v>58.52000000000001</v>
      </c>
      <c r="E35" s="1065">
        <f ca="1"/>
        <v>70.84</v>
      </c>
      <c r="F35" s="1065">
        <f ca="1"/>
        <v>83.160000000000011</v>
      </c>
      <c r="G35" s="1065">
        <f ca="1"/>
        <v>95.480000000000018</v>
      </c>
      <c r="H35" s="1065">
        <f ca="1"/>
        <v>107.80000000000001</v>
      </c>
      <c r="I35" s="1065">
        <f ca="1"/>
        <v>120.11999999999999</v>
      </c>
      <c r="J35" s="1065">
        <f ca="1"/>
        <v>132.44000000000003</v>
      </c>
      <c r="K35" s="1065">
        <f ca="1"/>
        <v>144.76</v>
      </c>
      <c r="L35" s="1065">
        <f ca="1"/>
        <v>157.08000000000004</v>
      </c>
      <c r="M35" s="1065">
        <f ca="1"/>
        <v>169.4</v>
      </c>
      <c r="N35" s="2121">
        <f t="shared" ref="N35:N42" ca="1" si="4">SUM(B35:M35)</f>
        <v>1219.6800000000003</v>
      </c>
      <c r="O35" s="561"/>
    </row>
    <row r="36" spans="1:19" ht="14.25">
      <c r="A36" s="2122" t="str">
        <v/>
      </c>
      <c r="B36" s="1065">
        <f ca="1"/>
        <v>0</v>
      </c>
      <c r="C36" s="1065">
        <f ca="1"/>
        <v>0</v>
      </c>
      <c r="D36" s="1065">
        <f ca="1"/>
        <v>0</v>
      </c>
      <c r="E36" s="1065">
        <f ca="1"/>
        <v>0</v>
      </c>
      <c r="F36" s="1065">
        <f ca="1"/>
        <v>0</v>
      </c>
      <c r="G36" s="1065">
        <f ca="1"/>
        <v>0</v>
      </c>
      <c r="H36" s="1065">
        <f ca="1"/>
        <v>0</v>
      </c>
      <c r="I36" s="1065">
        <f ca="1"/>
        <v>0</v>
      </c>
      <c r="J36" s="1065">
        <f ca="1"/>
        <v>0</v>
      </c>
      <c r="K36" s="1065">
        <f ca="1"/>
        <v>0</v>
      </c>
      <c r="L36" s="1065">
        <f ca="1"/>
        <v>0</v>
      </c>
      <c r="M36" s="1065">
        <f ca="1"/>
        <v>0</v>
      </c>
      <c r="N36" s="2121">
        <f t="shared" ca="1" si="4"/>
        <v>0</v>
      </c>
      <c r="O36" s="561"/>
    </row>
    <row r="37" spans="1:19" ht="14.25">
      <c r="A37" s="2122" t="str">
        <v/>
      </c>
      <c r="B37" s="1065">
        <f ca="1"/>
        <v>0</v>
      </c>
      <c r="C37" s="1065">
        <f ca="1"/>
        <v>0</v>
      </c>
      <c r="D37" s="1065">
        <f ca="1"/>
        <v>0</v>
      </c>
      <c r="E37" s="1065">
        <f ca="1"/>
        <v>0</v>
      </c>
      <c r="F37" s="1065">
        <f ca="1"/>
        <v>0</v>
      </c>
      <c r="G37" s="1065">
        <f ca="1"/>
        <v>0</v>
      </c>
      <c r="H37" s="1065">
        <f ca="1"/>
        <v>0</v>
      </c>
      <c r="I37" s="1065">
        <f ca="1"/>
        <v>0</v>
      </c>
      <c r="J37" s="1065">
        <f ca="1"/>
        <v>0</v>
      </c>
      <c r="K37" s="1065">
        <f ca="1"/>
        <v>0</v>
      </c>
      <c r="L37" s="1065">
        <f ca="1"/>
        <v>0</v>
      </c>
      <c r="M37" s="1065">
        <f ca="1"/>
        <v>0</v>
      </c>
      <c r="N37" s="2121">
        <f t="shared" ca="1" si="4"/>
        <v>0</v>
      </c>
      <c r="O37" s="561"/>
    </row>
    <row r="38" spans="1:19" ht="14.25">
      <c r="A38" s="2122" t="str">
        <v/>
      </c>
      <c r="B38" s="1065">
        <f ca="1"/>
        <v>0</v>
      </c>
      <c r="C38" s="1065">
        <f ca="1"/>
        <v>0</v>
      </c>
      <c r="D38" s="1065">
        <f ca="1"/>
        <v>0</v>
      </c>
      <c r="E38" s="1065">
        <f ca="1"/>
        <v>0</v>
      </c>
      <c r="F38" s="1065">
        <f ca="1"/>
        <v>0</v>
      </c>
      <c r="G38" s="1065">
        <f ca="1"/>
        <v>0</v>
      </c>
      <c r="H38" s="1065">
        <f ca="1"/>
        <v>0</v>
      </c>
      <c r="I38" s="1065">
        <f ca="1"/>
        <v>0</v>
      </c>
      <c r="J38" s="1065">
        <f ca="1"/>
        <v>0</v>
      </c>
      <c r="K38" s="1065">
        <f ca="1"/>
        <v>0</v>
      </c>
      <c r="L38" s="1065">
        <f ca="1"/>
        <v>0</v>
      </c>
      <c r="M38" s="1065">
        <f ca="1"/>
        <v>0</v>
      </c>
      <c r="N38" s="2121">
        <f t="shared" ca="1" si="4"/>
        <v>0</v>
      </c>
      <c r="O38" s="561"/>
    </row>
    <row r="39" spans="1:19" ht="14.25">
      <c r="A39" s="2122" t="str">
        <v/>
      </c>
      <c r="B39" s="1065">
        <f ca="1"/>
        <v>0</v>
      </c>
      <c r="C39" s="1065">
        <f ca="1"/>
        <v>0</v>
      </c>
      <c r="D39" s="1065">
        <f ca="1"/>
        <v>0</v>
      </c>
      <c r="E39" s="1065">
        <f ca="1"/>
        <v>0</v>
      </c>
      <c r="F39" s="1065">
        <f ca="1"/>
        <v>0</v>
      </c>
      <c r="G39" s="1065">
        <f ca="1"/>
        <v>0</v>
      </c>
      <c r="H39" s="1065">
        <f ca="1"/>
        <v>0</v>
      </c>
      <c r="I39" s="1065">
        <f ca="1"/>
        <v>0</v>
      </c>
      <c r="J39" s="1065">
        <f ca="1"/>
        <v>0</v>
      </c>
      <c r="K39" s="1065">
        <f ca="1"/>
        <v>0</v>
      </c>
      <c r="L39" s="1065">
        <f ca="1"/>
        <v>0</v>
      </c>
      <c r="M39" s="1065">
        <f ca="1"/>
        <v>0</v>
      </c>
      <c r="N39" s="2121">
        <f t="shared" ca="1" si="4"/>
        <v>0</v>
      </c>
      <c r="O39" s="561"/>
    </row>
    <row r="40" spans="1:19" ht="14.25">
      <c r="A40" s="2122" t="str">
        <v/>
      </c>
      <c r="B40" s="1065">
        <f ca="1"/>
        <v>0</v>
      </c>
      <c r="C40" s="1065">
        <f ca="1"/>
        <v>0</v>
      </c>
      <c r="D40" s="1065">
        <f ca="1"/>
        <v>0</v>
      </c>
      <c r="E40" s="1065">
        <f ca="1"/>
        <v>0</v>
      </c>
      <c r="F40" s="1065">
        <f ca="1"/>
        <v>0</v>
      </c>
      <c r="G40" s="1065">
        <f ca="1"/>
        <v>0</v>
      </c>
      <c r="H40" s="1065">
        <f ca="1"/>
        <v>0</v>
      </c>
      <c r="I40" s="1065">
        <f ca="1"/>
        <v>0</v>
      </c>
      <c r="J40" s="1065">
        <f ca="1"/>
        <v>0</v>
      </c>
      <c r="K40" s="1065">
        <f ca="1"/>
        <v>0</v>
      </c>
      <c r="L40" s="1065">
        <f ca="1"/>
        <v>0</v>
      </c>
      <c r="M40" s="1065">
        <f ca="1"/>
        <v>0</v>
      </c>
      <c r="N40" s="2121">
        <f t="shared" ca="1" si="4"/>
        <v>0</v>
      </c>
      <c r="O40" s="561"/>
    </row>
    <row r="41" spans="1:19" ht="14.25">
      <c r="A41" s="2122" t="str">
        <v/>
      </c>
      <c r="B41" s="1065">
        <f ca="1"/>
        <v>0</v>
      </c>
      <c r="C41" s="1065">
        <f ca="1"/>
        <v>0</v>
      </c>
      <c r="D41" s="1065">
        <f ca="1"/>
        <v>0</v>
      </c>
      <c r="E41" s="1065">
        <f ca="1"/>
        <v>0</v>
      </c>
      <c r="F41" s="1065">
        <f ca="1"/>
        <v>0</v>
      </c>
      <c r="G41" s="1065">
        <f ca="1"/>
        <v>0</v>
      </c>
      <c r="H41" s="1065">
        <f ca="1"/>
        <v>0</v>
      </c>
      <c r="I41" s="1065">
        <f ca="1"/>
        <v>0</v>
      </c>
      <c r="J41" s="1065">
        <f ca="1"/>
        <v>0</v>
      </c>
      <c r="K41" s="1065">
        <f ca="1"/>
        <v>0</v>
      </c>
      <c r="L41" s="1065">
        <f ca="1"/>
        <v>0</v>
      </c>
      <c r="M41" s="1065">
        <f ca="1"/>
        <v>0</v>
      </c>
      <c r="N41" s="2121">
        <f t="shared" ca="1" si="4"/>
        <v>0</v>
      </c>
      <c r="O41" s="561"/>
    </row>
    <row r="42" spans="1:19" ht="15" thickBot="1">
      <c r="A42" s="2123" t="str">
        <v/>
      </c>
      <c r="B42" s="1066">
        <f ca="1"/>
        <v>0</v>
      </c>
      <c r="C42" s="1066">
        <f ca="1"/>
        <v>0</v>
      </c>
      <c r="D42" s="1066">
        <f ca="1"/>
        <v>0</v>
      </c>
      <c r="E42" s="1066">
        <f ca="1"/>
        <v>0</v>
      </c>
      <c r="F42" s="1066">
        <f ca="1"/>
        <v>0</v>
      </c>
      <c r="G42" s="1066">
        <f ca="1"/>
        <v>0</v>
      </c>
      <c r="H42" s="1066">
        <f ca="1"/>
        <v>0</v>
      </c>
      <c r="I42" s="1066">
        <f ca="1"/>
        <v>0</v>
      </c>
      <c r="J42" s="1066">
        <f ca="1"/>
        <v>0</v>
      </c>
      <c r="K42" s="1066">
        <f ca="1"/>
        <v>0</v>
      </c>
      <c r="L42" s="1066">
        <f ca="1"/>
        <v>0</v>
      </c>
      <c r="M42" s="1066">
        <f ca="1"/>
        <v>0</v>
      </c>
      <c r="N42" s="2121">
        <f t="shared" ca="1" si="4"/>
        <v>0</v>
      </c>
      <c r="O42" s="561"/>
    </row>
    <row r="43" spans="1:19" ht="15.75" thickBot="1">
      <c r="A43" s="174" t="s">
        <v>3</v>
      </c>
      <c r="B43" s="2748">
        <f t="shared" ref="B43:N43" ca="1" si="5">SUM(B35:B42)</f>
        <v>33.880000000000003</v>
      </c>
      <c r="C43" s="2748">
        <f t="shared" ca="1" si="5"/>
        <v>46.2</v>
      </c>
      <c r="D43" s="2748">
        <f t="shared" ca="1" si="5"/>
        <v>58.52000000000001</v>
      </c>
      <c r="E43" s="2748">
        <f t="shared" ca="1" si="5"/>
        <v>70.84</v>
      </c>
      <c r="F43" s="2748">
        <f t="shared" ca="1" si="5"/>
        <v>83.160000000000011</v>
      </c>
      <c r="G43" s="2748">
        <f t="shared" ca="1" si="5"/>
        <v>95.480000000000018</v>
      </c>
      <c r="H43" s="2748">
        <f t="shared" ca="1" si="5"/>
        <v>107.80000000000001</v>
      </c>
      <c r="I43" s="2748">
        <f t="shared" ca="1" si="5"/>
        <v>120.11999999999999</v>
      </c>
      <c r="J43" s="2748">
        <f t="shared" ca="1" si="5"/>
        <v>132.44000000000003</v>
      </c>
      <c r="K43" s="2748">
        <f t="shared" ca="1" si="5"/>
        <v>144.76</v>
      </c>
      <c r="L43" s="2748">
        <f t="shared" ca="1" si="5"/>
        <v>157.08000000000004</v>
      </c>
      <c r="M43" s="2748">
        <f t="shared" ca="1" si="5"/>
        <v>169.4</v>
      </c>
      <c r="N43" s="2748">
        <f t="shared" ca="1" si="5"/>
        <v>1219.6800000000003</v>
      </c>
      <c r="O43" s="561"/>
    </row>
    <row r="44" spans="1:19">
      <c r="C44" s="561"/>
      <c r="D44" s="561"/>
      <c r="E44" s="561"/>
      <c r="F44" s="561"/>
      <c r="G44" s="561"/>
      <c r="H44" s="561"/>
      <c r="I44" s="561"/>
      <c r="J44" s="561"/>
      <c r="K44" s="561"/>
      <c r="L44" s="561"/>
      <c r="M44" s="561"/>
      <c r="N44" s="561"/>
      <c r="O44" s="561"/>
      <c r="P44" s="561"/>
    </row>
    <row r="45" spans="1:19" s="334" customFormat="1" ht="22.5">
      <c r="A45" s="334" t="str">
        <f>"Pagamentos de compras e gastos variáveis ("&amp;'Dados Básicos'!A28&amp;" incl.)"</f>
        <v>Pagamentos de compras e gastos variáveis (IVA incl.)</v>
      </c>
      <c r="B45" s="172"/>
      <c r="G45" s="172"/>
      <c r="H45" s="172"/>
    </row>
    <row r="46" spans="1:19" ht="15" thickBot="1">
      <c r="A46" s="561"/>
      <c r="B46" s="1064"/>
      <c r="C46" s="561"/>
      <c r="D46" s="561"/>
      <c r="E46" s="561"/>
      <c r="F46" s="561"/>
      <c r="G46" s="561"/>
      <c r="H46" s="561"/>
      <c r="I46" s="561"/>
      <c r="J46" s="561"/>
      <c r="K46" s="561"/>
      <c r="L46" s="561"/>
      <c r="M46" s="561"/>
      <c r="N46" s="561"/>
      <c r="O46" s="561"/>
      <c r="P46" s="1067" t="s">
        <v>841</v>
      </c>
      <c r="Q46" s="1068" t="str">
        <f>Q18</f>
        <v>2027</v>
      </c>
    </row>
    <row r="47" spans="1:19" ht="27.75" customHeight="1" thickBot="1">
      <c r="A47" s="174" t="s">
        <v>16</v>
      </c>
      <c r="B47" s="2118" t="str">
        <f t="array" ref="B47:S47">B$19:S$19</f>
        <v>janeiro 
2026</v>
      </c>
      <c r="C47" s="2118" t="str">
        <v>fevereiro 
2026</v>
      </c>
      <c r="D47" s="2118" t="str">
        <v>março 
2026</v>
      </c>
      <c r="E47" s="2118" t="str">
        <v>abril 
2026</v>
      </c>
      <c r="F47" s="2118" t="str">
        <v>maio 
2026</v>
      </c>
      <c r="G47" s="2118" t="str">
        <v>junho 
2026</v>
      </c>
      <c r="H47" s="2118" t="str">
        <v>julho 
2026</v>
      </c>
      <c r="I47" s="2118" t="str">
        <v>agosto 
2026</v>
      </c>
      <c r="J47" s="2118" t="str">
        <v>setembro 
2026</v>
      </c>
      <c r="K47" s="2118" t="str">
        <v>outubro 
2026</v>
      </c>
      <c r="L47" s="2118" t="str">
        <v>novembro 
2026</v>
      </c>
      <c r="M47" s="2118" t="str">
        <v>dezembro 
2026</v>
      </c>
      <c r="N47" s="2118" t="str">
        <v>janeiro 
2027</v>
      </c>
      <c r="O47" s="2118" t="str">
        <v>fevereiro 
2027</v>
      </c>
      <c r="P47" s="2118" t="str">
        <v>março 
2027</v>
      </c>
      <c r="Q47" s="2118" t="str">
        <v>abril 
2027</v>
      </c>
      <c r="R47" s="2118" t="str">
        <v>maio 
2027</v>
      </c>
      <c r="S47" s="2118" t="str">
        <v>junho 
2027</v>
      </c>
    </row>
    <row r="48" spans="1:19" ht="14.25">
      <c r="A48" s="2119" t="s">
        <v>15</v>
      </c>
      <c r="B48" s="1065">
        <f t="array" aca="1" ref="B48" ca="1">SUM('Pol. Cobranças e Pagamentos'!$B$55:$B$62*B$35:B$42)</f>
        <v>33.880000000000003</v>
      </c>
      <c r="C48" s="1065">
        <f t="array" aca="1" ref="C48" ca="1">SUM('Pol. Cobranças e Pagamentos'!$B$55:$B$62*C$35:C$42)</f>
        <v>46.2</v>
      </c>
      <c r="D48" s="1065">
        <f t="array" aca="1" ref="D48" ca="1">SUM('Pol. Cobranças e Pagamentos'!$B$55:$B$62*D$35:D$42)</f>
        <v>58.52000000000001</v>
      </c>
      <c r="E48" s="1065">
        <f t="array" aca="1" ref="E48" ca="1">SUM('Pol. Cobranças e Pagamentos'!$B$55:$B$62*E$35:E$42)</f>
        <v>70.84</v>
      </c>
      <c r="F48" s="1065">
        <f t="array" aca="1" ref="F48" ca="1">SUM('Pol. Cobranças e Pagamentos'!$B$55:$B$62*F$35:F$42)</f>
        <v>83.160000000000011</v>
      </c>
      <c r="G48" s="1065">
        <f t="array" aca="1" ref="G48" ca="1">SUM('Pol. Cobranças e Pagamentos'!$B$55:$B$62*G$35:G$42)</f>
        <v>95.480000000000018</v>
      </c>
      <c r="H48" s="1065">
        <f t="array" aca="1" ref="H48" ca="1">SUM('Pol. Cobranças e Pagamentos'!$B$55:$B$62*H$35:H$42)</f>
        <v>107.80000000000001</v>
      </c>
      <c r="I48" s="1065">
        <f t="array" aca="1" ref="I48" ca="1">SUM('Pol. Cobranças e Pagamentos'!$B$55:$B$62*I$35:I$42)</f>
        <v>120.11999999999999</v>
      </c>
      <c r="J48" s="1065">
        <f t="array" aca="1" ref="J48" ca="1">SUM('Pol. Cobranças e Pagamentos'!$B$55:$B$62*J$35:J$42)</f>
        <v>132.44000000000003</v>
      </c>
      <c r="K48" s="1065">
        <f t="array" aca="1" ref="K48" ca="1">SUM('Pol. Cobranças e Pagamentos'!$B$55:$B$62*K$35:K$42)</f>
        <v>144.76</v>
      </c>
      <c r="L48" s="1065">
        <f t="array" aca="1" ref="L48" ca="1">SUM('Pol. Cobranças e Pagamentos'!$B$55:$B$62*L$35:L$42)</f>
        <v>157.08000000000004</v>
      </c>
      <c r="M48" s="1065">
        <f t="array" aca="1" ref="M48" ca="1">SUM('Pol. Cobranças e Pagamentos'!$B$55:$B$62*M$35:M$42)</f>
        <v>169.4</v>
      </c>
      <c r="N48" s="1065"/>
      <c r="O48" s="1065"/>
      <c r="P48" s="1065"/>
      <c r="Q48" s="1065"/>
      <c r="R48" s="1065"/>
      <c r="S48" s="1065"/>
    </row>
    <row r="49" spans="1:19" ht="14.25">
      <c r="A49" s="2846">
        <v>30</v>
      </c>
      <c r="B49" s="1065"/>
      <c r="C49" s="1065">
        <f t="array" aca="1" ref="C49" ca="1">SUM('Pol. Cobranças e Pagamentos'!$C$55:$C$62*B$35:B$42)</f>
        <v>0</v>
      </c>
      <c r="D49" s="1065">
        <f t="array" aca="1" ref="D49" ca="1">SUM('Pol. Cobranças e Pagamentos'!$C$55:$C$62*C$35:C$42)</f>
        <v>0</v>
      </c>
      <c r="E49" s="1065">
        <f t="array" aca="1" ref="E49" ca="1">SUM('Pol. Cobranças e Pagamentos'!$C$55:$C$62*D$35:D$42)</f>
        <v>0</v>
      </c>
      <c r="F49" s="1065">
        <f t="array" aca="1" ref="F49" ca="1">SUM('Pol. Cobranças e Pagamentos'!$C$55:$C$62*E$35:E$42)</f>
        <v>0</v>
      </c>
      <c r="G49" s="1065">
        <f t="array" aca="1" ref="G49" ca="1">SUM('Pol. Cobranças e Pagamentos'!$C$55:$C$62*F$35:F$42)</f>
        <v>0</v>
      </c>
      <c r="H49" s="1065">
        <f t="array" aca="1" ref="H49" ca="1">SUM('Pol. Cobranças e Pagamentos'!$C$55:$C$62*G$35:G$42)</f>
        <v>0</v>
      </c>
      <c r="I49" s="1065">
        <f t="array" aca="1" ref="I49" ca="1">SUM('Pol. Cobranças e Pagamentos'!$C$55:$C$62*H$35:H$42)</f>
        <v>0</v>
      </c>
      <c r="J49" s="1065">
        <f t="array" aca="1" ref="J49" ca="1">SUM('Pol. Cobranças e Pagamentos'!$C$55:$C$62*I$35:I$42)</f>
        <v>0</v>
      </c>
      <c r="K49" s="1065">
        <f t="array" aca="1" ref="K49" ca="1">SUM('Pol. Cobranças e Pagamentos'!$C$55:$C$62*J$35:J$42)</f>
        <v>0</v>
      </c>
      <c r="L49" s="1065">
        <f t="array" aca="1" ref="L49" ca="1">SUM('Pol. Cobranças e Pagamentos'!$C$55:$C$62*K$35:K$42)</f>
        <v>0</v>
      </c>
      <c r="M49" s="1065">
        <f t="array" aca="1" ref="M49" ca="1">SUM('Pol. Cobranças e Pagamentos'!$C$55:$C$62*L$35:L$42)</f>
        <v>0</v>
      </c>
      <c r="N49" s="1065">
        <f t="array" aca="1" ref="N49" ca="1">SUM('Pol. Cobranças e Pagamentos'!$C$55:$C$62*M$35:M$42)</f>
        <v>0</v>
      </c>
      <c r="O49" s="1065"/>
      <c r="P49" s="1065"/>
      <c r="Q49" s="1065"/>
      <c r="R49" s="1065"/>
      <c r="S49" s="1065"/>
    </row>
    <row r="50" spans="1:19" ht="14.25">
      <c r="A50" s="2846">
        <v>60</v>
      </c>
      <c r="B50" s="1065"/>
      <c r="C50" s="1065"/>
      <c r="D50" s="1065">
        <f t="array" aca="1" ref="D50" ca="1">SUM('Pol. Cobranças e Pagamentos'!$D$55:$D$62*B$35:B$42)</f>
        <v>0</v>
      </c>
      <c r="E50" s="1065">
        <f t="array" aca="1" ref="E50" ca="1">SUM('Pol. Cobranças e Pagamentos'!$D$55:$D$62*C$35:C$42)</f>
        <v>0</v>
      </c>
      <c r="F50" s="1065">
        <f t="array" aca="1" ref="F50" ca="1">SUM('Pol. Cobranças e Pagamentos'!$D$55:$D$62*D$35:D$42)</f>
        <v>0</v>
      </c>
      <c r="G50" s="1065">
        <f t="array" aca="1" ref="G50" ca="1">SUM('Pol. Cobranças e Pagamentos'!$D$55:$D$62*E$35:E$42)</f>
        <v>0</v>
      </c>
      <c r="H50" s="1065">
        <f t="array" aca="1" ref="H50" ca="1">SUM('Pol. Cobranças e Pagamentos'!$D$55:$D$62*F$35:F$42)</f>
        <v>0</v>
      </c>
      <c r="I50" s="1065">
        <f t="array" aca="1" ref="I50" ca="1">SUM('Pol. Cobranças e Pagamentos'!$D$55:$D$62*G$35:G$42)</f>
        <v>0</v>
      </c>
      <c r="J50" s="1065">
        <f t="array" aca="1" ref="J50" ca="1">SUM('Pol. Cobranças e Pagamentos'!$D$55:$D$62*H$35:H$42)</f>
        <v>0</v>
      </c>
      <c r="K50" s="1065">
        <f t="array" aca="1" ref="K50" ca="1">SUM('Pol. Cobranças e Pagamentos'!$D$55:$D$62*I$35:I$42)</f>
        <v>0</v>
      </c>
      <c r="L50" s="1065">
        <f t="array" aca="1" ref="L50" ca="1">SUM('Pol. Cobranças e Pagamentos'!$D$55:$D$62*J$35:J$42)</f>
        <v>0</v>
      </c>
      <c r="M50" s="1065">
        <f t="array" aca="1" ref="M50" ca="1">SUM('Pol. Cobranças e Pagamentos'!$D$55:$D$62*K$35:K$42)</f>
        <v>0</v>
      </c>
      <c r="N50" s="1065">
        <f t="array" aca="1" ref="N50" ca="1">SUM('Pol. Cobranças e Pagamentos'!$D$55:$D$62*L$35:L$42)</f>
        <v>0</v>
      </c>
      <c r="O50" s="1065">
        <f t="array" aca="1" ref="O50" ca="1">SUM('Pol. Cobranças e Pagamentos'!$D$55:$D$62*M$35:M$42)</f>
        <v>0</v>
      </c>
      <c r="P50" s="1065"/>
      <c r="Q50" s="1065"/>
      <c r="R50" s="1065"/>
      <c r="S50" s="1065"/>
    </row>
    <row r="51" spans="1:19" ht="14.25">
      <c r="A51" s="2846">
        <v>90</v>
      </c>
      <c r="B51" s="1065"/>
      <c r="C51" s="1065"/>
      <c r="D51" s="1065"/>
      <c r="E51" s="1065">
        <f t="array" aca="1" ref="E51" ca="1">SUM('Pol. Cobranças e Pagamentos'!$E$55:$E$62*B$35:B$42)</f>
        <v>0</v>
      </c>
      <c r="F51" s="1065">
        <f t="array" aca="1" ref="F51" ca="1">SUM('Pol. Cobranças e Pagamentos'!$E$55:$E$62*C$35:C$42)</f>
        <v>0</v>
      </c>
      <c r="G51" s="1065">
        <f t="array" aca="1" ref="G51" ca="1">SUM('Pol. Cobranças e Pagamentos'!$E$55:$E$62*D$35:D$42)</f>
        <v>0</v>
      </c>
      <c r="H51" s="1065">
        <f t="array" aca="1" ref="H51" ca="1">SUM('Pol. Cobranças e Pagamentos'!$E$55:$E$62*E$35:E$42)</f>
        <v>0</v>
      </c>
      <c r="I51" s="1065">
        <f t="array" aca="1" ref="I51" ca="1">SUM('Pol. Cobranças e Pagamentos'!$E$55:$E$62*F$35:F$42)</f>
        <v>0</v>
      </c>
      <c r="J51" s="1065">
        <f t="array" aca="1" ref="J51" ca="1">SUM('Pol. Cobranças e Pagamentos'!$E$55:$E$62*G$35:G$42)</f>
        <v>0</v>
      </c>
      <c r="K51" s="1065">
        <f t="array" aca="1" ref="K51" ca="1">SUM('Pol. Cobranças e Pagamentos'!$E$55:$E$62*H$35:H$42)</f>
        <v>0</v>
      </c>
      <c r="L51" s="1065">
        <f t="array" aca="1" ref="L51" ca="1">SUM('Pol. Cobranças e Pagamentos'!$E$55:$E$62*I$35:I$42)</f>
        <v>0</v>
      </c>
      <c r="M51" s="1065">
        <f t="array" aca="1" ref="M51" ca="1">SUM('Pol. Cobranças e Pagamentos'!$E$55:$E$62*J$35:J$42)</f>
        <v>0</v>
      </c>
      <c r="N51" s="1065">
        <f t="array" aca="1" ref="N51" ca="1">SUM('Pol. Cobranças e Pagamentos'!$E$55:$E$62*K$35:K$42)</f>
        <v>0</v>
      </c>
      <c r="O51" s="1065">
        <f t="array" aca="1" ref="O51" ca="1">SUM('Pol. Cobranças e Pagamentos'!$E$55:$E$62*L$35:L$42)</f>
        <v>0</v>
      </c>
      <c r="P51" s="1065">
        <f t="array" aca="1" ref="P51" ca="1">SUM('Pol. Cobranças e Pagamentos'!$E$55:$E$62*M$35:M$42)</f>
        <v>0</v>
      </c>
      <c r="Q51" s="1065"/>
      <c r="R51" s="1065"/>
      <c r="S51" s="1065"/>
    </row>
    <row r="52" spans="1:19" ht="14.25">
      <c r="A52" s="2846">
        <v>120</v>
      </c>
      <c r="B52" s="1065"/>
      <c r="C52" s="1065"/>
      <c r="D52" s="1065"/>
      <c r="E52" s="1065"/>
      <c r="F52" s="1065">
        <f t="array" aca="1" ref="F52" ca="1">SUM('Pol. Cobranças e Pagamentos'!$F$55:$F$62*B$35:B$42)</f>
        <v>0</v>
      </c>
      <c r="G52" s="1065">
        <f t="array" aca="1" ref="G52" ca="1">SUM('Pol. Cobranças e Pagamentos'!$F$55:$F$62*C$35:C$42)</f>
        <v>0</v>
      </c>
      <c r="H52" s="1065">
        <f t="array" aca="1" ref="H52" ca="1">SUM('Pol. Cobranças e Pagamentos'!$F$55:$F$62*D$35:D$42)</f>
        <v>0</v>
      </c>
      <c r="I52" s="1065">
        <f t="array" aca="1" ref="I52" ca="1">SUM('Pol. Cobranças e Pagamentos'!$F$55:$F$62*E$35:E$42)</f>
        <v>0</v>
      </c>
      <c r="J52" s="1065">
        <f t="array" aca="1" ref="J52" ca="1">SUM('Pol. Cobranças e Pagamentos'!$F$55:$F$62*F$35:F$42)</f>
        <v>0</v>
      </c>
      <c r="K52" s="1065">
        <f t="array" aca="1" ref="K52" ca="1">SUM('Pol. Cobranças e Pagamentos'!$F$55:$F$62*G$35:G$42)</f>
        <v>0</v>
      </c>
      <c r="L52" s="1065">
        <f t="array" aca="1" ref="L52" ca="1">SUM('Pol. Cobranças e Pagamentos'!$F$55:$F$62*H$35:H$42)</f>
        <v>0</v>
      </c>
      <c r="M52" s="1065">
        <f t="array" aca="1" ref="M52" ca="1">SUM('Pol. Cobranças e Pagamentos'!$F$55:$F$62*I$35:I$42)</f>
        <v>0</v>
      </c>
      <c r="N52" s="1065">
        <f t="array" aca="1" ref="N52" ca="1">SUM('Pol. Cobranças e Pagamentos'!$F$55:$F$62*J$35:J$42)</f>
        <v>0</v>
      </c>
      <c r="O52" s="1065">
        <f t="array" aca="1" ref="O52" ca="1">SUM('Pol. Cobranças e Pagamentos'!$F$55:$F$62*K$35:K$42)</f>
        <v>0</v>
      </c>
      <c r="P52" s="1065">
        <f t="array" aca="1" ref="P52" ca="1">SUM('Pol. Cobranças e Pagamentos'!$F$55:$F$62*L$35:L$42)</f>
        <v>0</v>
      </c>
      <c r="Q52" s="1065">
        <f t="array" aca="1" ref="Q52" ca="1">SUM('Pol. Cobranças e Pagamentos'!$F$55:$F$62*M$35:M$42)</f>
        <v>0</v>
      </c>
      <c r="R52" s="1065"/>
      <c r="S52" s="1065"/>
    </row>
    <row r="53" spans="1:19" ht="14.25">
      <c r="A53" s="2846">
        <v>150</v>
      </c>
      <c r="B53" s="1065"/>
      <c r="C53" s="1065"/>
      <c r="D53" s="1065"/>
      <c r="E53" s="1065"/>
      <c r="F53" s="1065"/>
      <c r="G53" s="1065">
        <f t="array" aca="1" ref="G53" ca="1">SUM('Pol. Cobranças e Pagamentos'!$G$55:$G$62*B$35:B$42)</f>
        <v>0</v>
      </c>
      <c r="H53" s="1065">
        <f t="array" aca="1" ref="H53" ca="1">SUM('Pol. Cobranças e Pagamentos'!$G$55:$G$62*C$35:C$42)</f>
        <v>0</v>
      </c>
      <c r="I53" s="1065">
        <f t="array" aca="1" ref="I53" ca="1">SUM('Pol. Cobranças e Pagamentos'!$G$55:$G$62*D$35:D$42)</f>
        <v>0</v>
      </c>
      <c r="J53" s="1065">
        <f t="array" aca="1" ref="J53" ca="1">SUM('Pol. Cobranças e Pagamentos'!$G$55:$G$62*E$35:E$42)</f>
        <v>0</v>
      </c>
      <c r="K53" s="1065">
        <f t="array" aca="1" ref="K53" ca="1">SUM('Pol. Cobranças e Pagamentos'!$G$55:$G$62*F$35:F$42)</f>
        <v>0</v>
      </c>
      <c r="L53" s="1065">
        <f t="array" aca="1" ref="L53" ca="1">SUM('Pol. Cobranças e Pagamentos'!$G$55:$G$62*G$35:G$42)</f>
        <v>0</v>
      </c>
      <c r="M53" s="1065">
        <f t="array" aca="1" ref="M53" ca="1">SUM('Pol. Cobranças e Pagamentos'!$G$55:$G$62*H$35:H$42)</f>
        <v>0</v>
      </c>
      <c r="N53" s="1065">
        <f t="array" aca="1" ref="N53" ca="1">SUM('Pol. Cobranças e Pagamentos'!$G$55:$G$62*I$35:I$42)</f>
        <v>0</v>
      </c>
      <c r="O53" s="1065">
        <f t="array" aca="1" ref="O53" ca="1">SUM('Pol. Cobranças e Pagamentos'!$G$55:$G$62*J$35:J$42)</f>
        <v>0</v>
      </c>
      <c r="P53" s="1065">
        <f t="array" aca="1" ref="P53" ca="1">SUM('Pol. Cobranças e Pagamentos'!$G$55:$G$62*K$35:K$42)</f>
        <v>0</v>
      </c>
      <c r="Q53" s="1065">
        <f t="array" aca="1" ref="Q53" ca="1">SUM('Pol. Cobranças e Pagamentos'!$G$55:$G$62*L$35:L$42)</f>
        <v>0</v>
      </c>
      <c r="R53" s="1065">
        <f t="array" aca="1" ref="R53" ca="1">SUM('Pol. Cobranças e Pagamentos'!$G$55:$G$62*M$35:M$42)</f>
        <v>0</v>
      </c>
      <c r="S53" s="1065"/>
    </row>
    <row r="54" spans="1:19" ht="14.25">
      <c r="A54" s="2846">
        <v>180</v>
      </c>
      <c r="B54" s="1065"/>
      <c r="C54" s="1065"/>
      <c r="D54" s="1065"/>
      <c r="E54" s="1065"/>
      <c r="F54" s="1065"/>
      <c r="G54" s="1065"/>
      <c r="H54" s="1065">
        <f t="array" aca="1" ref="H54" ca="1">SUM('Pol. Cobranças e Pagamentos'!$H$55:$H$62*B$35:B$42)</f>
        <v>0</v>
      </c>
      <c r="I54" s="1065">
        <f t="array" aca="1" ref="I54" ca="1">SUM('Pol. Cobranças e Pagamentos'!$H$55:$H$62*C$35:C$42)</f>
        <v>0</v>
      </c>
      <c r="J54" s="1065">
        <f t="array" aca="1" ref="J54" ca="1">SUM('Pol. Cobranças e Pagamentos'!$H$55:$H$62*D$35:D$42)</f>
        <v>0</v>
      </c>
      <c r="K54" s="1065">
        <f t="array" aca="1" ref="K54" ca="1">SUM('Pol. Cobranças e Pagamentos'!$H$55:$H$62*E$35:E$42)</f>
        <v>0</v>
      </c>
      <c r="L54" s="1065">
        <f t="array" aca="1" ref="L54" ca="1">SUM('Pol. Cobranças e Pagamentos'!$H$55:$H$62*F$35:F$42)</f>
        <v>0</v>
      </c>
      <c r="M54" s="1065">
        <f t="array" aca="1" ref="M54" ca="1">SUM('Pol. Cobranças e Pagamentos'!$H$55:$H$62*G$35:G$42)</f>
        <v>0</v>
      </c>
      <c r="N54" s="1065">
        <f t="array" aca="1" ref="N54" ca="1">SUM('Pol. Cobranças e Pagamentos'!$H$55:$H$62*H$35:H$42)</f>
        <v>0</v>
      </c>
      <c r="O54" s="1065">
        <f t="array" aca="1" ref="O54" ca="1">SUM('Pol. Cobranças e Pagamentos'!$H$55:$H$62*I$35:I$42)</f>
        <v>0</v>
      </c>
      <c r="P54" s="1065">
        <f t="array" aca="1" ref="P54" ca="1">SUM('Pol. Cobranças e Pagamentos'!$H$55:$H$62*J$35:J$42)</f>
        <v>0</v>
      </c>
      <c r="Q54" s="1065">
        <f t="array" aca="1" ref="Q54" ca="1">SUM('Pol. Cobranças e Pagamentos'!$H$55:$H$62*K$35:K$42)</f>
        <v>0</v>
      </c>
      <c r="R54" s="1065">
        <f t="array" aca="1" ref="R54" ca="1">SUM('Pol. Cobranças e Pagamentos'!$H$55:$H$62*L$35:L$42)</f>
        <v>0</v>
      </c>
      <c r="S54" s="1065">
        <f t="array" aca="1" ref="S54" ca="1">SUM('Pol. Cobranças e Pagamentos'!$H$55:$H$62*M$35:M$42)</f>
        <v>0</v>
      </c>
    </row>
    <row r="55" spans="1:19" ht="15" thickBot="1">
      <c r="A55" s="2749" t="s">
        <v>3</v>
      </c>
      <c r="B55" s="2750">
        <f ca="1">SUM(B48:B54)</f>
        <v>33.880000000000003</v>
      </c>
      <c r="C55" s="2750">
        <f t="shared" ref="C55:M55" ca="1" si="6">SUM(C48:C54)</f>
        <v>46.2</v>
      </c>
      <c r="D55" s="2750">
        <f t="shared" ca="1" si="6"/>
        <v>58.52000000000001</v>
      </c>
      <c r="E55" s="2750">
        <f t="shared" ca="1" si="6"/>
        <v>70.84</v>
      </c>
      <c r="F55" s="2750">
        <f t="shared" ca="1" si="6"/>
        <v>83.160000000000011</v>
      </c>
      <c r="G55" s="2750">
        <f t="shared" ca="1" si="6"/>
        <v>95.480000000000018</v>
      </c>
      <c r="H55" s="2750">
        <f t="shared" ca="1" si="6"/>
        <v>107.80000000000001</v>
      </c>
      <c r="I55" s="2750">
        <f t="shared" ca="1" si="6"/>
        <v>120.11999999999999</v>
      </c>
      <c r="J55" s="2750">
        <f t="shared" ca="1" si="6"/>
        <v>132.44000000000003</v>
      </c>
      <c r="K55" s="2750">
        <f t="shared" ca="1" si="6"/>
        <v>144.76</v>
      </c>
      <c r="L55" s="2750">
        <f t="shared" ca="1" si="6"/>
        <v>157.08000000000004</v>
      </c>
      <c r="M55" s="2750">
        <f t="shared" ca="1" si="6"/>
        <v>169.4</v>
      </c>
      <c r="N55" s="2750">
        <f t="shared" ref="N55:S55" ca="1" si="7">SUM(N48:N54)</f>
        <v>0</v>
      </c>
      <c r="O55" s="2750">
        <f t="shared" ca="1" si="7"/>
        <v>0</v>
      </c>
      <c r="P55" s="2750">
        <f t="shared" ca="1" si="7"/>
        <v>0</v>
      </c>
      <c r="Q55" s="2750">
        <f t="shared" ca="1" si="7"/>
        <v>0</v>
      </c>
      <c r="R55" s="2750">
        <f t="shared" ca="1" si="7"/>
        <v>0</v>
      </c>
      <c r="S55" s="2750">
        <f t="shared" ca="1" si="7"/>
        <v>0</v>
      </c>
    </row>
    <row r="56" spans="1:19" ht="13.5" thickBot="1">
      <c r="A56" s="561"/>
      <c r="B56" s="1064"/>
      <c r="C56" s="554"/>
      <c r="D56" s="554"/>
      <c r="E56" s="554"/>
      <c r="F56" s="554"/>
      <c r="G56" s="554"/>
      <c r="H56" s="554"/>
      <c r="I56" s="554"/>
      <c r="J56" s="554"/>
      <c r="K56" s="554"/>
      <c r="L56" s="554"/>
      <c r="M56" s="554"/>
      <c r="N56" s="554"/>
      <c r="O56" s="561"/>
      <c r="P56" s="554"/>
    </row>
    <row r="57" spans="1:19" ht="13.5" thickBot="1">
      <c r="N57" s="1078"/>
      <c r="O57" s="1079"/>
      <c r="P57" s="1079"/>
      <c r="Q57" s="1079"/>
      <c r="R57" s="1088" t="str">
        <f>CONCATENATE("Pagamentos de compras e CV pendentes para o ano ",Q46," (sem ",'Dados Básicos'!A28,")")</f>
        <v>Pagamentos de compras e CV pendentes para o ano 2027 (sem IVA)</v>
      </c>
      <c r="S57" s="1089">
        <f ca="1">SUM(N55:S55)</f>
        <v>0</v>
      </c>
    </row>
  </sheetData>
  <sheetProtection sheet="1" objects="1" scenarios="1"/>
  <phoneticPr fontId="4" type="noConversion"/>
  <conditionalFormatting sqref="B7:N15">
    <cfRule type="expression" dxfId="21" priority="1" stopIfTrue="1">
      <formula>COLUMN(B6)&lt;=mes0</formula>
    </cfRule>
  </conditionalFormatting>
  <printOptions horizontalCentered="1" verticalCentered="1"/>
  <pageMargins left="0.39370078740157483" right="0.39370078740157483" top="0.38" bottom="0.32" header="0.31496062992125984" footer="0.31496062992125984"/>
  <pageSetup paperSize="9" scale="58" orientation="landscape" horizontalDpi="300" verticalDpi="300" r:id="rId1"/>
  <headerFooter alignWithMargins="0">
    <oddFooter>&amp;C&amp;"Tahoma,Normal"&amp;10&amp;A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21">
    <tabColor indexed="42"/>
    <pageSetUpPr fitToPage="1"/>
  </sheetPr>
  <dimension ref="A1:S57"/>
  <sheetViews>
    <sheetView workbookViewId="0"/>
  </sheetViews>
  <sheetFormatPr baseColWidth="10" defaultColWidth="11" defaultRowHeight="12.75"/>
  <cols>
    <col min="1" max="1" width="24.75" style="287" customWidth="1"/>
    <col min="2" max="2" width="9.75" style="289" customWidth="1"/>
    <col min="3" max="4" width="10" style="88" customWidth="1"/>
    <col min="5" max="5" width="11.375" style="88" customWidth="1"/>
    <col min="6" max="14" width="10" style="88" customWidth="1"/>
    <col min="15" max="15" width="9.5" style="287" customWidth="1"/>
    <col min="16" max="16384" width="11" style="88"/>
  </cols>
  <sheetData>
    <row r="1" spans="1:15" ht="25.5">
      <c r="A1" s="964" t="str">
        <f>'Receitas e pagamentos 0'!A1</f>
        <v>Receitas e pagamentos da Empresa</v>
      </c>
      <c r="B1" s="1081"/>
      <c r="E1" s="2742" t="str">
        <f>Parametros!C$77</f>
        <v>Ano 1:  2027</v>
      </c>
      <c r="F1" s="304"/>
      <c r="M1" s="1082"/>
      <c r="O1" s="88"/>
    </row>
    <row r="2" spans="1:15" s="554" customFormat="1" ht="25.5">
      <c r="A2" s="171" t="str">
        <f>'Dados Básicos'!B9</f>
        <v>WWW, S.L.</v>
      </c>
      <c r="B2" s="1081"/>
      <c r="D2" s="1083"/>
      <c r="E2" s="168"/>
    </row>
    <row r="3" spans="1:15" ht="21" customHeight="1">
      <c r="A3" s="88"/>
      <c r="B3" s="1068"/>
      <c r="O3" s="88"/>
    </row>
    <row r="4" spans="1:15" ht="25.5">
      <c r="A4" s="171" t="str">
        <f>'Receitas e pagamentos 0'!A4</f>
        <v>Vendas (IVA incl.)</v>
      </c>
      <c r="B4" s="1068"/>
      <c r="E4" s="172"/>
      <c r="F4" s="172"/>
      <c r="O4" s="88"/>
    </row>
    <row r="5" spans="1:15" ht="5.25" customHeight="1" thickBot="1"/>
    <row r="6" spans="1:15" s="1064" customFormat="1" ht="16.149999999999999" customHeight="1" thickBot="1">
      <c r="A6" s="174" t="str">
        <f>'Receitas e pagamentos 0'!A6</f>
        <v>Vendas no periodo</v>
      </c>
      <c r="B6" s="2743" t="str">
        <f t="array" ref="B6:M6">meses</f>
        <v>janeiro</v>
      </c>
      <c r="C6" s="2744" t="str">
        <v>fevereiro</v>
      </c>
      <c r="D6" s="2744" t="str">
        <v>março</v>
      </c>
      <c r="E6" s="2744" t="str">
        <v>abril</v>
      </c>
      <c r="F6" s="2744" t="str">
        <v>maio</v>
      </c>
      <c r="G6" s="2744" t="str">
        <v>junho</v>
      </c>
      <c r="H6" s="2744" t="str">
        <v>julho</v>
      </c>
      <c r="I6" s="2744" t="str">
        <v>agosto</v>
      </c>
      <c r="J6" s="2744" t="str">
        <v>setembro</v>
      </c>
      <c r="K6" s="2744" t="str">
        <v>outubro</v>
      </c>
      <c r="L6" s="2744" t="str">
        <v>novembro</v>
      </c>
      <c r="M6" s="2744" t="str">
        <v>dezembro</v>
      </c>
      <c r="N6" s="2744" t="s">
        <v>3</v>
      </c>
    </row>
    <row r="7" spans="1:15" s="561" customFormat="1" ht="16.149999999999999" customHeight="1">
      <c r="A7" s="2120" t="str">
        <f t="array" ref="A7:A14">productos</f>
        <v>produto 1</v>
      </c>
      <c r="B7" s="1065">
        <f t="array" aca="1" ref="B7:M14" ca="1">'Prev.Vendas 1'!B17:M24*(1+Parametros!$E24:$E31 - ret_irpf  )</f>
        <v>1246.3</v>
      </c>
      <c r="C7" s="1065">
        <f ca="1"/>
        <v>1246.3</v>
      </c>
      <c r="D7" s="1065">
        <f ca="1"/>
        <v>1246.3</v>
      </c>
      <c r="E7" s="1065">
        <f ca="1"/>
        <v>1246.3</v>
      </c>
      <c r="F7" s="1065">
        <f ca="1"/>
        <v>1246.3</v>
      </c>
      <c r="G7" s="1065">
        <f ca="1"/>
        <v>1246.3</v>
      </c>
      <c r="H7" s="1065">
        <f ca="1"/>
        <v>1246.3</v>
      </c>
      <c r="I7" s="1065">
        <f ca="1"/>
        <v>1246.3</v>
      </c>
      <c r="J7" s="1065">
        <f ca="1"/>
        <v>1246.3</v>
      </c>
      <c r="K7" s="1065">
        <f ca="1"/>
        <v>1246.3</v>
      </c>
      <c r="L7" s="1065">
        <f ca="1"/>
        <v>1246.3</v>
      </c>
      <c r="M7" s="1065">
        <f ca="1"/>
        <v>1246.3</v>
      </c>
      <c r="N7" s="2121">
        <f t="shared" ref="N7:N14" ca="1" si="0">SUM(B7:M7)</f>
        <v>14955.599999999997</v>
      </c>
    </row>
    <row r="8" spans="1:15" s="561" customFormat="1" ht="16.149999999999999" customHeight="1">
      <c r="A8" s="2122" t="str">
        <v/>
      </c>
      <c r="B8" s="1065">
        <f ca="1"/>
        <v>0</v>
      </c>
      <c r="C8" s="1065">
        <f ca="1"/>
        <v>0</v>
      </c>
      <c r="D8" s="1065">
        <f ca="1"/>
        <v>0</v>
      </c>
      <c r="E8" s="1065">
        <f ca="1"/>
        <v>0</v>
      </c>
      <c r="F8" s="1065">
        <f ca="1"/>
        <v>0</v>
      </c>
      <c r="G8" s="1065">
        <f ca="1"/>
        <v>0</v>
      </c>
      <c r="H8" s="1065">
        <f ca="1"/>
        <v>0</v>
      </c>
      <c r="I8" s="1065">
        <f ca="1"/>
        <v>0</v>
      </c>
      <c r="J8" s="1065">
        <f ca="1"/>
        <v>0</v>
      </c>
      <c r="K8" s="1065">
        <f ca="1"/>
        <v>0</v>
      </c>
      <c r="L8" s="1065">
        <f ca="1"/>
        <v>0</v>
      </c>
      <c r="M8" s="1065">
        <f ca="1"/>
        <v>0</v>
      </c>
      <c r="N8" s="2121">
        <f t="shared" ca="1" si="0"/>
        <v>0</v>
      </c>
    </row>
    <row r="9" spans="1:15" s="561" customFormat="1" ht="16.149999999999999" customHeight="1">
      <c r="A9" s="2122" t="str">
        <v/>
      </c>
      <c r="B9" s="1065">
        <f ca="1"/>
        <v>0</v>
      </c>
      <c r="C9" s="1065">
        <f ca="1"/>
        <v>0</v>
      </c>
      <c r="D9" s="1065">
        <f ca="1"/>
        <v>0</v>
      </c>
      <c r="E9" s="1065">
        <f ca="1"/>
        <v>0</v>
      </c>
      <c r="F9" s="1065">
        <f ca="1"/>
        <v>0</v>
      </c>
      <c r="G9" s="1065">
        <f ca="1"/>
        <v>0</v>
      </c>
      <c r="H9" s="1065">
        <f ca="1"/>
        <v>0</v>
      </c>
      <c r="I9" s="1065">
        <f ca="1"/>
        <v>0</v>
      </c>
      <c r="J9" s="1065">
        <f ca="1"/>
        <v>0</v>
      </c>
      <c r="K9" s="1065">
        <f ca="1"/>
        <v>0</v>
      </c>
      <c r="L9" s="1065">
        <f ca="1"/>
        <v>0</v>
      </c>
      <c r="M9" s="1065">
        <f ca="1"/>
        <v>0</v>
      </c>
      <c r="N9" s="2121">
        <f t="shared" ca="1" si="0"/>
        <v>0</v>
      </c>
    </row>
    <row r="10" spans="1:15" s="561" customFormat="1" ht="16.149999999999999" customHeight="1">
      <c r="A10" s="2122" t="str">
        <v/>
      </c>
      <c r="B10" s="1065">
        <f ca="1"/>
        <v>0</v>
      </c>
      <c r="C10" s="1065">
        <f ca="1"/>
        <v>0</v>
      </c>
      <c r="D10" s="1065">
        <f ca="1"/>
        <v>0</v>
      </c>
      <c r="E10" s="1065">
        <f ca="1"/>
        <v>0</v>
      </c>
      <c r="F10" s="1065">
        <f ca="1"/>
        <v>0</v>
      </c>
      <c r="G10" s="1065">
        <f ca="1"/>
        <v>0</v>
      </c>
      <c r="H10" s="1065">
        <f ca="1"/>
        <v>0</v>
      </c>
      <c r="I10" s="1065">
        <f ca="1"/>
        <v>0</v>
      </c>
      <c r="J10" s="1065">
        <f ca="1"/>
        <v>0</v>
      </c>
      <c r="K10" s="1065">
        <f ca="1"/>
        <v>0</v>
      </c>
      <c r="L10" s="1065">
        <f ca="1"/>
        <v>0</v>
      </c>
      <c r="M10" s="1065">
        <f ca="1"/>
        <v>0</v>
      </c>
      <c r="N10" s="2121">
        <f t="shared" ca="1" si="0"/>
        <v>0</v>
      </c>
    </row>
    <row r="11" spans="1:15" s="561" customFormat="1" ht="16.149999999999999" customHeight="1">
      <c r="A11" s="2122" t="str">
        <v/>
      </c>
      <c r="B11" s="1065">
        <f ca="1"/>
        <v>0</v>
      </c>
      <c r="C11" s="1065">
        <f ca="1"/>
        <v>0</v>
      </c>
      <c r="D11" s="1065">
        <f ca="1"/>
        <v>0</v>
      </c>
      <c r="E11" s="1065">
        <f ca="1"/>
        <v>0</v>
      </c>
      <c r="F11" s="1065">
        <f ca="1"/>
        <v>0</v>
      </c>
      <c r="G11" s="1065">
        <f ca="1"/>
        <v>0</v>
      </c>
      <c r="H11" s="1065">
        <f ca="1"/>
        <v>0</v>
      </c>
      <c r="I11" s="1065">
        <f ca="1"/>
        <v>0</v>
      </c>
      <c r="J11" s="1065">
        <f ca="1"/>
        <v>0</v>
      </c>
      <c r="K11" s="1065">
        <f ca="1"/>
        <v>0</v>
      </c>
      <c r="L11" s="1065">
        <f ca="1"/>
        <v>0</v>
      </c>
      <c r="M11" s="1065">
        <f ca="1"/>
        <v>0</v>
      </c>
      <c r="N11" s="2121">
        <f t="shared" ca="1" si="0"/>
        <v>0</v>
      </c>
    </row>
    <row r="12" spans="1:15" s="561" customFormat="1" ht="16.149999999999999" customHeight="1">
      <c r="A12" s="2122" t="str">
        <v/>
      </c>
      <c r="B12" s="1065">
        <f ca="1"/>
        <v>0</v>
      </c>
      <c r="C12" s="1065">
        <f ca="1"/>
        <v>0</v>
      </c>
      <c r="D12" s="1065">
        <f ca="1"/>
        <v>0</v>
      </c>
      <c r="E12" s="1065">
        <f ca="1"/>
        <v>0</v>
      </c>
      <c r="F12" s="1065">
        <f ca="1"/>
        <v>0</v>
      </c>
      <c r="G12" s="1065">
        <f ca="1"/>
        <v>0</v>
      </c>
      <c r="H12" s="1065">
        <f ca="1"/>
        <v>0</v>
      </c>
      <c r="I12" s="1065">
        <f ca="1"/>
        <v>0</v>
      </c>
      <c r="J12" s="1065">
        <f ca="1"/>
        <v>0</v>
      </c>
      <c r="K12" s="1065">
        <f ca="1"/>
        <v>0</v>
      </c>
      <c r="L12" s="1065">
        <f ca="1"/>
        <v>0</v>
      </c>
      <c r="M12" s="1065">
        <f ca="1"/>
        <v>0</v>
      </c>
      <c r="N12" s="2121">
        <f t="shared" ca="1" si="0"/>
        <v>0</v>
      </c>
    </row>
    <row r="13" spans="1:15" s="561" customFormat="1" ht="16.149999999999999" customHeight="1">
      <c r="A13" s="2122" t="str">
        <v/>
      </c>
      <c r="B13" s="1065">
        <f ca="1"/>
        <v>0</v>
      </c>
      <c r="C13" s="1065">
        <f ca="1"/>
        <v>0</v>
      </c>
      <c r="D13" s="1065">
        <f ca="1"/>
        <v>0</v>
      </c>
      <c r="E13" s="1065">
        <f ca="1"/>
        <v>0</v>
      </c>
      <c r="F13" s="1065">
        <f ca="1"/>
        <v>0</v>
      </c>
      <c r="G13" s="1065">
        <f ca="1"/>
        <v>0</v>
      </c>
      <c r="H13" s="1065">
        <f ca="1"/>
        <v>0</v>
      </c>
      <c r="I13" s="1065">
        <f ca="1"/>
        <v>0</v>
      </c>
      <c r="J13" s="1065">
        <f ca="1"/>
        <v>0</v>
      </c>
      <c r="K13" s="1065">
        <f ca="1"/>
        <v>0</v>
      </c>
      <c r="L13" s="1065">
        <f ca="1"/>
        <v>0</v>
      </c>
      <c r="M13" s="1065">
        <f ca="1"/>
        <v>0</v>
      </c>
      <c r="N13" s="2121">
        <f t="shared" ca="1" si="0"/>
        <v>0</v>
      </c>
    </row>
    <row r="14" spans="1:15" s="561" customFormat="1" ht="16.149999999999999" customHeight="1" thickBot="1">
      <c r="A14" s="2123" t="str">
        <v/>
      </c>
      <c r="B14" s="1066">
        <f ca="1"/>
        <v>0</v>
      </c>
      <c r="C14" s="1066">
        <f ca="1"/>
        <v>0</v>
      </c>
      <c r="D14" s="1066">
        <f ca="1"/>
        <v>0</v>
      </c>
      <c r="E14" s="1066">
        <f ca="1"/>
        <v>0</v>
      </c>
      <c r="F14" s="1066">
        <f ca="1"/>
        <v>0</v>
      </c>
      <c r="G14" s="1066">
        <f ca="1"/>
        <v>0</v>
      </c>
      <c r="H14" s="1066">
        <f ca="1"/>
        <v>0</v>
      </c>
      <c r="I14" s="1066">
        <f ca="1"/>
        <v>0</v>
      </c>
      <c r="J14" s="1066">
        <f ca="1"/>
        <v>0</v>
      </c>
      <c r="K14" s="1066">
        <f ca="1"/>
        <v>0</v>
      </c>
      <c r="L14" s="1066">
        <f ca="1"/>
        <v>0</v>
      </c>
      <c r="M14" s="1066">
        <f ca="1"/>
        <v>0</v>
      </c>
      <c r="N14" s="2121">
        <f t="shared" ca="1" si="0"/>
        <v>0</v>
      </c>
    </row>
    <row r="15" spans="1:15" s="561" customFormat="1" ht="16.149999999999999" customHeight="1" thickBot="1">
      <c r="A15" s="2124" t="s">
        <v>3</v>
      </c>
      <c r="B15" s="2125">
        <f t="shared" ref="B15:N15" ca="1" si="1">SUM(B7:B14)</f>
        <v>1246.3</v>
      </c>
      <c r="C15" s="2125">
        <f t="shared" ca="1" si="1"/>
        <v>1246.3</v>
      </c>
      <c r="D15" s="2125">
        <f t="shared" ca="1" si="1"/>
        <v>1246.3</v>
      </c>
      <c r="E15" s="2125">
        <f t="shared" ca="1" si="1"/>
        <v>1246.3</v>
      </c>
      <c r="F15" s="2125">
        <f t="shared" ca="1" si="1"/>
        <v>1246.3</v>
      </c>
      <c r="G15" s="2125">
        <f t="shared" ca="1" si="1"/>
        <v>1246.3</v>
      </c>
      <c r="H15" s="2125">
        <f t="shared" ca="1" si="1"/>
        <v>1246.3</v>
      </c>
      <c r="I15" s="2125">
        <f t="shared" ca="1" si="1"/>
        <v>1246.3</v>
      </c>
      <c r="J15" s="2125">
        <f t="shared" ca="1" si="1"/>
        <v>1246.3</v>
      </c>
      <c r="K15" s="2125">
        <f t="shared" ca="1" si="1"/>
        <v>1246.3</v>
      </c>
      <c r="L15" s="2125">
        <f t="shared" ca="1" si="1"/>
        <v>1246.3</v>
      </c>
      <c r="M15" s="2125">
        <f t="shared" ca="1" si="1"/>
        <v>1246.3</v>
      </c>
      <c r="N15" s="2125">
        <f t="shared" ca="1" si="1"/>
        <v>14955.599999999997</v>
      </c>
    </row>
    <row r="16" spans="1:15" s="561" customFormat="1" ht="16.149999999999999" customHeight="1">
      <c r="A16" s="25"/>
    </row>
    <row r="17" spans="1:19" s="334" customFormat="1" ht="22.5">
      <c r="A17" s="334" t="str">
        <f>'Receitas e pagamentos 0'!A17</f>
        <v>Receitas por Vendas do ano</v>
      </c>
      <c r="B17" s="172"/>
      <c r="E17" s="172"/>
      <c r="F17" s="172"/>
    </row>
    <row r="18" spans="1:19" ht="16.5" customHeight="1" thickBot="1">
      <c r="A18" s="88"/>
      <c r="B18" s="88"/>
      <c r="O18" s="88"/>
      <c r="P18" s="1067" t="str">
        <f>'Receitas e pagamentos 0'!P18</f>
        <v>Pendente para o ano seguinte:</v>
      </c>
      <c r="Q18" s="1085" t="str">
        <f>Parametros!F65</f>
        <v>2028</v>
      </c>
    </row>
    <row r="19" spans="1:19" s="1064" customFormat="1" ht="28.5" customHeight="1" thickBot="1">
      <c r="A19" s="174" t="str">
        <f t="array" ref="A19:A27">'Receitas e pagamentos 0'!A19:A27</f>
        <v>Prazos das receitas</v>
      </c>
      <c r="B19" s="2745" t="str">
        <f t="array" ref="B19:M19">'Estimações Vendas'!B18:M18</f>
        <v>janeiro 
2027</v>
      </c>
      <c r="C19" s="2745" t="str">
        <v>fevereiro 
2027</v>
      </c>
      <c r="D19" s="2745" t="str">
        <v>março 
2027</v>
      </c>
      <c r="E19" s="2745" t="str">
        <v>abril 
2027</v>
      </c>
      <c r="F19" s="2745" t="str">
        <v>maio 
2027</v>
      </c>
      <c r="G19" s="2745" t="str">
        <v>junho 
2027</v>
      </c>
      <c r="H19" s="2745" t="str">
        <v>julho 
2027</v>
      </c>
      <c r="I19" s="2745" t="str">
        <v>agosto 
2027</v>
      </c>
      <c r="J19" s="2745" t="str">
        <v>setembro 
2027</v>
      </c>
      <c r="K19" s="2745" t="str">
        <v>outubro 
2027</v>
      </c>
      <c r="L19" s="2745" t="str">
        <v>novembro 
2027</v>
      </c>
      <c r="M19" s="2745" t="str">
        <v>dezembro 
2027</v>
      </c>
      <c r="N19" s="2745" t="str">
        <f t="array" ref="N19:S19">'Receitas e pagamentos 2'!B19:G19</f>
        <v>janeiro 
2028</v>
      </c>
      <c r="O19" s="2745" t="str">
        <v>fevereiro 
2028</v>
      </c>
      <c r="P19" s="2745" t="str">
        <v>março 
2028</v>
      </c>
      <c r="Q19" s="2745" t="str">
        <v>abril 
2028</v>
      </c>
      <c r="R19" s="2745" t="str">
        <v>maio 
2028</v>
      </c>
      <c r="S19" s="2745" t="str">
        <v>junho 
2028</v>
      </c>
    </row>
    <row r="20" spans="1:19" s="554" customFormat="1" ht="16.149999999999999" customHeight="1">
      <c r="A20" s="2119" t="str">
        <v>Contado</v>
      </c>
      <c r="B20" s="1069">
        <f t="array" aca="1" ref="B20" ca="1">SUM('Pol. Cobranças e Pagamentos'!$B$24:$B$31*B7:B14)</f>
        <v>1246.3</v>
      </c>
      <c r="C20" s="1069">
        <f t="array" aca="1" ref="C20" ca="1">SUM('Pol. Cobranças e Pagamentos'!$B$24:$B$31*C7:C14)</f>
        <v>1246.3</v>
      </c>
      <c r="D20" s="1069">
        <f t="array" aca="1" ref="D20" ca="1">SUM('Pol. Cobranças e Pagamentos'!$B$24:$B$31*D7:D14)</f>
        <v>1246.3</v>
      </c>
      <c r="E20" s="1069">
        <f t="array" aca="1" ref="E20" ca="1">SUM('Pol. Cobranças e Pagamentos'!$B$24:$B$31*E7:E14)</f>
        <v>1246.3</v>
      </c>
      <c r="F20" s="1069">
        <f t="array" aca="1" ref="F20" ca="1">SUM('Pol. Cobranças e Pagamentos'!$B$24:$B$31*F7:F14)</f>
        <v>1246.3</v>
      </c>
      <c r="G20" s="1069">
        <f t="array" aca="1" ref="G20" ca="1">SUM('Pol. Cobranças e Pagamentos'!$B$24:$B$31*G7:G14)</f>
        <v>1246.3</v>
      </c>
      <c r="H20" s="1069">
        <f t="array" aca="1" ref="H20" ca="1">SUM('Pol. Cobranças e Pagamentos'!$B$24:$B$31*H7:H14)</f>
        <v>1246.3</v>
      </c>
      <c r="I20" s="1069">
        <f t="array" aca="1" ref="I20" ca="1">SUM('Pol. Cobranças e Pagamentos'!$B$24:$B$31*I7:I14)</f>
        <v>1246.3</v>
      </c>
      <c r="J20" s="1069">
        <f t="array" aca="1" ref="J20" ca="1">SUM('Pol. Cobranças e Pagamentos'!$B$24:$B$31*J7:J14)</f>
        <v>1246.3</v>
      </c>
      <c r="K20" s="1069">
        <f t="array" aca="1" ref="K20" ca="1">SUM('Pol. Cobranças e Pagamentos'!$B$24:$B$31*K7:K14)</f>
        <v>1246.3</v>
      </c>
      <c r="L20" s="1069">
        <f t="array" aca="1" ref="L20" ca="1">SUM('Pol. Cobranças e Pagamentos'!$B$24:$B$31*L7:L14)</f>
        <v>1246.3</v>
      </c>
      <c r="M20" s="1069">
        <f t="array" aca="1" ref="M20" ca="1">SUM('Pol. Cobranças e Pagamentos'!$B$24:$B$31*M7:M14)</f>
        <v>1246.3</v>
      </c>
      <c r="N20" s="1069"/>
      <c r="O20" s="1069"/>
      <c r="P20" s="1069"/>
      <c r="Q20" s="1069"/>
      <c r="R20" s="1069"/>
      <c r="S20" s="1069"/>
    </row>
    <row r="21" spans="1:19" s="561" customFormat="1" ht="16.149999999999999" customHeight="1">
      <c r="A21" s="2846">
        <v>30</v>
      </c>
      <c r="B21" s="1070">
        <f t="array" aca="1" ref="B21:B26" ca="1">'Receitas e pagamentos 0'!N21:N26</f>
        <v>0</v>
      </c>
      <c r="C21" s="1069">
        <f t="array" aca="1" ref="C21" ca="1">SUM('Pol. Cobranças e Pagamentos'!$C$24:$C$31*B$7:B$14)</f>
        <v>0</v>
      </c>
      <c r="D21" s="1069">
        <f t="array" aca="1" ref="D21" ca="1">SUM('Pol. Cobranças e Pagamentos'!$C$24:$C$31*C$7:C$14)</f>
        <v>0</v>
      </c>
      <c r="E21" s="1069">
        <f t="array" aca="1" ref="E21" ca="1">SUM('Pol. Cobranças e Pagamentos'!$C$24:$C$31*D$7:D$14)</f>
        <v>0</v>
      </c>
      <c r="F21" s="1069">
        <f t="array" aca="1" ref="F21" ca="1">SUM('Pol. Cobranças e Pagamentos'!$C$24:$C$31*E$7:E$14)</f>
        <v>0</v>
      </c>
      <c r="G21" s="1069">
        <f t="array" aca="1" ref="G21" ca="1">SUM('Pol. Cobranças e Pagamentos'!$C$24:$C$31*F$7:F$14)</f>
        <v>0</v>
      </c>
      <c r="H21" s="1069">
        <f t="array" aca="1" ref="H21" ca="1">SUM('Pol. Cobranças e Pagamentos'!$C$24:$C$31*G$7:G$14)</f>
        <v>0</v>
      </c>
      <c r="I21" s="1069">
        <f t="array" aca="1" ref="I21" ca="1">SUM('Pol. Cobranças e Pagamentos'!$C$24:$C$31*H$7:H$14)</f>
        <v>0</v>
      </c>
      <c r="J21" s="1069">
        <f t="array" aca="1" ref="J21" ca="1">SUM('Pol. Cobranças e Pagamentos'!$C$24:$C$31*I$7:I$14)</f>
        <v>0</v>
      </c>
      <c r="K21" s="1069">
        <f t="array" aca="1" ref="K21" ca="1">SUM('Pol. Cobranças e Pagamentos'!$C$24:$C$31*J$7:J$14)</f>
        <v>0</v>
      </c>
      <c r="L21" s="1069">
        <f t="array" aca="1" ref="L21" ca="1">SUM('Pol. Cobranças e Pagamentos'!$C$24:$C$31*K$7:K$14)</f>
        <v>0</v>
      </c>
      <c r="M21" s="1069">
        <f t="array" aca="1" ref="M21" ca="1">SUM('Pol. Cobranças e Pagamentos'!$C$24:$C$31*L$7:L$14)</f>
        <v>0</v>
      </c>
      <c r="N21" s="1069">
        <f t="array" aca="1" ref="N21" ca="1">SUM('Pol. Cobranças e Pagamentos'!$C$24:$C$31*M$7:M$14)</f>
        <v>0</v>
      </c>
      <c r="O21" s="1069"/>
      <c r="P21" s="1069"/>
      <c r="Q21" s="1069"/>
      <c r="R21" s="1069"/>
      <c r="S21" s="1069"/>
    </row>
    <row r="22" spans="1:19" s="554" customFormat="1" ht="16.149999999999999" customHeight="1">
      <c r="A22" s="2846">
        <v>60</v>
      </c>
      <c r="B22" s="1070">
        <f ca="1"/>
        <v>0</v>
      </c>
      <c r="C22" s="1070">
        <f t="array" aca="1" ref="C22:C26" ca="1">'Receitas e pagamentos 0'!O22:O26</f>
        <v>0</v>
      </c>
      <c r="D22" s="1069">
        <f t="array" aca="1" ref="D22" ca="1">SUM('Pol. Cobranças e Pagamentos'!$D$24:$D$31*B$7:B$14)</f>
        <v>0</v>
      </c>
      <c r="E22" s="1069">
        <f t="array" aca="1" ref="E22" ca="1">SUM('Pol. Cobranças e Pagamentos'!$D$24:$D$31*C$7:C$14)</f>
        <v>0</v>
      </c>
      <c r="F22" s="1069">
        <f t="array" aca="1" ref="F22" ca="1">SUM('Pol. Cobranças e Pagamentos'!$D$24:$D$31*D$7:D$14)</f>
        <v>0</v>
      </c>
      <c r="G22" s="1069">
        <f t="array" aca="1" ref="G22" ca="1">SUM('Pol. Cobranças e Pagamentos'!$D$24:$D$31*E$7:E$14)</f>
        <v>0</v>
      </c>
      <c r="H22" s="1069">
        <f t="array" aca="1" ref="H22" ca="1">SUM('Pol. Cobranças e Pagamentos'!$D$24:$D$31*F$7:F$14)</f>
        <v>0</v>
      </c>
      <c r="I22" s="1069">
        <f t="array" aca="1" ref="I22" ca="1">SUM('Pol. Cobranças e Pagamentos'!$D$24:$D$31*G$7:G$14)</f>
        <v>0</v>
      </c>
      <c r="J22" s="1069">
        <f t="array" aca="1" ref="J22" ca="1">SUM('Pol. Cobranças e Pagamentos'!$D$24:$D$31*H$7:H$14)</f>
        <v>0</v>
      </c>
      <c r="K22" s="1069">
        <f t="array" aca="1" ref="K22" ca="1">SUM('Pol. Cobranças e Pagamentos'!$D$24:$D$31*I$7:I$14)</f>
        <v>0</v>
      </c>
      <c r="L22" s="1069">
        <f t="array" aca="1" ref="L22" ca="1">SUM('Pol. Cobranças e Pagamentos'!$D$24:$D$31*J$7:J$14)</f>
        <v>0</v>
      </c>
      <c r="M22" s="1069">
        <f t="array" aca="1" ref="M22" ca="1">SUM('Pol. Cobranças e Pagamentos'!$D$24:$D$31*K$7:K$14)</f>
        <v>0</v>
      </c>
      <c r="N22" s="1069">
        <f t="array" aca="1" ref="N22" ca="1">SUM('Pol. Cobranças e Pagamentos'!$D$24:$D$31*L$7:L$14)</f>
        <v>0</v>
      </c>
      <c r="O22" s="1069">
        <f t="array" aca="1" ref="O22" ca="1">SUM('Pol. Cobranças e Pagamentos'!$D$24:$D$31*M$7:M$14)</f>
        <v>0</v>
      </c>
      <c r="P22" s="1069"/>
      <c r="Q22" s="1069"/>
      <c r="R22" s="1069"/>
      <c r="S22" s="1069"/>
    </row>
    <row r="23" spans="1:19" s="554" customFormat="1" ht="16.149999999999999" customHeight="1">
      <c r="A23" s="2846">
        <v>90</v>
      </c>
      <c r="B23" s="1070">
        <f ca="1"/>
        <v>0</v>
      </c>
      <c r="C23" s="1070">
        <f ca="1"/>
        <v>0</v>
      </c>
      <c r="D23" s="1070">
        <f t="array" aca="1" ref="D23:D26" ca="1">'Receitas e pagamentos 0'!P23:P26</f>
        <v>0</v>
      </c>
      <c r="E23" s="1069">
        <f t="array" aca="1" ref="E23" ca="1">SUM('Pol. Cobranças e Pagamentos'!$E$24:$E$31*B$7:B$14)</f>
        <v>0</v>
      </c>
      <c r="F23" s="1069">
        <f t="array" aca="1" ref="F23" ca="1">SUM('Pol. Cobranças e Pagamentos'!$E$24:$E$31*C$7:C$14)</f>
        <v>0</v>
      </c>
      <c r="G23" s="1069">
        <f t="array" aca="1" ref="G23" ca="1">SUM('Pol. Cobranças e Pagamentos'!$E$24:$E$31*D$7:D$14)</f>
        <v>0</v>
      </c>
      <c r="H23" s="1069">
        <f t="array" aca="1" ref="H23" ca="1">SUM('Pol. Cobranças e Pagamentos'!$E$24:$E$31*E$7:E$14)</f>
        <v>0</v>
      </c>
      <c r="I23" s="1069">
        <f t="array" aca="1" ref="I23" ca="1">SUM('Pol. Cobranças e Pagamentos'!$E$24:$E$31*F$7:F$14)</f>
        <v>0</v>
      </c>
      <c r="J23" s="1069">
        <f t="array" aca="1" ref="J23" ca="1">SUM('Pol. Cobranças e Pagamentos'!$E$24:$E$31*G$7:G$14)</f>
        <v>0</v>
      </c>
      <c r="K23" s="1069">
        <f t="array" aca="1" ref="K23" ca="1">SUM('Pol. Cobranças e Pagamentos'!$E$24:$E$31*H$7:H$14)</f>
        <v>0</v>
      </c>
      <c r="L23" s="1069">
        <f t="array" aca="1" ref="L23" ca="1">SUM('Pol. Cobranças e Pagamentos'!$E$24:$E$31*I$7:I$14)</f>
        <v>0</v>
      </c>
      <c r="M23" s="1069">
        <f t="array" aca="1" ref="M23" ca="1">SUM('Pol. Cobranças e Pagamentos'!$E$24:$E$31*J$7:J$14)</f>
        <v>0</v>
      </c>
      <c r="N23" s="1069">
        <f t="array" aca="1" ref="N23" ca="1">SUM('Pol. Cobranças e Pagamentos'!$E$24:$E$31*K$7:K$14)</f>
        <v>0</v>
      </c>
      <c r="O23" s="1069">
        <f t="array" aca="1" ref="O23" ca="1">SUM('Pol. Cobranças e Pagamentos'!$E$24:$E$31*L$7:L$14)</f>
        <v>0</v>
      </c>
      <c r="P23" s="1069">
        <f t="array" aca="1" ref="P23" ca="1">SUM('Pol. Cobranças e Pagamentos'!$E$24:$E$31*M$7:M$14)</f>
        <v>0</v>
      </c>
      <c r="Q23" s="1069"/>
      <c r="R23" s="1069"/>
      <c r="S23" s="1069"/>
    </row>
    <row r="24" spans="1:19" s="554" customFormat="1" ht="16.149999999999999" customHeight="1">
      <c r="A24" s="2846">
        <v>120</v>
      </c>
      <c r="B24" s="1070">
        <f ca="1"/>
        <v>0</v>
      </c>
      <c r="C24" s="1070">
        <f ca="1"/>
        <v>0</v>
      </c>
      <c r="D24" s="1070">
        <f ca="1"/>
        <v>0</v>
      </c>
      <c r="E24" s="1070">
        <f t="array" aca="1" ref="E24:E26" ca="1">'Receitas e pagamentos 0'!Q24:Q26</f>
        <v>0</v>
      </c>
      <c r="F24" s="1069">
        <f t="array" aca="1" ref="F24" ca="1">SUM('Pol. Cobranças e Pagamentos'!$F$24:$F$31*B$7:B$14)</f>
        <v>0</v>
      </c>
      <c r="G24" s="1069">
        <f t="array" aca="1" ref="G24" ca="1">SUM('Pol. Cobranças e Pagamentos'!$F$24:$F$31*C$7:C$14)</f>
        <v>0</v>
      </c>
      <c r="H24" s="1069">
        <f t="array" aca="1" ref="H24" ca="1">SUM('Pol. Cobranças e Pagamentos'!$F$24:$F$31*D$7:D$14)</f>
        <v>0</v>
      </c>
      <c r="I24" s="1069">
        <f t="array" aca="1" ref="I24" ca="1">SUM('Pol. Cobranças e Pagamentos'!$F$24:$F$31*E$7:E$14)</f>
        <v>0</v>
      </c>
      <c r="J24" s="1069">
        <f t="array" aca="1" ref="J24" ca="1">SUM('Pol. Cobranças e Pagamentos'!$F$24:$F$31*F$7:F$14)</f>
        <v>0</v>
      </c>
      <c r="K24" s="1069">
        <f t="array" aca="1" ref="K24" ca="1">SUM('Pol. Cobranças e Pagamentos'!$F$24:$F$31*G$7:G$14)</f>
        <v>0</v>
      </c>
      <c r="L24" s="1069">
        <f t="array" aca="1" ref="L24" ca="1">SUM('Pol. Cobranças e Pagamentos'!$F$24:$F$31*H$7:H$14)</f>
        <v>0</v>
      </c>
      <c r="M24" s="1069">
        <f t="array" aca="1" ref="M24" ca="1">SUM('Pol. Cobranças e Pagamentos'!$F$24:$F$31*I$7:I$14)</f>
        <v>0</v>
      </c>
      <c r="N24" s="1069">
        <f t="array" aca="1" ref="N24" ca="1">SUM('Pol. Cobranças e Pagamentos'!$F$24:$F$31*J$7:J$14)</f>
        <v>0</v>
      </c>
      <c r="O24" s="1069">
        <f t="array" aca="1" ref="O24" ca="1">SUM('Pol. Cobranças e Pagamentos'!$F$24:$F$31*K$7:K$14)</f>
        <v>0</v>
      </c>
      <c r="P24" s="1069">
        <f t="array" aca="1" ref="P24" ca="1">SUM('Pol. Cobranças e Pagamentos'!$F$24:$F$31*L$7:L$14)</f>
        <v>0</v>
      </c>
      <c r="Q24" s="1069">
        <f t="array" aca="1" ref="Q24" ca="1">SUM('Pol. Cobranças e Pagamentos'!$F$24:$F$31*M$7:M$14)</f>
        <v>0</v>
      </c>
      <c r="R24" s="1069"/>
      <c r="S24" s="1069"/>
    </row>
    <row r="25" spans="1:19" s="554" customFormat="1" ht="16.149999999999999" customHeight="1">
      <c r="A25" s="2846">
        <v>150</v>
      </c>
      <c r="B25" s="1070">
        <f ca="1"/>
        <v>0</v>
      </c>
      <c r="C25" s="1070">
        <f ca="1"/>
        <v>0</v>
      </c>
      <c r="D25" s="1070">
        <f ca="1"/>
        <v>0</v>
      </c>
      <c r="E25" s="1070">
        <f ca="1"/>
        <v>0</v>
      </c>
      <c r="F25" s="1070">
        <f t="array" aca="1" ref="F25:F26" ca="1">'Receitas e pagamentos 0'!R25:R26</f>
        <v>0</v>
      </c>
      <c r="G25" s="1069">
        <f t="array" aca="1" ref="G25" ca="1">SUM('Pol. Cobranças e Pagamentos'!$G$24:$G$31*B$7:B$14)</f>
        <v>0</v>
      </c>
      <c r="H25" s="1069">
        <f t="array" aca="1" ref="H25" ca="1">SUM('Pol. Cobranças e Pagamentos'!$G$24:$G$31*C$7:C$14)</f>
        <v>0</v>
      </c>
      <c r="I25" s="1069">
        <f t="array" aca="1" ref="I25" ca="1">SUM('Pol. Cobranças e Pagamentos'!$G$24:$G$31*D$7:D$14)</f>
        <v>0</v>
      </c>
      <c r="J25" s="1069">
        <f t="array" aca="1" ref="J25" ca="1">SUM('Pol. Cobranças e Pagamentos'!$G$24:$G$31*E$7:E$14)</f>
        <v>0</v>
      </c>
      <c r="K25" s="1069">
        <f t="array" aca="1" ref="K25" ca="1">SUM('Pol. Cobranças e Pagamentos'!$G$24:$G$31*F$7:F$14)</f>
        <v>0</v>
      </c>
      <c r="L25" s="1069">
        <f t="array" aca="1" ref="L25" ca="1">SUM('Pol. Cobranças e Pagamentos'!$G$24:$G$31*G$7:G$14)</f>
        <v>0</v>
      </c>
      <c r="M25" s="1069">
        <f t="array" aca="1" ref="M25" ca="1">SUM('Pol. Cobranças e Pagamentos'!$G$24:$G$31*H$7:H$14)</f>
        <v>0</v>
      </c>
      <c r="N25" s="1069">
        <f t="array" aca="1" ref="N25" ca="1">SUM('Pol. Cobranças e Pagamentos'!$G$24:$G$31*I$7:I$14)</f>
        <v>0</v>
      </c>
      <c r="O25" s="1069">
        <f t="array" aca="1" ref="O25" ca="1">SUM('Pol. Cobranças e Pagamentos'!$G$24:$G$31*J$7:J$14)</f>
        <v>0</v>
      </c>
      <c r="P25" s="1069">
        <f t="array" aca="1" ref="P25" ca="1">SUM('Pol. Cobranças e Pagamentos'!$G$24:$G$31*K$7:K$14)</f>
        <v>0</v>
      </c>
      <c r="Q25" s="1069">
        <f t="array" aca="1" ref="Q25" ca="1">SUM('Pol. Cobranças e Pagamentos'!$G$24:$G$31*L$7:L$14)</f>
        <v>0</v>
      </c>
      <c r="R25" s="1069">
        <f t="array" aca="1" ref="R25" ca="1">SUM('Pol. Cobranças e Pagamentos'!$G$24:$G$31*M$7:M$14)</f>
        <v>0</v>
      </c>
      <c r="S25" s="1069"/>
    </row>
    <row r="26" spans="1:19" s="554" customFormat="1" ht="16.149999999999999" customHeight="1">
      <c r="A26" s="2846">
        <v>180</v>
      </c>
      <c r="B26" s="1070">
        <f ca="1"/>
        <v>0</v>
      </c>
      <c r="C26" s="1070">
        <f ca="1"/>
        <v>0</v>
      </c>
      <c r="D26" s="1070">
        <f ca="1"/>
        <v>0</v>
      </c>
      <c r="E26" s="1070">
        <f ca="1"/>
        <v>0</v>
      </c>
      <c r="F26" s="1070">
        <f ca="1"/>
        <v>0</v>
      </c>
      <c r="G26" s="1070">
        <f ca="1">'Receitas e pagamentos 0'!S26</f>
        <v>0</v>
      </c>
      <c r="H26" s="1069">
        <f t="array" aca="1" ref="H26" ca="1">SUM('Pol. Cobranças e Pagamentos'!$H$24:$H$31*B$7:B$14)</f>
        <v>0</v>
      </c>
      <c r="I26" s="1069">
        <f t="array" aca="1" ref="I26" ca="1">SUM('Pol. Cobranças e Pagamentos'!$H$24:$H$31*C$7:C$14)</f>
        <v>0</v>
      </c>
      <c r="J26" s="1069">
        <f t="array" aca="1" ref="J26" ca="1">SUM('Pol. Cobranças e Pagamentos'!$H$24:$H$31*D$7:D$14)</f>
        <v>0</v>
      </c>
      <c r="K26" s="1069">
        <f t="array" aca="1" ref="K26" ca="1">SUM('Pol. Cobranças e Pagamentos'!$H$24:$H$31*E$7:E$14)</f>
        <v>0</v>
      </c>
      <c r="L26" s="1069">
        <f t="array" aca="1" ref="L26" ca="1">SUM('Pol. Cobranças e Pagamentos'!$H$24:$H$31*F$7:F$14)</f>
        <v>0</v>
      </c>
      <c r="M26" s="1069">
        <f t="array" aca="1" ref="M26" ca="1">SUM('Pol. Cobranças e Pagamentos'!$H$24:$H$31*G$7:G$14)</f>
        <v>0</v>
      </c>
      <c r="N26" s="1069">
        <f t="array" aca="1" ref="N26" ca="1">SUM('Pol. Cobranças e Pagamentos'!$H$24:$H$31*H$7:H$14)</f>
        <v>0</v>
      </c>
      <c r="O26" s="1069">
        <f t="array" aca="1" ref="O26" ca="1">SUM('Pol. Cobranças e Pagamentos'!$H$24:$H$31*I$7:I$14)</f>
        <v>0</v>
      </c>
      <c r="P26" s="1069">
        <f t="array" aca="1" ref="P26" ca="1">SUM('Pol. Cobranças e Pagamentos'!$H$24:$H$31*J$7:J$14)</f>
        <v>0</v>
      </c>
      <c r="Q26" s="1069">
        <f t="array" aca="1" ref="Q26" ca="1">SUM('Pol. Cobranças e Pagamentos'!$H$24:$H$31*K$7:K$14)</f>
        <v>0</v>
      </c>
      <c r="R26" s="1069">
        <f t="array" aca="1" ref="R26" ca="1">SUM('Pol. Cobranças e Pagamentos'!$H$24:$H$31*L$7:L$14)</f>
        <v>0</v>
      </c>
      <c r="S26" s="1069">
        <f t="array" aca="1" ref="S26" ca="1">SUM('Pol. Cobranças e Pagamentos'!$H$24:$H$31*M$7:M$14)</f>
        <v>0</v>
      </c>
    </row>
    <row r="27" spans="1:19" s="554" customFormat="1" ht="16.149999999999999" customHeight="1">
      <c r="A27" s="2847" t="str">
        <v>Impagados</v>
      </c>
      <c r="B27" s="1084">
        <f t="shared" ref="B27:M27" ca="1" si="2">-morisidad*SUM(B20:B26)</f>
        <v>0</v>
      </c>
      <c r="C27" s="1084">
        <f t="shared" ca="1" si="2"/>
        <v>0</v>
      </c>
      <c r="D27" s="1084">
        <f t="shared" ca="1" si="2"/>
        <v>0</v>
      </c>
      <c r="E27" s="1084">
        <f t="shared" ca="1" si="2"/>
        <v>0</v>
      </c>
      <c r="F27" s="1084">
        <f t="shared" ca="1" si="2"/>
        <v>0</v>
      </c>
      <c r="G27" s="1084">
        <f t="shared" ca="1" si="2"/>
        <v>0</v>
      </c>
      <c r="H27" s="1084">
        <f t="shared" ca="1" si="2"/>
        <v>0</v>
      </c>
      <c r="I27" s="1084">
        <f t="shared" ca="1" si="2"/>
        <v>0</v>
      </c>
      <c r="J27" s="1084">
        <f t="shared" ca="1" si="2"/>
        <v>0</v>
      </c>
      <c r="K27" s="1084">
        <f t="shared" ca="1" si="2"/>
        <v>0</v>
      </c>
      <c r="L27" s="1084">
        <f t="shared" ca="1" si="2"/>
        <v>0</v>
      </c>
      <c r="M27" s="1084">
        <f t="shared" ca="1" si="2"/>
        <v>0</v>
      </c>
      <c r="N27" s="1071"/>
      <c r="O27" s="1071"/>
      <c r="P27" s="1071"/>
      <c r="Q27" s="1071"/>
      <c r="R27" s="1071"/>
      <c r="S27" s="1071"/>
    </row>
    <row r="28" spans="1:19" s="561" customFormat="1" ht="16.149999999999999" customHeight="1" thickBot="1">
      <c r="A28" s="2746" t="s">
        <v>3</v>
      </c>
      <c r="B28" s="2747">
        <f t="shared" ref="B28:S28" ca="1" si="3">SUM(B20:B27)</f>
        <v>1246.3</v>
      </c>
      <c r="C28" s="2747">
        <f t="shared" ca="1" si="3"/>
        <v>1246.3</v>
      </c>
      <c r="D28" s="2747">
        <f t="shared" ca="1" si="3"/>
        <v>1246.3</v>
      </c>
      <c r="E28" s="2747">
        <f t="shared" ca="1" si="3"/>
        <v>1246.3</v>
      </c>
      <c r="F28" s="2747">
        <f t="shared" ca="1" si="3"/>
        <v>1246.3</v>
      </c>
      <c r="G28" s="2747">
        <f t="shared" ca="1" si="3"/>
        <v>1246.3</v>
      </c>
      <c r="H28" s="2747">
        <f t="shared" ca="1" si="3"/>
        <v>1246.3</v>
      </c>
      <c r="I28" s="2747">
        <f t="shared" ca="1" si="3"/>
        <v>1246.3</v>
      </c>
      <c r="J28" s="2747">
        <f t="shared" ca="1" si="3"/>
        <v>1246.3</v>
      </c>
      <c r="K28" s="2747">
        <f t="shared" ca="1" si="3"/>
        <v>1246.3</v>
      </c>
      <c r="L28" s="2747">
        <f t="shared" ca="1" si="3"/>
        <v>1246.3</v>
      </c>
      <c r="M28" s="2747">
        <f t="shared" ca="1" si="3"/>
        <v>1246.3</v>
      </c>
      <c r="N28" s="2747">
        <f t="shared" ca="1" si="3"/>
        <v>0</v>
      </c>
      <c r="O28" s="2747">
        <f t="shared" ca="1" si="3"/>
        <v>0</v>
      </c>
      <c r="P28" s="2747">
        <f t="shared" ca="1" si="3"/>
        <v>0</v>
      </c>
      <c r="Q28" s="2747">
        <f t="shared" ca="1" si="3"/>
        <v>0</v>
      </c>
      <c r="R28" s="2747">
        <f t="shared" ca="1" si="3"/>
        <v>0</v>
      </c>
      <c r="S28" s="2747">
        <f t="shared" ca="1" si="3"/>
        <v>0</v>
      </c>
    </row>
    <row r="29" spans="1:19" s="561" customFormat="1" ht="13.5" customHeight="1" thickBot="1">
      <c r="B29" s="1072"/>
    </row>
    <row r="30" spans="1:19" s="554" customFormat="1" ht="16.149999999999999" customHeight="1" thickBot="1">
      <c r="A30" s="287"/>
      <c r="B30" s="1072"/>
      <c r="O30" s="1073"/>
      <c r="P30" s="1074"/>
      <c r="Q30" s="1074"/>
      <c r="R30" s="1086" t="str">
        <f>CONCATENATE("Receitas de vendas pendentes para o ano ",Q18," (sem ",'Dados Básicos'!$A$28,")")</f>
        <v>Receitas de vendas pendentes para o ano 2028 (sem IVA)</v>
      </c>
      <c r="S30" s="1075">
        <f ca="1">SUM(N28:S28)</f>
        <v>0</v>
      </c>
    </row>
    <row r="31" spans="1:19" s="554" customFormat="1" ht="17.25" customHeight="1" thickBot="1">
      <c r="A31" s="287"/>
      <c r="B31" s="1072"/>
      <c r="O31" s="1073"/>
      <c r="P31" s="1074"/>
      <c r="Q31" s="1074"/>
      <c r="R31" s="1087" t="str">
        <f>'Receitas e pagamentos 0'!R31</f>
        <v xml:space="preserve">Impagados produzidos ao longo do ano </v>
      </c>
      <c r="S31" s="1076">
        <f ca="1">-SUM(B27:M27)</f>
        <v>0</v>
      </c>
    </row>
    <row r="32" spans="1:19" s="334" customFormat="1" ht="22.5">
      <c r="A32" s="334" t="str">
        <f>'Receitas e pagamentos 0'!A32</f>
        <v>Compras e Custos variáveis (IVA incl.)</v>
      </c>
      <c r="B32" s="172"/>
      <c r="G32" s="172"/>
      <c r="H32" s="172"/>
    </row>
    <row r="33" spans="1:19" ht="7.5" customHeight="1" thickBot="1">
      <c r="P33" s="561"/>
    </row>
    <row r="34" spans="1:19" ht="15.75" thickBot="1">
      <c r="A34" s="174" t="str">
        <f>'Receitas e pagamentos 0'!A34</f>
        <v>Compras do periodo</v>
      </c>
      <c r="B34" s="2743" t="str">
        <f t="array" ref="B34:M34">meses</f>
        <v>janeiro</v>
      </c>
      <c r="C34" s="2743" t="str">
        <v>fevereiro</v>
      </c>
      <c r="D34" s="2743" t="str">
        <v>março</v>
      </c>
      <c r="E34" s="2743" t="str">
        <v>abril</v>
      </c>
      <c r="F34" s="2743" t="str">
        <v>maio</v>
      </c>
      <c r="G34" s="2743" t="str">
        <v>junho</v>
      </c>
      <c r="H34" s="2743" t="str">
        <v>julho</v>
      </c>
      <c r="I34" s="2743" t="str">
        <v>agosto</v>
      </c>
      <c r="J34" s="2743" t="str">
        <v>setembro</v>
      </c>
      <c r="K34" s="2743" t="str">
        <v>outubro</v>
      </c>
      <c r="L34" s="2743" t="str">
        <v>novembro</v>
      </c>
      <c r="M34" s="2743" t="str">
        <v>dezembro</v>
      </c>
      <c r="N34" s="2744" t="s">
        <v>3</v>
      </c>
      <c r="O34" s="561"/>
    </row>
    <row r="35" spans="1:19" ht="14.25">
      <c r="A35" s="2120" t="str">
        <f t="array" ref="A35:A42">productos</f>
        <v>produto 1</v>
      </c>
      <c r="B35" s="1065">
        <f t="array" aca="1" ref="B35:M42" ca="1">'Distr CV 1'!B46:M53+'Distr CV 1'!B59:M66</f>
        <v>174.48200000000003</v>
      </c>
      <c r="C35" s="1065">
        <f ca="1"/>
        <v>174.48200000000003</v>
      </c>
      <c r="D35" s="1065">
        <f ca="1"/>
        <v>174.48200000000003</v>
      </c>
      <c r="E35" s="1065">
        <f ca="1"/>
        <v>174.48200000000003</v>
      </c>
      <c r="F35" s="1065">
        <f ca="1"/>
        <v>174.48200000000003</v>
      </c>
      <c r="G35" s="1065">
        <f ca="1"/>
        <v>174.48200000000003</v>
      </c>
      <c r="H35" s="1065">
        <f ca="1"/>
        <v>174.48200000000003</v>
      </c>
      <c r="I35" s="1065">
        <f ca="1"/>
        <v>174.48200000000003</v>
      </c>
      <c r="J35" s="1065">
        <f ca="1"/>
        <v>174.48200000000003</v>
      </c>
      <c r="K35" s="1065">
        <f ca="1"/>
        <v>174.48200000000003</v>
      </c>
      <c r="L35" s="1065">
        <f ca="1"/>
        <v>174.48200000000003</v>
      </c>
      <c r="M35" s="1065">
        <f ca="1"/>
        <v>174.48200000000003</v>
      </c>
      <c r="N35" s="2121">
        <f t="shared" ref="N35:N42" ca="1" si="4">SUM(B35:M35)</f>
        <v>2093.7840000000001</v>
      </c>
      <c r="O35" s="561"/>
    </row>
    <row r="36" spans="1:19" ht="14.25">
      <c r="A36" s="2122" t="str">
        <v/>
      </c>
      <c r="B36" s="1065">
        <f ca="1"/>
        <v>0</v>
      </c>
      <c r="C36" s="1065">
        <f ca="1"/>
        <v>0</v>
      </c>
      <c r="D36" s="1065">
        <f ca="1"/>
        <v>0</v>
      </c>
      <c r="E36" s="1065">
        <f ca="1"/>
        <v>0</v>
      </c>
      <c r="F36" s="1065">
        <f ca="1"/>
        <v>0</v>
      </c>
      <c r="G36" s="1065">
        <f ca="1"/>
        <v>0</v>
      </c>
      <c r="H36" s="1065">
        <f ca="1"/>
        <v>0</v>
      </c>
      <c r="I36" s="1065">
        <f ca="1"/>
        <v>0</v>
      </c>
      <c r="J36" s="1065">
        <f ca="1"/>
        <v>0</v>
      </c>
      <c r="K36" s="1065">
        <f ca="1"/>
        <v>0</v>
      </c>
      <c r="L36" s="1065">
        <f ca="1"/>
        <v>0</v>
      </c>
      <c r="M36" s="1065">
        <f ca="1"/>
        <v>0</v>
      </c>
      <c r="N36" s="2121">
        <f t="shared" ca="1" si="4"/>
        <v>0</v>
      </c>
      <c r="O36" s="561"/>
    </row>
    <row r="37" spans="1:19" ht="14.25">
      <c r="A37" s="2122" t="str">
        <v/>
      </c>
      <c r="B37" s="1065">
        <f ca="1"/>
        <v>0</v>
      </c>
      <c r="C37" s="1065">
        <f ca="1"/>
        <v>0</v>
      </c>
      <c r="D37" s="1065">
        <f ca="1"/>
        <v>0</v>
      </c>
      <c r="E37" s="1065">
        <f ca="1"/>
        <v>0</v>
      </c>
      <c r="F37" s="1065">
        <f ca="1"/>
        <v>0</v>
      </c>
      <c r="G37" s="1065">
        <f ca="1"/>
        <v>0</v>
      </c>
      <c r="H37" s="1065">
        <f ca="1"/>
        <v>0</v>
      </c>
      <c r="I37" s="1065">
        <f ca="1"/>
        <v>0</v>
      </c>
      <c r="J37" s="1065">
        <f ca="1"/>
        <v>0</v>
      </c>
      <c r="K37" s="1065">
        <f ca="1"/>
        <v>0</v>
      </c>
      <c r="L37" s="1065">
        <f ca="1"/>
        <v>0</v>
      </c>
      <c r="M37" s="1065">
        <f ca="1"/>
        <v>0</v>
      </c>
      <c r="N37" s="2121">
        <f t="shared" ca="1" si="4"/>
        <v>0</v>
      </c>
      <c r="O37" s="561"/>
    </row>
    <row r="38" spans="1:19" ht="14.25">
      <c r="A38" s="2122" t="str">
        <v/>
      </c>
      <c r="B38" s="1065">
        <f ca="1"/>
        <v>0</v>
      </c>
      <c r="C38" s="1065">
        <f ca="1"/>
        <v>0</v>
      </c>
      <c r="D38" s="1065">
        <f ca="1"/>
        <v>0</v>
      </c>
      <c r="E38" s="1065">
        <f ca="1"/>
        <v>0</v>
      </c>
      <c r="F38" s="1065">
        <f ca="1"/>
        <v>0</v>
      </c>
      <c r="G38" s="1065">
        <f ca="1"/>
        <v>0</v>
      </c>
      <c r="H38" s="1065">
        <f ca="1"/>
        <v>0</v>
      </c>
      <c r="I38" s="1065">
        <f ca="1"/>
        <v>0</v>
      </c>
      <c r="J38" s="1065">
        <f ca="1"/>
        <v>0</v>
      </c>
      <c r="K38" s="1065">
        <f ca="1"/>
        <v>0</v>
      </c>
      <c r="L38" s="1065">
        <f ca="1"/>
        <v>0</v>
      </c>
      <c r="M38" s="1065">
        <f ca="1"/>
        <v>0</v>
      </c>
      <c r="N38" s="2121">
        <f t="shared" ca="1" si="4"/>
        <v>0</v>
      </c>
      <c r="O38" s="561"/>
    </row>
    <row r="39" spans="1:19" ht="14.25">
      <c r="A39" s="2122" t="str">
        <v/>
      </c>
      <c r="B39" s="1065">
        <f ca="1"/>
        <v>0</v>
      </c>
      <c r="C39" s="1065">
        <f ca="1"/>
        <v>0</v>
      </c>
      <c r="D39" s="1065">
        <f ca="1"/>
        <v>0</v>
      </c>
      <c r="E39" s="1065">
        <f ca="1"/>
        <v>0</v>
      </c>
      <c r="F39" s="1065">
        <f ca="1"/>
        <v>0</v>
      </c>
      <c r="G39" s="1065">
        <f ca="1"/>
        <v>0</v>
      </c>
      <c r="H39" s="1065">
        <f ca="1"/>
        <v>0</v>
      </c>
      <c r="I39" s="1065">
        <f ca="1"/>
        <v>0</v>
      </c>
      <c r="J39" s="1065">
        <f ca="1"/>
        <v>0</v>
      </c>
      <c r="K39" s="1065">
        <f ca="1"/>
        <v>0</v>
      </c>
      <c r="L39" s="1065">
        <f ca="1"/>
        <v>0</v>
      </c>
      <c r="M39" s="1065">
        <f ca="1"/>
        <v>0</v>
      </c>
      <c r="N39" s="2121">
        <f t="shared" ca="1" si="4"/>
        <v>0</v>
      </c>
      <c r="O39" s="561"/>
    </row>
    <row r="40" spans="1:19" ht="14.25">
      <c r="A40" s="2122" t="str">
        <v/>
      </c>
      <c r="B40" s="1065">
        <f ca="1"/>
        <v>0</v>
      </c>
      <c r="C40" s="1065">
        <f ca="1"/>
        <v>0</v>
      </c>
      <c r="D40" s="1065">
        <f ca="1"/>
        <v>0</v>
      </c>
      <c r="E40" s="1065">
        <f ca="1"/>
        <v>0</v>
      </c>
      <c r="F40" s="1065">
        <f ca="1"/>
        <v>0</v>
      </c>
      <c r="G40" s="1065">
        <f ca="1"/>
        <v>0</v>
      </c>
      <c r="H40" s="1065">
        <f ca="1"/>
        <v>0</v>
      </c>
      <c r="I40" s="1065">
        <f ca="1"/>
        <v>0</v>
      </c>
      <c r="J40" s="1065">
        <f ca="1"/>
        <v>0</v>
      </c>
      <c r="K40" s="1065">
        <f ca="1"/>
        <v>0</v>
      </c>
      <c r="L40" s="1065">
        <f ca="1"/>
        <v>0</v>
      </c>
      <c r="M40" s="1065">
        <f ca="1"/>
        <v>0</v>
      </c>
      <c r="N40" s="2121">
        <f t="shared" ca="1" si="4"/>
        <v>0</v>
      </c>
      <c r="O40" s="561"/>
    </row>
    <row r="41" spans="1:19" ht="14.25">
      <c r="A41" s="2122" t="str">
        <v/>
      </c>
      <c r="B41" s="1065">
        <f ca="1"/>
        <v>0</v>
      </c>
      <c r="C41" s="1065">
        <f ca="1"/>
        <v>0</v>
      </c>
      <c r="D41" s="1065">
        <f ca="1"/>
        <v>0</v>
      </c>
      <c r="E41" s="1065">
        <f ca="1"/>
        <v>0</v>
      </c>
      <c r="F41" s="1065">
        <f ca="1"/>
        <v>0</v>
      </c>
      <c r="G41" s="1065">
        <f ca="1"/>
        <v>0</v>
      </c>
      <c r="H41" s="1065">
        <f ca="1"/>
        <v>0</v>
      </c>
      <c r="I41" s="1065">
        <f ca="1"/>
        <v>0</v>
      </c>
      <c r="J41" s="1065">
        <f ca="1"/>
        <v>0</v>
      </c>
      <c r="K41" s="1065">
        <f ca="1"/>
        <v>0</v>
      </c>
      <c r="L41" s="1065">
        <f ca="1"/>
        <v>0</v>
      </c>
      <c r="M41" s="1065">
        <f ca="1"/>
        <v>0</v>
      </c>
      <c r="N41" s="2121">
        <f t="shared" ca="1" si="4"/>
        <v>0</v>
      </c>
      <c r="O41" s="561"/>
    </row>
    <row r="42" spans="1:19" ht="15" thickBot="1">
      <c r="A42" s="2123" t="str">
        <v/>
      </c>
      <c r="B42" s="1066">
        <f ca="1"/>
        <v>0</v>
      </c>
      <c r="C42" s="1066">
        <f ca="1"/>
        <v>0</v>
      </c>
      <c r="D42" s="1066">
        <f ca="1"/>
        <v>0</v>
      </c>
      <c r="E42" s="1066">
        <f ca="1"/>
        <v>0</v>
      </c>
      <c r="F42" s="1066">
        <f ca="1"/>
        <v>0</v>
      </c>
      <c r="G42" s="1066">
        <f ca="1"/>
        <v>0</v>
      </c>
      <c r="H42" s="1066">
        <f ca="1"/>
        <v>0</v>
      </c>
      <c r="I42" s="1066">
        <f ca="1"/>
        <v>0</v>
      </c>
      <c r="J42" s="1066">
        <f ca="1"/>
        <v>0</v>
      </c>
      <c r="K42" s="1066">
        <f ca="1"/>
        <v>0</v>
      </c>
      <c r="L42" s="1066">
        <f ca="1"/>
        <v>0</v>
      </c>
      <c r="M42" s="1066">
        <f ca="1"/>
        <v>0</v>
      </c>
      <c r="N42" s="2121">
        <f t="shared" ca="1" si="4"/>
        <v>0</v>
      </c>
      <c r="O42" s="561"/>
    </row>
    <row r="43" spans="1:19" ht="15.75" thickBot="1">
      <c r="A43" s="174" t="s">
        <v>3</v>
      </c>
      <c r="B43" s="2748">
        <f t="shared" ref="B43:N43" ca="1" si="5">SUM(B35:B42)</f>
        <v>174.48200000000003</v>
      </c>
      <c r="C43" s="2748">
        <f t="shared" ca="1" si="5"/>
        <v>174.48200000000003</v>
      </c>
      <c r="D43" s="2748">
        <f t="shared" ca="1" si="5"/>
        <v>174.48200000000003</v>
      </c>
      <c r="E43" s="2748">
        <f t="shared" ca="1" si="5"/>
        <v>174.48200000000003</v>
      </c>
      <c r="F43" s="2748">
        <f t="shared" ca="1" si="5"/>
        <v>174.48200000000003</v>
      </c>
      <c r="G43" s="2748">
        <f t="shared" ca="1" si="5"/>
        <v>174.48200000000003</v>
      </c>
      <c r="H43" s="2748">
        <f t="shared" ca="1" si="5"/>
        <v>174.48200000000003</v>
      </c>
      <c r="I43" s="2748">
        <f t="shared" ca="1" si="5"/>
        <v>174.48200000000003</v>
      </c>
      <c r="J43" s="2748">
        <f t="shared" ca="1" si="5"/>
        <v>174.48200000000003</v>
      </c>
      <c r="K43" s="2748">
        <f t="shared" ca="1" si="5"/>
        <v>174.48200000000003</v>
      </c>
      <c r="L43" s="2748">
        <f t="shared" ca="1" si="5"/>
        <v>174.48200000000003</v>
      </c>
      <c r="M43" s="2748">
        <f t="shared" ca="1" si="5"/>
        <v>174.48200000000003</v>
      </c>
      <c r="N43" s="2748">
        <f t="shared" ca="1" si="5"/>
        <v>2093.7840000000001</v>
      </c>
      <c r="O43" s="561"/>
    </row>
    <row r="44" spans="1:19">
      <c r="C44" s="561"/>
      <c r="D44" s="561"/>
      <c r="E44" s="561"/>
      <c r="F44" s="561"/>
      <c r="G44" s="561"/>
      <c r="H44" s="561"/>
      <c r="I44" s="561"/>
      <c r="J44" s="561"/>
      <c r="K44" s="561"/>
      <c r="L44" s="561"/>
      <c r="M44" s="561"/>
      <c r="N44" s="561"/>
      <c r="O44" s="561"/>
      <c r="P44" s="561"/>
    </row>
    <row r="45" spans="1:19" s="334" customFormat="1" ht="22.5">
      <c r="A45" s="334" t="str">
        <f>'Receitas e pagamentos 0'!A45</f>
        <v>Pagamentos de compras e gastos variáveis (IVA incl.)</v>
      </c>
      <c r="B45" s="172"/>
      <c r="G45" s="172"/>
      <c r="H45" s="172"/>
    </row>
    <row r="46" spans="1:19" ht="15" thickBot="1">
      <c r="A46" s="561"/>
      <c r="B46" s="1064"/>
      <c r="C46" s="561"/>
      <c r="D46" s="561"/>
      <c r="E46" s="561"/>
      <c r="F46" s="561"/>
      <c r="G46" s="561"/>
      <c r="H46" s="561"/>
      <c r="I46" s="561"/>
      <c r="J46" s="561"/>
      <c r="K46" s="561"/>
      <c r="L46" s="561"/>
      <c r="M46" s="561"/>
      <c r="N46" s="561"/>
      <c r="O46" s="561"/>
      <c r="P46" s="1067" t="str">
        <f>P18</f>
        <v>Pendente para o ano seguinte:</v>
      </c>
      <c r="Q46" s="1068" t="str">
        <f>Q18</f>
        <v>2028</v>
      </c>
    </row>
    <row r="47" spans="1:19" ht="27.75" customHeight="1" thickBot="1">
      <c r="A47" s="174" t="str">
        <f t="array" ref="A47:A54">'Receitas e pagamentos 0'!A47:A54</f>
        <v>Plazos de pago</v>
      </c>
      <c r="B47" s="2118" t="str">
        <f t="array" ref="B47:S47">B$19:S$19</f>
        <v>janeiro 
2027</v>
      </c>
      <c r="C47" s="2118" t="str">
        <v>fevereiro 
2027</v>
      </c>
      <c r="D47" s="2118" t="str">
        <v>março 
2027</v>
      </c>
      <c r="E47" s="2118" t="str">
        <v>abril 
2027</v>
      </c>
      <c r="F47" s="2118" t="str">
        <v>maio 
2027</v>
      </c>
      <c r="G47" s="2118" t="str">
        <v>junho 
2027</v>
      </c>
      <c r="H47" s="2118" t="str">
        <v>julho 
2027</v>
      </c>
      <c r="I47" s="2118" t="str">
        <v>agosto 
2027</v>
      </c>
      <c r="J47" s="2118" t="str">
        <v>setembro 
2027</v>
      </c>
      <c r="K47" s="2118" t="str">
        <v>outubro 
2027</v>
      </c>
      <c r="L47" s="2118" t="str">
        <v>novembro 
2027</v>
      </c>
      <c r="M47" s="2118" t="str">
        <v>dezembro 
2027</v>
      </c>
      <c r="N47" s="2118" t="str">
        <v>janeiro 
2028</v>
      </c>
      <c r="O47" s="2118" t="str">
        <v>fevereiro 
2028</v>
      </c>
      <c r="P47" s="2118" t="str">
        <v>março 
2028</v>
      </c>
      <c r="Q47" s="2118" t="str">
        <v>abril 
2028</v>
      </c>
      <c r="R47" s="2118" t="str">
        <v>maio 
2028</v>
      </c>
      <c r="S47" s="2118" t="str">
        <v>junho 
2028</v>
      </c>
    </row>
    <row r="48" spans="1:19" ht="14.25">
      <c r="A48" s="2119" t="str">
        <v>Contado</v>
      </c>
      <c r="B48" s="1065">
        <f t="array" aca="1" ref="B48" ca="1">SUM('Pol. Cobranças e Pagamentos'!$B$73:$B$80*B$35:B$42)</f>
        <v>174.48200000000003</v>
      </c>
      <c r="C48" s="1065">
        <f t="array" aca="1" ref="C48" ca="1">SUM('Pol. Cobranças e Pagamentos'!$B$73:$B$80*C$35:C$42)</f>
        <v>174.48200000000003</v>
      </c>
      <c r="D48" s="1065">
        <f t="array" aca="1" ref="D48" ca="1">SUM('Pol. Cobranças e Pagamentos'!$B$73:$B$80*D$35:D$42)</f>
        <v>174.48200000000003</v>
      </c>
      <c r="E48" s="1065">
        <f t="array" aca="1" ref="E48" ca="1">SUM('Pol. Cobranças e Pagamentos'!$B$73:$B$80*E$35:E$42)</f>
        <v>174.48200000000003</v>
      </c>
      <c r="F48" s="1065">
        <f t="array" aca="1" ref="F48" ca="1">SUM('Pol. Cobranças e Pagamentos'!$B$73:$B$80*F$35:F$42)</f>
        <v>174.48200000000003</v>
      </c>
      <c r="G48" s="1065">
        <f t="array" aca="1" ref="G48" ca="1">SUM('Pol. Cobranças e Pagamentos'!$B$73:$B$80*G$35:G$42)</f>
        <v>174.48200000000003</v>
      </c>
      <c r="H48" s="1065">
        <f t="array" aca="1" ref="H48" ca="1">SUM('Pol. Cobranças e Pagamentos'!$B$73:$B$80*H$35:H$42)</f>
        <v>174.48200000000003</v>
      </c>
      <c r="I48" s="1065">
        <f t="array" aca="1" ref="I48" ca="1">SUM('Pol. Cobranças e Pagamentos'!$B$73:$B$80*I$35:I$42)</f>
        <v>174.48200000000003</v>
      </c>
      <c r="J48" s="1065">
        <f t="array" aca="1" ref="J48" ca="1">SUM('Pol. Cobranças e Pagamentos'!$B$73:$B$80*J$35:J$42)</f>
        <v>174.48200000000003</v>
      </c>
      <c r="K48" s="1065">
        <f t="array" aca="1" ref="K48" ca="1">SUM('Pol. Cobranças e Pagamentos'!$B$73:$B$80*K$35:K$42)</f>
        <v>174.48200000000003</v>
      </c>
      <c r="L48" s="1065">
        <f t="array" aca="1" ref="L48" ca="1">SUM('Pol. Cobranças e Pagamentos'!$B$73:$B$80*L$35:L$42)</f>
        <v>174.48200000000003</v>
      </c>
      <c r="M48" s="1065">
        <f t="array" aca="1" ref="M48" ca="1">SUM('Pol. Cobranças e Pagamentos'!$B$73:$B$80*M$35:M$42)</f>
        <v>174.48200000000003</v>
      </c>
      <c r="N48" s="1065"/>
      <c r="O48" s="1065"/>
      <c r="P48" s="1065"/>
      <c r="Q48" s="1065"/>
      <c r="R48" s="1065"/>
      <c r="S48" s="1065"/>
    </row>
    <row r="49" spans="1:19" ht="14.25">
      <c r="A49" s="2846">
        <v>30</v>
      </c>
      <c r="B49" s="1077">
        <f t="array" aca="1" ref="B49:B54" ca="1">'Receitas e pagamentos 0'!N49:N54</f>
        <v>0</v>
      </c>
      <c r="C49" s="1065">
        <f t="array" aca="1" ref="C49" ca="1">SUM('Pol. Cobranças e Pagamentos'!$C$73:$C$80*B$35:B$42)</f>
        <v>0</v>
      </c>
      <c r="D49" s="1065">
        <f t="array" aca="1" ref="D49" ca="1">SUM('Pol. Cobranças e Pagamentos'!$C$73:$C$80*C$35:C$42)</f>
        <v>0</v>
      </c>
      <c r="E49" s="1065">
        <f t="array" aca="1" ref="E49" ca="1">SUM('Pol. Cobranças e Pagamentos'!$C$73:$C$80*D$35:D$42)</f>
        <v>0</v>
      </c>
      <c r="F49" s="1065">
        <f t="array" aca="1" ref="F49" ca="1">SUM('Pol. Cobranças e Pagamentos'!$C$73:$C$80*E$35:E$42)</f>
        <v>0</v>
      </c>
      <c r="G49" s="1065">
        <f t="array" aca="1" ref="G49" ca="1">SUM('Pol. Cobranças e Pagamentos'!$C$73:$C$80*F$35:F$42)</f>
        <v>0</v>
      </c>
      <c r="H49" s="1065">
        <f t="array" aca="1" ref="H49" ca="1">SUM('Pol. Cobranças e Pagamentos'!$C$73:$C$80*G$35:G$42)</f>
        <v>0</v>
      </c>
      <c r="I49" s="1065">
        <f t="array" aca="1" ref="I49" ca="1">SUM('Pol. Cobranças e Pagamentos'!$C$73:$C$80*H$35:H$42)</f>
        <v>0</v>
      </c>
      <c r="J49" s="1065">
        <f t="array" aca="1" ref="J49" ca="1">SUM('Pol. Cobranças e Pagamentos'!$C$73:$C$80*I$35:I$42)</f>
        <v>0</v>
      </c>
      <c r="K49" s="1065">
        <f t="array" aca="1" ref="K49" ca="1">SUM('Pol. Cobranças e Pagamentos'!$C$73:$C$80*J$35:J$42)</f>
        <v>0</v>
      </c>
      <c r="L49" s="1065">
        <f t="array" aca="1" ref="L49" ca="1">SUM('Pol. Cobranças e Pagamentos'!$C$73:$C$80*K$35:K$42)</f>
        <v>0</v>
      </c>
      <c r="M49" s="1065">
        <f t="array" aca="1" ref="M49" ca="1">SUM('Pol. Cobranças e Pagamentos'!$C$73:$C$80*L$35:L$42)</f>
        <v>0</v>
      </c>
      <c r="N49" s="1065">
        <f t="array" aca="1" ref="N49" ca="1">SUM('Pol. Cobranças e Pagamentos'!$C$73:$C$80*M$35:M$42)</f>
        <v>0</v>
      </c>
      <c r="O49" s="1065"/>
      <c r="P49" s="1065"/>
      <c r="Q49" s="1065"/>
      <c r="R49" s="1065"/>
      <c r="S49" s="1065"/>
    </row>
    <row r="50" spans="1:19" ht="14.25">
      <c r="A50" s="2846">
        <v>60</v>
      </c>
      <c r="B50" s="1077">
        <f ca="1"/>
        <v>0</v>
      </c>
      <c r="C50" s="1077">
        <f t="array" aca="1" ref="C50:C54" ca="1">'Receitas e pagamentos 0'!O50:O54</f>
        <v>0</v>
      </c>
      <c r="D50" s="1065">
        <f t="array" aca="1" ref="D50" ca="1">SUM('Pol. Cobranças e Pagamentos'!$D$73:$D$80*B$35:B$42)</f>
        <v>0</v>
      </c>
      <c r="E50" s="1065">
        <f t="array" aca="1" ref="E50" ca="1">SUM('Pol. Cobranças e Pagamentos'!$D$73:$D$80*C$35:C$42)</f>
        <v>0</v>
      </c>
      <c r="F50" s="1065">
        <f t="array" aca="1" ref="F50" ca="1">SUM('Pol. Cobranças e Pagamentos'!$D$73:$D$80*D$35:D$42)</f>
        <v>0</v>
      </c>
      <c r="G50" s="1065">
        <f t="array" aca="1" ref="G50" ca="1">SUM('Pol. Cobranças e Pagamentos'!$D$73:$D$80*E$35:E$42)</f>
        <v>0</v>
      </c>
      <c r="H50" s="1065">
        <f t="array" aca="1" ref="H50" ca="1">SUM('Pol. Cobranças e Pagamentos'!$D$73:$D$80*F$35:F$42)</f>
        <v>0</v>
      </c>
      <c r="I50" s="1065">
        <f t="array" aca="1" ref="I50" ca="1">SUM('Pol. Cobranças e Pagamentos'!$D$73:$D$80*G$35:G$42)</f>
        <v>0</v>
      </c>
      <c r="J50" s="1065">
        <f t="array" aca="1" ref="J50" ca="1">SUM('Pol. Cobranças e Pagamentos'!$D$73:$D$80*H$35:H$42)</f>
        <v>0</v>
      </c>
      <c r="K50" s="1065">
        <f t="array" aca="1" ref="K50" ca="1">SUM('Pol. Cobranças e Pagamentos'!$D$73:$D$80*I$35:I$42)</f>
        <v>0</v>
      </c>
      <c r="L50" s="1065">
        <f t="array" aca="1" ref="L50" ca="1">SUM('Pol. Cobranças e Pagamentos'!$D$73:$D$80*J$35:J$42)</f>
        <v>0</v>
      </c>
      <c r="M50" s="1065">
        <f t="array" aca="1" ref="M50" ca="1">SUM('Pol. Cobranças e Pagamentos'!$D$73:$D$80*K$35:K$42)</f>
        <v>0</v>
      </c>
      <c r="N50" s="1065">
        <f t="array" aca="1" ref="N50" ca="1">SUM('Pol. Cobranças e Pagamentos'!$D$73:$D$80*L$35:L$42)</f>
        <v>0</v>
      </c>
      <c r="O50" s="1065">
        <f t="array" aca="1" ref="O50" ca="1">SUM('Pol. Cobranças e Pagamentos'!$D$73:$D$80*M$35:M$42)</f>
        <v>0</v>
      </c>
      <c r="P50" s="1065"/>
      <c r="Q50" s="1065"/>
      <c r="R50" s="1065"/>
      <c r="S50" s="1065"/>
    </row>
    <row r="51" spans="1:19" ht="14.25">
      <c r="A51" s="2846">
        <v>90</v>
      </c>
      <c r="B51" s="1077">
        <f ca="1"/>
        <v>0</v>
      </c>
      <c r="C51" s="1077">
        <f ca="1"/>
        <v>0</v>
      </c>
      <c r="D51" s="1077">
        <f t="array" aca="1" ref="D51:D54" ca="1">'Receitas e pagamentos 0'!P51:P54</f>
        <v>0</v>
      </c>
      <c r="E51" s="1065">
        <f t="array" aca="1" ref="E51" ca="1">SUM('Pol. Cobranças e Pagamentos'!$E$73:$E$80*B$35:B$42)</f>
        <v>0</v>
      </c>
      <c r="F51" s="1065">
        <f t="array" aca="1" ref="F51" ca="1">SUM('Pol. Cobranças e Pagamentos'!$E$73:$E$80*C$35:C$42)</f>
        <v>0</v>
      </c>
      <c r="G51" s="1065">
        <f t="array" aca="1" ref="G51" ca="1">SUM('Pol. Cobranças e Pagamentos'!$E$73:$E$80*D$35:D$42)</f>
        <v>0</v>
      </c>
      <c r="H51" s="1065">
        <f t="array" aca="1" ref="H51" ca="1">SUM('Pol. Cobranças e Pagamentos'!$E$73:$E$80*E$35:E$42)</f>
        <v>0</v>
      </c>
      <c r="I51" s="1065">
        <f t="array" aca="1" ref="I51" ca="1">SUM('Pol. Cobranças e Pagamentos'!$E$73:$E$80*F$35:F$42)</f>
        <v>0</v>
      </c>
      <c r="J51" s="1065">
        <f t="array" aca="1" ref="J51" ca="1">SUM('Pol. Cobranças e Pagamentos'!$E$73:$E$80*G$35:G$42)</f>
        <v>0</v>
      </c>
      <c r="K51" s="1065">
        <f t="array" aca="1" ref="K51" ca="1">SUM('Pol. Cobranças e Pagamentos'!$E$73:$E$80*H$35:H$42)</f>
        <v>0</v>
      </c>
      <c r="L51" s="1065">
        <f t="array" aca="1" ref="L51" ca="1">SUM('Pol. Cobranças e Pagamentos'!$E$73:$E$80*I$35:I$42)</f>
        <v>0</v>
      </c>
      <c r="M51" s="1065">
        <f t="array" aca="1" ref="M51" ca="1">SUM('Pol. Cobranças e Pagamentos'!$E$73:$E$80*J$35:J$42)</f>
        <v>0</v>
      </c>
      <c r="N51" s="1065">
        <f t="array" aca="1" ref="N51" ca="1">SUM('Pol. Cobranças e Pagamentos'!$E$73:$E$80*K$35:K$42)</f>
        <v>0</v>
      </c>
      <c r="O51" s="1065">
        <f t="array" aca="1" ref="O51" ca="1">SUM('Pol. Cobranças e Pagamentos'!$E$73:$E$80*L$35:L$42)</f>
        <v>0</v>
      </c>
      <c r="P51" s="1065">
        <f t="array" aca="1" ref="P51" ca="1">SUM('Pol. Cobranças e Pagamentos'!$E$73:$E$80*M$35:M$42)</f>
        <v>0</v>
      </c>
      <c r="Q51" s="1065"/>
      <c r="R51" s="1065"/>
      <c r="S51" s="1065"/>
    </row>
    <row r="52" spans="1:19" ht="14.25">
      <c r="A52" s="2846">
        <v>120</v>
      </c>
      <c r="B52" s="1077">
        <f ca="1"/>
        <v>0</v>
      </c>
      <c r="C52" s="1077">
        <f ca="1"/>
        <v>0</v>
      </c>
      <c r="D52" s="1077">
        <f ca="1"/>
        <v>0</v>
      </c>
      <c r="E52" s="1077">
        <f t="array" aca="1" ref="E52:E54" ca="1">'Receitas e pagamentos 0'!Q52:Q54</f>
        <v>0</v>
      </c>
      <c r="F52" s="1065">
        <f t="array" aca="1" ref="F52" ca="1">SUM('Pol. Cobranças e Pagamentos'!$F$73:$F$80*B$35:B$42)</f>
        <v>0</v>
      </c>
      <c r="G52" s="1065">
        <f t="array" aca="1" ref="G52" ca="1">SUM('Pol. Cobranças e Pagamentos'!$F$73:$F$80*C$35:C$42)</f>
        <v>0</v>
      </c>
      <c r="H52" s="1065">
        <f t="array" aca="1" ref="H52" ca="1">SUM('Pol. Cobranças e Pagamentos'!$F$73:$F$80*D$35:D$42)</f>
        <v>0</v>
      </c>
      <c r="I52" s="1065">
        <f t="array" aca="1" ref="I52" ca="1">SUM('Pol. Cobranças e Pagamentos'!$F$73:$F$80*E$35:E$42)</f>
        <v>0</v>
      </c>
      <c r="J52" s="1065">
        <f t="array" aca="1" ref="J52" ca="1">SUM('Pol. Cobranças e Pagamentos'!$F$73:$F$80*F$35:F$42)</f>
        <v>0</v>
      </c>
      <c r="K52" s="1065">
        <f t="array" aca="1" ref="K52" ca="1">SUM('Pol. Cobranças e Pagamentos'!$F$73:$F$80*G$35:G$42)</f>
        <v>0</v>
      </c>
      <c r="L52" s="1065">
        <f t="array" aca="1" ref="L52" ca="1">SUM('Pol. Cobranças e Pagamentos'!$F$73:$F$80*H$35:H$42)</f>
        <v>0</v>
      </c>
      <c r="M52" s="1065">
        <f t="array" aca="1" ref="M52" ca="1">SUM('Pol. Cobranças e Pagamentos'!$F$73:$F$80*I$35:I$42)</f>
        <v>0</v>
      </c>
      <c r="N52" s="1065">
        <f t="array" aca="1" ref="N52" ca="1">SUM('Pol. Cobranças e Pagamentos'!$F$73:$F$80*J$35:J$42)</f>
        <v>0</v>
      </c>
      <c r="O52" s="1065">
        <f t="array" aca="1" ref="O52" ca="1">SUM('Pol. Cobranças e Pagamentos'!$F$73:$F$80*K$35:K$42)</f>
        <v>0</v>
      </c>
      <c r="P52" s="1065">
        <f t="array" aca="1" ref="P52" ca="1">SUM('Pol. Cobranças e Pagamentos'!$F$73:$F$80*L$35:L$42)</f>
        <v>0</v>
      </c>
      <c r="Q52" s="1065">
        <f t="array" aca="1" ref="Q52" ca="1">SUM('Pol. Cobranças e Pagamentos'!$F$73:$F$80*M$35:M$42)</f>
        <v>0</v>
      </c>
      <c r="R52" s="1065"/>
      <c r="S52" s="1065"/>
    </row>
    <row r="53" spans="1:19" ht="14.25">
      <c r="A53" s="2846">
        <v>150</v>
      </c>
      <c r="B53" s="1077">
        <f ca="1"/>
        <v>0</v>
      </c>
      <c r="C53" s="1077">
        <f ca="1"/>
        <v>0</v>
      </c>
      <c r="D53" s="1077">
        <f ca="1"/>
        <v>0</v>
      </c>
      <c r="E53" s="1077">
        <f ca="1"/>
        <v>0</v>
      </c>
      <c r="F53" s="1077">
        <f t="array" aca="1" ref="F53:F54" ca="1">'Receitas e pagamentos 0'!R53:R54</f>
        <v>0</v>
      </c>
      <c r="G53" s="1065">
        <f t="array" aca="1" ref="G53" ca="1">SUM('Pol. Cobranças e Pagamentos'!$G$73:$G$80*B$35:B$42)</f>
        <v>0</v>
      </c>
      <c r="H53" s="1065">
        <f t="array" aca="1" ref="H53" ca="1">SUM('Pol. Cobranças e Pagamentos'!$G$73:$G$80*C$35:C$42)</f>
        <v>0</v>
      </c>
      <c r="I53" s="1065">
        <f t="array" aca="1" ref="I53" ca="1">SUM('Pol. Cobranças e Pagamentos'!$G$73:$G$80*D$35:D$42)</f>
        <v>0</v>
      </c>
      <c r="J53" s="1065">
        <f t="array" aca="1" ref="J53" ca="1">SUM('Pol. Cobranças e Pagamentos'!$G$73:$G$80*E$35:E$42)</f>
        <v>0</v>
      </c>
      <c r="K53" s="1065">
        <f t="array" aca="1" ref="K53" ca="1">SUM('Pol. Cobranças e Pagamentos'!$G$73:$G$80*F$35:F$42)</f>
        <v>0</v>
      </c>
      <c r="L53" s="1065">
        <f t="array" aca="1" ref="L53" ca="1">SUM('Pol. Cobranças e Pagamentos'!$G$73:$G$80*G$35:G$42)</f>
        <v>0</v>
      </c>
      <c r="M53" s="1065">
        <f t="array" aca="1" ref="M53" ca="1">SUM('Pol. Cobranças e Pagamentos'!$G$73:$G$80*H$35:H$42)</f>
        <v>0</v>
      </c>
      <c r="N53" s="1065">
        <f t="array" aca="1" ref="N53" ca="1">SUM('Pol. Cobranças e Pagamentos'!$G$73:$G$80*I$35:I$42)</f>
        <v>0</v>
      </c>
      <c r="O53" s="1065">
        <f t="array" aca="1" ref="O53" ca="1">SUM('Pol. Cobranças e Pagamentos'!$G$73:$G$80*J$35:J$42)</f>
        <v>0</v>
      </c>
      <c r="P53" s="1065">
        <f t="array" aca="1" ref="P53" ca="1">SUM('Pol. Cobranças e Pagamentos'!$G$73:$G$80*K$35:K$42)</f>
        <v>0</v>
      </c>
      <c r="Q53" s="1065">
        <f t="array" aca="1" ref="Q53" ca="1">SUM('Pol. Cobranças e Pagamentos'!$G$73:$G$80*L$35:L$42)</f>
        <v>0</v>
      </c>
      <c r="R53" s="1065">
        <f t="array" aca="1" ref="R53" ca="1">SUM('Pol. Cobranças e Pagamentos'!$G$73:$G$80*M$35:M$42)</f>
        <v>0</v>
      </c>
      <c r="S53" s="1065"/>
    </row>
    <row r="54" spans="1:19" ht="14.25">
      <c r="A54" s="2846">
        <v>180</v>
      </c>
      <c r="B54" s="1077">
        <f ca="1"/>
        <v>0</v>
      </c>
      <c r="C54" s="1077">
        <f ca="1"/>
        <v>0</v>
      </c>
      <c r="D54" s="1077">
        <f ca="1"/>
        <v>0</v>
      </c>
      <c r="E54" s="1077">
        <f ca="1"/>
        <v>0</v>
      </c>
      <c r="F54" s="1077">
        <f ca="1"/>
        <v>0</v>
      </c>
      <c r="G54" s="1077">
        <f ca="1">'Receitas e pagamentos 0'!S54</f>
        <v>0</v>
      </c>
      <c r="H54" s="1065">
        <f t="array" aca="1" ref="H54" ca="1">SUM('Pol. Cobranças e Pagamentos'!$H$73:$H$80*B$35:B$42)</f>
        <v>0</v>
      </c>
      <c r="I54" s="1065">
        <f t="array" aca="1" ref="I54" ca="1">SUM('Pol. Cobranças e Pagamentos'!$H$73:$H$80*C$35:C$42)</f>
        <v>0</v>
      </c>
      <c r="J54" s="1065">
        <f t="array" aca="1" ref="J54" ca="1">SUM('Pol. Cobranças e Pagamentos'!$H$73:$H$80*D$35:D$42)</f>
        <v>0</v>
      </c>
      <c r="K54" s="1065">
        <f t="array" aca="1" ref="K54" ca="1">SUM('Pol. Cobranças e Pagamentos'!$H$73:$H$80*E$35:E$42)</f>
        <v>0</v>
      </c>
      <c r="L54" s="1065">
        <f t="array" aca="1" ref="L54" ca="1">SUM('Pol. Cobranças e Pagamentos'!$H$73:$H$80*F$35:F$42)</f>
        <v>0</v>
      </c>
      <c r="M54" s="1065">
        <f t="array" aca="1" ref="M54" ca="1">SUM('Pol. Cobranças e Pagamentos'!$H$73:$H$80*G$35:G$42)</f>
        <v>0</v>
      </c>
      <c r="N54" s="1065">
        <f t="array" aca="1" ref="N54" ca="1">SUM('Pol. Cobranças e Pagamentos'!$H$73:$H$80*H$35:H$42)</f>
        <v>0</v>
      </c>
      <c r="O54" s="1065">
        <f t="array" aca="1" ref="O54" ca="1">SUM('Pol. Cobranças e Pagamentos'!$H$73:$H$80*I$35:I$42)</f>
        <v>0</v>
      </c>
      <c r="P54" s="1065">
        <f t="array" aca="1" ref="P54" ca="1">SUM('Pol. Cobranças e Pagamentos'!$H$73:$H$80*J$35:J$42)</f>
        <v>0</v>
      </c>
      <c r="Q54" s="1065">
        <f t="array" aca="1" ref="Q54" ca="1">SUM('Pol. Cobranças e Pagamentos'!$H$73:$H$80*K$35:K$42)</f>
        <v>0</v>
      </c>
      <c r="R54" s="1065">
        <f t="array" aca="1" ref="R54" ca="1">SUM('Pol. Cobranças e Pagamentos'!$H$73:$H$80*L$35:L$42)</f>
        <v>0</v>
      </c>
      <c r="S54" s="1065">
        <f t="array" aca="1" ref="S54" ca="1">SUM('Pol. Cobranças e Pagamentos'!$H$73:$H$80*M$35:M$42)</f>
        <v>0</v>
      </c>
    </row>
    <row r="55" spans="1:19" ht="15" thickBot="1">
      <c r="A55" s="2749" t="s">
        <v>3</v>
      </c>
      <c r="B55" s="2750">
        <f t="shared" ref="B55:S55" ca="1" si="6">SUM(B48:B54)</f>
        <v>174.48200000000003</v>
      </c>
      <c r="C55" s="2750">
        <f t="shared" ca="1" si="6"/>
        <v>174.48200000000003</v>
      </c>
      <c r="D55" s="2750">
        <f t="shared" ca="1" si="6"/>
        <v>174.48200000000003</v>
      </c>
      <c r="E55" s="2750">
        <f t="shared" ca="1" si="6"/>
        <v>174.48200000000003</v>
      </c>
      <c r="F55" s="2750">
        <f t="shared" ca="1" si="6"/>
        <v>174.48200000000003</v>
      </c>
      <c r="G55" s="2750">
        <f t="shared" ca="1" si="6"/>
        <v>174.48200000000003</v>
      </c>
      <c r="H55" s="2750">
        <f t="shared" ca="1" si="6"/>
        <v>174.48200000000003</v>
      </c>
      <c r="I55" s="2750">
        <f t="shared" ca="1" si="6"/>
        <v>174.48200000000003</v>
      </c>
      <c r="J55" s="2750">
        <f t="shared" ca="1" si="6"/>
        <v>174.48200000000003</v>
      </c>
      <c r="K55" s="2750">
        <f t="shared" ca="1" si="6"/>
        <v>174.48200000000003</v>
      </c>
      <c r="L55" s="2750">
        <f t="shared" ca="1" si="6"/>
        <v>174.48200000000003</v>
      </c>
      <c r="M55" s="2750">
        <f t="shared" ca="1" si="6"/>
        <v>174.48200000000003</v>
      </c>
      <c r="N55" s="2750">
        <f t="shared" ca="1" si="6"/>
        <v>0</v>
      </c>
      <c r="O55" s="2750">
        <f t="shared" ca="1" si="6"/>
        <v>0</v>
      </c>
      <c r="P55" s="2750">
        <f t="shared" ca="1" si="6"/>
        <v>0</v>
      </c>
      <c r="Q55" s="2750">
        <f t="shared" ca="1" si="6"/>
        <v>0</v>
      </c>
      <c r="R55" s="2750">
        <f t="shared" ca="1" si="6"/>
        <v>0</v>
      </c>
      <c r="S55" s="2750">
        <f t="shared" ca="1" si="6"/>
        <v>0</v>
      </c>
    </row>
    <row r="56" spans="1:19" ht="13.5" thickBot="1">
      <c r="A56" s="561"/>
      <c r="B56" s="1064"/>
      <c r="C56" s="554"/>
      <c r="D56" s="554"/>
      <c r="E56" s="554"/>
      <c r="F56" s="554"/>
      <c r="G56" s="554"/>
      <c r="H56" s="554"/>
      <c r="I56" s="554"/>
      <c r="J56" s="554"/>
      <c r="K56" s="554"/>
      <c r="L56" s="554"/>
      <c r="M56" s="554"/>
      <c r="N56" s="554"/>
      <c r="O56" s="561"/>
      <c r="P56" s="554"/>
    </row>
    <row r="57" spans="1:19" ht="13.5" thickBot="1">
      <c r="N57" s="1078"/>
      <c r="O57" s="1079"/>
      <c r="P57" s="1079"/>
      <c r="Q57" s="1079"/>
      <c r="R57" s="1088" t="str">
        <f>CONCATENATE("Pagamentos de compras e CV pendentes para o ano ",Q46," (sem ",'Dados Básicos'!A28,")")</f>
        <v>Pagamentos de compras e CV pendentes para o ano 2028 (sem IVA)</v>
      </c>
      <c r="S57" s="1089">
        <f ca="1">SUM(N55:S55)</f>
        <v>0</v>
      </c>
    </row>
  </sheetData>
  <sheetProtection sheet="1" objects="1" scenarios="1"/>
  <phoneticPr fontId="4" type="noConversion"/>
  <printOptions horizontalCentered="1" verticalCentered="1"/>
  <pageMargins left="0.39370078740157483" right="0.39370078740157483" top="0.34" bottom="0.31"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22">
    <tabColor indexed="41"/>
    <pageSetUpPr fitToPage="1"/>
  </sheetPr>
  <dimension ref="A1:S57"/>
  <sheetViews>
    <sheetView workbookViewId="0"/>
  </sheetViews>
  <sheetFormatPr baseColWidth="10" defaultColWidth="11" defaultRowHeight="12.75"/>
  <cols>
    <col min="1" max="1" width="24.75" style="287" customWidth="1"/>
    <col min="2" max="2" width="9.75" style="289" customWidth="1"/>
    <col min="3" max="4" width="10" style="88" customWidth="1"/>
    <col min="5" max="5" width="11.375" style="88" customWidth="1"/>
    <col min="6" max="14" width="10" style="88" customWidth="1"/>
    <col min="15" max="15" width="9.5" style="287" customWidth="1"/>
    <col min="16" max="16384" width="11" style="88"/>
  </cols>
  <sheetData>
    <row r="1" spans="1:15" ht="25.5">
      <c r="A1" s="964" t="str">
        <f>'Receitas e pagamentos 0'!A1</f>
        <v>Receitas e pagamentos da Empresa</v>
      </c>
      <c r="B1" s="1081"/>
      <c r="E1" s="2742" t="str">
        <f>Parametros!D$77</f>
        <v>Ano 2:  2028</v>
      </c>
      <c r="F1" s="304"/>
      <c r="M1" s="1082"/>
      <c r="O1" s="88"/>
    </row>
    <row r="2" spans="1:15" s="554" customFormat="1" ht="25.5">
      <c r="A2" s="171" t="str">
        <f>'Dados Básicos'!B9</f>
        <v>WWW, S.L.</v>
      </c>
      <c r="B2" s="1081"/>
      <c r="D2" s="1083"/>
      <c r="E2" s="168"/>
    </row>
    <row r="3" spans="1:15" ht="21" customHeight="1">
      <c r="A3" s="88"/>
      <c r="B3" s="1068"/>
      <c r="O3" s="88"/>
    </row>
    <row r="4" spans="1:15" ht="25.5">
      <c r="A4" s="171" t="str">
        <f>'Receitas e pagamentos 0'!A4</f>
        <v>Vendas (IVA incl.)</v>
      </c>
      <c r="B4" s="1068"/>
      <c r="E4" s="172"/>
      <c r="F4" s="172"/>
      <c r="O4" s="88"/>
    </row>
    <row r="5" spans="1:15" ht="5.25" customHeight="1" thickBot="1"/>
    <row r="6" spans="1:15" s="1064" customFormat="1" ht="16.149999999999999" customHeight="1" thickBot="1">
      <c r="A6" s="174" t="str">
        <f>'Receitas e pagamentos 0'!A6</f>
        <v>Vendas no periodo</v>
      </c>
      <c r="B6" s="2743" t="str">
        <f t="array" ref="B6:M6">meses</f>
        <v>janeiro</v>
      </c>
      <c r="C6" s="2744" t="str">
        <v>fevereiro</v>
      </c>
      <c r="D6" s="2744" t="str">
        <v>março</v>
      </c>
      <c r="E6" s="2744" t="str">
        <v>abril</v>
      </c>
      <c r="F6" s="2744" t="str">
        <v>maio</v>
      </c>
      <c r="G6" s="2744" t="str">
        <v>junho</v>
      </c>
      <c r="H6" s="2744" t="str">
        <v>julho</v>
      </c>
      <c r="I6" s="2744" t="str">
        <v>agosto</v>
      </c>
      <c r="J6" s="2744" t="str">
        <v>setembro</v>
      </c>
      <c r="K6" s="2744" t="str">
        <v>outubro</v>
      </c>
      <c r="L6" s="2744" t="str">
        <v>novembro</v>
      </c>
      <c r="M6" s="2744" t="str">
        <v>dezembro</v>
      </c>
      <c r="N6" s="2744" t="s">
        <v>3</v>
      </c>
    </row>
    <row r="7" spans="1:15" s="561" customFormat="1" ht="16.149999999999999" customHeight="1">
      <c r="A7" s="2120" t="str">
        <f t="array" ref="A7:A14">productos</f>
        <v>produto 1</v>
      </c>
      <c r="B7" s="1065">
        <f t="array" aca="1" ref="B7:M14" ca="1">'Prev.Vendas 2'!B17:M24*(1+Parametros!$E24:$E31 - ret_irpf  )</f>
        <v>1347.8734499999998</v>
      </c>
      <c r="C7" s="1065">
        <f ca="1"/>
        <v>1347.8734499999998</v>
      </c>
      <c r="D7" s="1065">
        <f ca="1"/>
        <v>1347.8734499999998</v>
      </c>
      <c r="E7" s="1065">
        <f ca="1"/>
        <v>1347.8734499999998</v>
      </c>
      <c r="F7" s="1065">
        <f ca="1"/>
        <v>1347.8734499999998</v>
      </c>
      <c r="G7" s="1065">
        <f ca="1"/>
        <v>1347.8734499999998</v>
      </c>
      <c r="H7" s="1065">
        <f ca="1"/>
        <v>1347.8734499999998</v>
      </c>
      <c r="I7" s="1065">
        <f ca="1"/>
        <v>1347.8734499999998</v>
      </c>
      <c r="J7" s="1065">
        <f ca="1"/>
        <v>1347.8734499999998</v>
      </c>
      <c r="K7" s="1065">
        <f ca="1"/>
        <v>1347.8734499999998</v>
      </c>
      <c r="L7" s="1065">
        <f ca="1"/>
        <v>1347.8734499999998</v>
      </c>
      <c r="M7" s="1065">
        <f ca="1"/>
        <v>1347.8734499999998</v>
      </c>
      <c r="N7" s="2121">
        <f t="shared" ref="N7:N14" ca="1" si="0">SUM(B7:M7)</f>
        <v>16174.481399999995</v>
      </c>
    </row>
    <row r="8" spans="1:15" s="561" customFormat="1" ht="16.149999999999999" customHeight="1">
      <c r="A8" s="2122" t="str">
        <v/>
      </c>
      <c r="B8" s="1065">
        <f ca="1"/>
        <v>0</v>
      </c>
      <c r="C8" s="1065">
        <f ca="1"/>
        <v>0</v>
      </c>
      <c r="D8" s="1065">
        <f ca="1"/>
        <v>0</v>
      </c>
      <c r="E8" s="1065">
        <f ca="1"/>
        <v>0</v>
      </c>
      <c r="F8" s="1065">
        <f ca="1"/>
        <v>0</v>
      </c>
      <c r="G8" s="1065">
        <f ca="1"/>
        <v>0</v>
      </c>
      <c r="H8" s="1065">
        <f ca="1"/>
        <v>0</v>
      </c>
      <c r="I8" s="1065">
        <f ca="1"/>
        <v>0</v>
      </c>
      <c r="J8" s="1065">
        <f ca="1"/>
        <v>0</v>
      </c>
      <c r="K8" s="1065">
        <f ca="1"/>
        <v>0</v>
      </c>
      <c r="L8" s="1065">
        <f ca="1"/>
        <v>0</v>
      </c>
      <c r="M8" s="1065">
        <f ca="1"/>
        <v>0</v>
      </c>
      <c r="N8" s="2121">
        <f t="shared" ca="1" si="0"/>
        <v>0</v>
      </c>
    </row>
    <row r="9" spans="1:15" s="561" customFormat="1" ht="16.149999999999999" customHeight="1">
      <c r="A9" s="2122" t="str">
        <v/>
      </c>
      <c r="B9" s="1065">
        <f ca="1"/>
        <v>0</v>
      </c>
      <c r="C9" s="1065">
        <f ca="1"/>
        <v>0</v>
      </c>
      <c r="D9" s="1065">
        <f ca="1"/>
        <v>0</v>
      </c>
      <c r="E9" s="1065">
        <f ca="1"/>
        <v>0</v>
      </c>
      <c r="F9" s="1065">
        <f ca="1"/>
        <v>0</v>
      </c>
      <c r="G9" s="1065">
        <f ca="1"/>
        <v>0</v>
      </c>
      <c r="H9" s="1065">
        <f ca="1"/>
        <v>0</v>
      </c>
      <c r="I9" s="1065">
        <f ca="1"/>
        <v>0</v>
      </c>
      <c r="J9" s="1065">
        <f ca="1"/>
        <v>0</v>
      </c>
      <c r="K9" s="1065">
        <f ca="1"/>
        <v>0</v>
      </c>
      <c r="L9" s="1065">
        <f ca="1"/>
        <v>0</v>
      </c>
      <c r="M9" s="1065">
        <f ca="1"/>
        <v>0</v>
      </c>
      <c r="N9" s="2121">
        <f t="shared" ca="1" si="0"/>
        <v>0</v>
      </c>
    </row>
    <row r="10" spans="1:15" s="561" customFormat="1" ht="16.149999999999999" customHeight="1">
      <c r="A10" s="2122" t="str">
        <v/>
      </c>
      <c r="B10" s="1065">
        <f ca="1"/>
        <v>0</v>
      </c>
      <c r="C10" s="1065">
        <f ca="1"/>
        <v>0</v>
      </c>
      <c r="D10" s="1065">
        <f ca="1"/>
        <v>0</v>
      </c>
      <c r="E10" s="1065">
        <f ca="1"/>
        <v>0</v>
      </c>
      <c r="F10" s="1065">
        <f ca="1"/>
        <v>0</v>
      </c>
      <c r="G10" s="1065">
        <f ca="1"/>
        <v>0</v>
      </c>
      <c r="H10" s="1065">
        <f ca="1"/>
        <v>0</v>
      </c>
      <c r="I10" s="1065">
        <f ca="1"/>
        <v>0</v>
      </c>
      <c r="J10" s="1065">
        <f ca="1"/>
        <v>0</v>
      </c>
      <c r="K10" s="1065">
        <f ca="1"/>
        <v>0</v>
      </c>
      <c r="L10" s="1065">
        <f ca="1"/>
        <v>0</v>
      </c>
      <c r="M10" s="1065">
        <f ca="1"/>
        <v>0</v>
      </c>
      <c r="N10" s="2121">
        <f t="shared" ca="1" si="0"/>
        <v>0</v>
      </c>
    </row>
    <row r="11" spans="1:15" s="561" customFormat="1" ht="16.149999999999999" customHeight="1">
      <c r="A11" s="2122" t="str">
        <v/>
      </c>
      <c r="B11" s="1065">
        <f ca="1"/>
        <v>0</v>
      </c>
      <c r="C11" s="1065">
        <f ca="1"/>
        <v>0</v>
      </c>
      <c r="D11" s="1065">
        <f ca="1"/>
        <v>0</v>
      </c>
      <c r="E11" s="1065">
        <f ca="1"/>
        <v>0</v>
      </c>
      <c r="F11" s="1065">
        <f ca="1"/>
        <v>0</v>
      </c>
      <c r="G11" s="1065">
        <f ca="1"/>
        <v>0</v>
      </c>
      <c r="H11" s="1065">
        <f ca="1"/>
        <v>0</v>
      </c>
      <c r="I11" s="1065">
        <f ca="1"/>
        <v>0</v>
      </c>
      <c r="J11" s="1065">
        <f ca="1"/>
        <v>0</v>
      </c>
      <c r="K11" s="1065">
        <f ca="1"/>
        <v>0</v>
      </c>
      <c r="L11" s="1065">
        <f ca="1"/>
        <v>0</v>
      </c>
      <c r="M11" s="1065">
        <f ca="1"/>
        <v>0</v>
      </c>
      <c r="N11" s="2121">
        <f t="shared" ca="1" si="0"/>
        <v>0</v>
      </c>
    </row>
    <row r="12" spans="1:15" s="561" customFormat="1" ht="16.149999999999999" customHeight="1">
      <c r="A12" s="2122" t="str">
        <v/>
      </c>
      <c r="B12" s="1065">
        <f ca="1"/>
        <v>0</v>
      </c>
      <c r="C12" s="1065">
        <f ca="1"/>
        <v>0</v>
      </c>
      <c r="D12" s="1065">
        <f ca="1"/>
        <v>0</v>
      </c>
      <c r="E12" s="1065">
        <f ca="1"/>
        <v>0</v>
      </c>
      <c r="F12" s="1065">
        <f ca="1"/>
        <v>0</v>
      </c>
      <c r="G12" s="1065">
        <f ca="1"/>
        <v>0</v>
      </c>
      <c r="H12" s="1065">
        <f ca="1"/>
        <v>0</v>
      </c>
      <c r="I12" s="1065">
        <f ca="1"/>
        <v>0</v>
      </c>
      <c r="J12" s="1065">
        <f ca="1"/>
        <v>0</v>
      </c>
      <c r="K12" s="1065">
        <f ca="1"/>
        <v>0</v>
      </c>
      <c r="L12" s="1065">
        <f ca="1"/>
        <v>0</v>
      </c>
      <c r="M12" s="1065">
        <f ca="1"/>
        <v>0</v>
      </c>
      <c r="N12" s="2121">
        <f t="shared" ca="1" si="0"/>
        <v>0</v>
      </c>
    </row>
    <row r="13" spans="1:15" s="561" customFormat="1" ht="16.149999999999999" customHeight="1">
      <c r="A13" s="2122" t="str">
        <v/>
      </c>
      <c r="B13" s="1065">
        <f ca="1"/>
        <v>0</v>
      </c>
      <c r="C13" s="1065">
        <f ca="1"/>
        <v>0</v>
      </c>
      <c r="D13" s="1065">
        <f ca="1"/>
        <v>0</v>
      </c>
      <c r="E13" s="1065">
        <f ca="1"/>
        <v>0</v>
      </c>
      <c r="F13" s="1065">
        <f ca="1"/>
        <v>0</v>
      </c>
      <c r="G13" s="1065">
        <f ca="1"/>
        <v>0</v>
      </c>
      <c r="H13" s="1065">
        <f ca="1"/>
        <v>0</v>
      </c>
      <c r="I13" s="1065">
        <f ca="1"/>
        <v>0</v>
      </c>
      <c r="J13" s="1065">
        <f ca="1"/>
        <v>0</v>
      </c>
      <c r="K13" s="1065">
        <f ca="1"/>
        <v>0</v>
      </c>
      <c r="L13" s="1065">
        <f ca="1"/>
        <v>0</v>
      </c>
      <c r="M13" s="1065">
        <f ca="1"/>
        <v>0</v>
      </c>
      <c r="N13" s="2121">
        <f t="shared" ca="1" si="0"/>
        <v>0</v>
      </c>
    </row>
    <row r="14" spans="1:15" s="561" customFormat="1" ht="16.149999999999999" customHeight="1" thickBot="1">
      <c r="A14" s="2123" t="str">
        <v/>
      </c>
      <c r="B14" s="1066">
        <f ca="1"/>
        <v>0</v>
      </c>
      <c r="C14" s="1066">
        <f ca="1"/>
        <v>0</v>
      </c>
      <c r="D14" s="1066">
        <f ca="1"/>
        <v>0</v>
      </c>
      <c r="E14" s="1066">
        <f ca="1"/>
        <v>0</v>
      </c>
      <c r="F14" s="1066">
        <f ca="1"/>
        <v>0</v>
      </c>
      <c r="G14" s="1066">
        <f ca="1"/>
        <v>0</v>
      </c>
      <c r="H14" s="1066">
        <f ca="1"/>
        <v>0</v>
      </c>
      <c r="I14" s="1066">
        <f ca="1"/>
        <v>0</v>
      </c>
      <c r="J14" s="1066">
        <f ca="1"/>
        <v>0</v>
      </c>
      <c r="K14" s="1066">
        <f ca="1"/>
        <v>0</v>
      </c>
      <c r="L14" s="1066">
        <f ca="1"/>
        <v>0</v>
      </c>
      <c r="M14" s="1066">
        <f ca="1"/>
        <v>0</v>
      </c>
      <c r="N14" s="2121">
        <f t="shared" ca="1" si="0"/>
        <v>0</v>
      </c>
    </row>
    <row r="15" spans="1:15" s="561" customFormat="1" ht="16.149999999999999" customHeight="1" thickBot="1">
      <c r="A15" s="2124" t="s">
        <v>3</v>
      </c>
      <c r="B15" s="2125">
        <f t="shared" ref="B15:N15" ca="1" si="1">SUM(B7:B14)</f>
        <v>1347.8734499999998</v>
      </c>
      <c r="C15" s="2125">
        <f t="shared" ca="1" si="1"/>
        <v>1347.8734499999998</v>
      </c>
      <c r="D15" s="2125">
        <f t="shared" ca="1" si="1"/>
        <v>1347.8734499999998</v>
      </c>
      <c r="E15" s="2125">
        <f t="shared" ca="1" si="1"/>
        <v>1347.8734499999998</v>
      </c>
      <c r="F15" s="2125">
        <f t="shared" ca="1" si="1"/>
        <v>1347.8734499999998</v>
      </c>
      <c r="G15" s="2125">
        <f t="shared" ca="1" si="1"/>
        <v>1347.8734499999998</v>
      </c>
      <c r="H15" s="2125">
        <f t="shared" ca="1" si="1"/>
        <v>1347.8734499999998</v>
      </c>
      <c r="I15" s="2125">
        <f t="shared" ca="1" si="1"/>
        <v>1347.8734499999998</v>
      </c>
      <c r="J15" s="2125">
        <f t="shared" ca="1" si="1"/>
        <v>1347.8734499999998</v>
      </c>
      <c r="K15" s="2125">
        <f t="shared" ca="1" si="1"/>
        <v>1347.8734499999998</v>
      </c>
      <c r="L15" s="2125">
        <f t="shared" ca="1" si="1"/>
        <v>1347.8734499999998</v>
      </c>
      <c r="M15" s="2125">
        <f t="shared" ca="1" si="1"/>
        <v>1347.8734499999998</v>
      </c>
      <c r="N15" s="2125">
        <f t="shared" ca="1" si="1"/>
        <v>16174.481399999995</v>
      </c>
    </row>
    <row r="16" spans="1:15" s="561" customFormat="1" ht="16.149999999999999" customHeight="1">
      <c r="A16" s="25"/>
    </row>
    <row r="17" spans="1:19" s="334" customFormat="1" ht="22.5">
      <c r="A17" s="334" t="str">
        <f>'Receitas e pagamentos 0'!A17</f>
        <v>Receitas por Vendas do ano</v>
      </c>
      <c r="B17" s="172"/>
      <c r="E17" s="172"/>
      <c r="F17" s="172"/>
    </row>
    <row r="18" spans="1:19" ht="16.5" customHeight="1" thickBot="1">
      <c r="A18" s="88"/>
      <c r="B18" s="88"/>
      <c r="O18" s="88"/>
      <c r="P18" s="1067" t="str">
        <f>'Receitas e pagamentos 0'!P18</f>
        <v>Pendente para o ano seguinte:</v>
      </c>
      <c r="Q18" s="1085" t="str">
        <f>Parametros!G65</f>
        <v>2029</v>
      </c>
    </row>
    <row r="19" spans="1:19" s="1064" customFormat="1" ht="28.5" customHeight="1" thickBot="1">
      <c r="A19" s="174" t="str">
        <f t="array" ref="A19:A27">'Receitas e pagamentos 0'!A19:A27</f>
        <v>Prazos das receitas</v>
      </c>
      <c r="B19" s="2745" t="str">
        <f t="array" ref="B19:M19">'Estimações Vendas'!B31:M31</f>
        <v>janeiro 
2028</v>
      </c>
      <c r="C19" s="2745" t="str">
        <v>fevereiro 
2028</v>
      </c>
      <c r="D19" s="2745" t="str">
        <v>março 
2028</v>
      </c>
      <c r="E19" s="2745" t="str">
        <v>abril 
2028</v>
      </c>
      <c r="F19" s="2745" t="str">
        <v>maio 
2028</v>
      </c>
      <c r="G19" s="2745" t="str">
        <v>junho 
2028</v>
      </c>
      <c r="H19" s="2745" t="str">
        <v>julho 
2028</v>
      </c>
      <c r="I19" s="2745" t="str">
        <v>agosto 
2028</v>
      </c>
      <c r="J19" s="2745" t="str">
        <v>setembro 
2028</v>
      </c>
      <c r="K19" s="2745" t="str">
        <v>outubro 
2028</v>
      </c>
      <c r="L19" s="2745" t="str">
        <v>novembro 
2028</v>
      </c>
      <c r="M19" s="2745" t="str">
        <v>dezembro 
2028</v>
      </c>
      <c r="N19" s="2745" t="str">
        <f t="array" ref="N19:S19">'Receitas e pagamentos 3'!B19:G19</f>
        <v>janeiro 
2029</v>
      </c>
      <c r="O19" s="2745" t="str">
        <v>fevereiro 
2029</v>
      </c>
      <c r="P19" s="2745" t="str">
        <v>março 
2029</v>
      </c>
      <c r="Q19" s="2745" t="str">
        <v>abril 
2029</v>
      </c>
      <c r="R19" s="2745" t="str">
        <v>maio 
2029</v>
      </c>
      <c r="S19" s="2745" t="str">
        <v>junho 
2029</v>
      </c>
    </row>
    <row r="20" spans="1:19" s="554" customFormat="1" ht="16.149999999999999" customHeight="1">
      <c r="A20" s="2119" t="str">
        <v>Contado</v>
      </c>
      <c r="B20" s="1069">
        <f t="array" aca="1" ref="B20" ca="1">SUM('Pol. Cobranças e Pagamentos'!$B$39:$B$46*B7:B14)</f>
        <v>1347.8734499999998</v>
      </c>
      <c r="C20" s="1069">
        <f t="array" aca="1" ref="C20" ca="1">SUM('Pol. Cobranças e Pagamentos'!$B$39:$B$46*C7:C14)</f>
        <v>1347.8734499999998</v>
      </c>
      <c r="D20" s="1069">
        <f t="array" aca="1" ref="D20" ca="1">SUM('Pol. Cobranças e Pagamentos'!$B$39:$B$46*D7:D14)</f>
        <v>1347.8734499999998</v>
      </c>
      <c r="E20" s="1069">
        <f t="array" aca="1" ref="E20" ca="1">SUM('Pol. Cobranças e Pagamentos'!$B$39:$B$46*E7:E14)</f>
        <v>1347.8734499999998</v>
      </c>
      <c r="F20" s="1069">
        <f t="array" aca="1" ref="F20" ca="1">SUM('Pol. Cobranças e Pagamentos'!$B$39:$B$46*F7:F14)</f>
        <v>1347.8734499999998</v>
      </c>
      <c r="G20" s="1069">
        <f t="array" aca="1" ref="G20" ca="1">SUM('Pol. Cobranças e Pagamentos'!$B$39:$B$46*G7:G14)</f>
        <v>1347.8734499999998</v>
      </c>
      <c r="H20" s="1069">
        <f t="array" aca="1" ref="H20" ca="1">SUM('Pol. Cobranças e Pagamentos'!$B$39:$B$46*H7:H14)</f>
        <v>1347.8734499999998</v>
      </c>
      <c r="I20" s="1069">
        <f t="array" aca="1" ref="I20" ca="1">SUM('Pol. Cobranças e Pagamentos'!$B$39:$B$46*I7:I14)</f>
        <v>1347.8734499999998</v>
      </c>
      <c r="J20" s="1069">
        <f t="array" aca="1" ref="J20" ca="1">SUM('Pol. Cobranças e Pagamentos'!$B$39:$B$46*J7:J14)</f>
        <v>1347.8734499999998</v>
      </c>
      <c r="K20" s="1069">
        <f t="array" aca="1" ref="K20" ca="1">SUM('Pol. Cobranças e Pagamentos'!$B$39:$B$46*K7:K14)</f>
        <v>1347.8734499999998</v>
      </c>
      <c r="L20" s="1069">
        <f t="array" aca="1" ref="L20" ca="1">SUM('Pol. Cobranças e Pagamentos'!$B$39:$B$46*L7:L14)</f>
        <v>1347.8734499999998</v>
      </c>
      <c r="M20" s="1069">
        <f t="array" aca="1" ref="M20" ca="1">SUM('Pol. Cobranças e Pagamentos'!$B$39:$B$46*M7:M14)</f>
        <v>1347.8734499999998</v>
      </c>
      <c r="N20" s="1069"/>
      <c r="O20" s="1069"/>
      <c r="P20" s="1069"/>
      <c r="Q20" s="1069"/>
      <c r="R20" s="1069"/>
      <c r="S20" s="1069"/>
    </row>
    <row r="21" spans="1:19" s="561" customFormat="1" ht="16.149999999999999" customHeight="1">
      <c r="A21" s="2846">
        <v>30</v>
      </c>
      <c r="B21" s="1070">
        <f t="array" aca="1" ref="B21:B26" ca="1">'Receitas e pagamentos 1'!N21:N26</f>
        <v>0</v>
      </c>
      <c r="C21" s="1069">
        <f t="array" aca="1" ref="C21" ca="1">SUM('Pol. Cobranças e Pagamentos'!$C$39:$C$46*B$7:B$14)</f>
        <v>0</v>
      </c>
      <c r="D21" s="1069">
        <f t="array" aca="1" ref="D21" ca="1">SUM('Pol. Cobranças e Pagamentos'!$C$39:$C$46*C$7:C$14)</f>
        <v>0</v>
      </c>
      <c r="E21" s="1069">
        <f t="array" aca="1" ref="E21" ca="1">SUM('Pol. Cobranças e Pagamentos'!$C$39:$C$46*D$7:D$14)</f>
        <v>0</v>
      </c>
      <c r="F21" s="1069">
        <f t="array" aca="1" ref="F21" ca="1">SUM('Pol. Cobranças e Pagamentos'!$C$39:$C$46*E$7:E$14)</f>
        <v>0</v>
      </c>
      <c r="G21" s="1069">
        <f t="array" aca="1" ref="G21" ca="1">SUM('Pol. Cobranças e Pagamentos'!$C$39:$C$46*F$7:F$14)</f>
        <v>0</v>
      </c>
      <c r="H21" s="1069">
        <f t="array" aca="1" ref="H21" ca="1">SUM('Pol. Cobranças e Pagamentos'!$C$39:$C$46*G$7:G$14)</f>
        <v>0</v>
      </c>
      <c r="I21" s="1069">
        <f t="array" aca="1" ref="I21" ca="1">SUM('Pol. Cobranças e Pagamentos'!$C$39:$C$46*H$7:H$14)</f>
        <v>0</v>
      </c>
      <c r="J21" s="1069">
        <f t="array" aca="1" ref="J21" ca="1">SUM('Pol. Cobranças e Pagamentos'!$C$39:$C$46*I$7:I$14)</f>
        <v>0</v>
      </c>
      <c r="K21" s="1069">
        <f t="array" aca="1" ref="K21" ca="1">SUM('Pol. Cobranças e Pagamentos'!$C$39:$C$46*J$7:J$14)</f>
        <v>0</v>
      </c>
      <c r="L21" s="1069">
        <f t="array" aca="1" ref="L21" ca="1">SUM('Pol. Cobranças e Pagamentos'!$C$39:$C$46*K$7:K$14)</f>
        <v>0</v>
      </c>
      <c r="M21" s="1069">
        <f t="array" aca="1" ref="M21" ca="1">SUM('Pol. Cobranças e Pagamentos'!$C$39:$C$46*L$7:L$14)</f>
        <v>0</v>
      </c>
      <c r="N21" s="1069">
        <f t="array" aca="1" ref="N21" ca="1">SUM('Pol. Cobranças e Pagamentos'!$C$39:$C$46*M$7:M$14)</f>
        <v>0</v>
      </c>
      <c r="O21" s="1069"/>
      <c r="P21" s="1069"/>
      <c r="Q21" s="1069"/>
      <c r="R21" s="1069"/>
      <c r="S21" s="1069"/>
    </row>
    <row r="22" spans="1:19" s="554" customFormat="1" ht="16.149999999999999" customHeight="1">
      <c r="A22" s="2846">
        <v>60</v>
      </c>
      <c r="B22" s="1070">
        <f ca="1"/>
        <v>0</v>
      </c>
      <c r="C22" s="1070">
        <f t="array" aca="1" ref="C22:C26" ca="1">'Receitas e pagamentos 1'!O22:O26</f>
        <v>0</v>
      </c>
      <c r="D22" s="1069">
        <f t="array" aca="1" ref="D22" ca="1">SUM('Pol. Cobranças e Pagamentos'!$D$39:$D$46*B$7:B$14)</f>
        <v>0</v>
      </c>
      <c r="E22" s="1069">
        <f t="array" aca="1" ref="E22" ca="1">SUM('Pol. Cobranças e Pagamentos'!$D$39:$D$46*C$7:C$14)</f>
        <v>0</v>
      </c>
      <c r="F22" s="1069">
        <f t="array" aca="1" ref="F22" ca="1">SUM('Pol. Cobranças e Pagamentos'!$D$39:$D$46*D$7:D$14)</f>
        <v>0</v>
      </c>
      <c r="G22" s="1069">
        <f t="array" aca="1" ref="G22" ca="1">SUM('Pol. Cobranças e Pagamentos'!$D$39:$D$46*E$7:E$14)</f>
        <v>0</v>
      </c>
      <c r="H22" s="1069">
        <f t="array" aca="1" ref="H22" ca="1">SUM('Pol. Cobranças e Pagamentos'!$D$39:$D$46*F$7:F$14)</f>
        <v>0</v>
      </c>
      <c r="I22" s="1069">
        <f t="array" aca="1" ref="I22" ca="1">SUM('Pol. Cobranças e Pagamentos'!$D$39:$D$46*G$7:G$14)</f>
        <v>0</v>
      </c>
      <c r="J22" s="1069">
        <f t="array" aca="1" ref="J22" ca="1">SUM('Pol. Cobranças e Pagamentos'!$D$39:$D$46*H$7:H$14)</f>
        <v>0</v>
      </c>
      <c r="K22" s="1069">
        <f t="array" aca="1" ref="K22" ca="1">SUM('Pol. Cobranças e Pagamentos'!$D$39:$D$46*I$7:I$14)</f>
        <v>0</v>
      </c>
      <c r="L22" s="1069">
        <f t="array" aca="1" ref="L22" ca="1">SUM('Pol. Cobranças e Pagamentos'!$D$39:$D$46*J$7:J$14)</f>
        <v>0</v>
      </c>
      <c r="M22" s="1069">
        <f t="array" aca="1" ref="M22" ca="1">SUM('Pol. Cobranças e Pagamentos'!$D$39:$D$46*K$7:K$14)</f>
        <v>0</v>
      </c>
      <c r="N22" s="1069">
        <f t="array" aca="1" ref="N22" ca="1">SUM('Pol. Cobranças e Pagamentos'!$D$39:$D$46*L$7:L$14)</f>
        <v>0</v>
      </c>
      <c r="O22" s="1069">
        <f t="array" aca="1" ref="O22" ca="1">SUM('Pol. Cobranças e Pagamentos'!$D$39:$D$46*M$7:M$14)</f>
        <v>0</v>
      </c>
      <c r="P22" s="1069"/>
      <c r="Q22" s="1069"/>
      <c r="R22" s="1069"/>
      <c r="S22" s="1069"/>
    </row>
    <row r="23" spans="1:19" s="554" customFormat="1" ht="16.149999999999999" customHeight="1">
      <c r="A23" s="2846">
        <v>90</v>
      </c>
      <c r="B23" s="1070">
        <f ca="1"/>
        <v>0</v>
      </c>
      <c r="C23" s="1070">
        <f ca="1"/>
        <v>0</v>
      </c>
      <c r="D23" s="1070">
        <f t="array" aca="1" ref="D23:D26" ca="1">'Receitas e pagamentos 1'!P23:P26</f>
        <v>0</v>
      </c>
      <c r="E23" s="1069">
        <f t="array" aca="1" ref="E23" ca="1">SUM('Pol. Cobranças e Pagamentos'!$E$39:$E$46*B$7:B$14)</f>
        <v>0</v>
      </c>
      <c r="F23" s="1069">
        <f t="array" aca="1" ref="F23" ca="1">SUM('Pol. Cobranças e Pagamentos'!$E$39:$E$46*C$7:C$14)</f>
        <v>0</v>
      </c>
      <c r="G23" s="1069">
        <f t="array" aca="1" ref="G23" ca="1">SUM('Pol. Cobranças e Pagamentos'!$E$39:$E$46*D$7:D$14)</f>
        <v>0</v>
      </c>
      <c r="H23" s="1069">
        <f t="array" aca="1" ref="H23" ca="1">SUM('Pol. Cobranças e Pagamentos'!$E$39:$E$46*E$7:E$14)</f>
        <v>0</v>
      </c>
      <c r="I23" s="1069">
        <f t="array" aca="1" ref="I23" ca="1">SUM('Pol. Cobranças e Pagamentos'!$E$39:$E$46*F$7:F$14)</f>
        <v>0</v>
      </c>
      <c r="J23" s="1069">
        <f t="array" aca="1" ref="J23" ca="1">SUM('Pol. Cobranças e Pagamentos'!$E$39:$E$46*G$7:G$14)</f>
        <v>0</v>
      </c>
      <c r="K23" s="1069">
        <f t="array" aca="1" ref="K23" ca="1">SUM('Pol. Cobranças e Pagamentos'!$E$39:$E$46*H$7:H$14)</f>
        <v>0</v>
      </c>
      <c r="L23" s="1069">
        <f t="array" aca="1" ref="L23" ca="1">SUM('Pol. Cobranças e Pagamentos'!$E$39:$E$46*I$7:I$14)</f>
        <v>0</v>
      </c>
      <c r="M23" s="1069">
        <f t="array" aca="1" ref="M23" ca="1">SUM('Pol. Cobranças e Pagamentos'!$E$39:$E$46*J$7:J$14)</f>
        <v>0</v>
      </c>
      <c r="N23" s="1069">
        <f t="array" aca="1" ref="N23" ca="1">SUM('Pol. Cobranças e Pagamentos'!$E$39:$E$46*K$7:K$14)</f>
        <v>0</v>
      </c>
      <c r="O23" s="1069">
        <f t="array" aca="1" ref="O23" ca="1">SUM('Pol. Cobranças e Pagamentos'!$E$39:$E$46*L$7:L$14)</f>
        <v>0</v>
      </c>
      <c r="P23" s="1069">
        <f t="array" aca="1" ref="P23" ca="1">SUM('Pol. Cobranças e Pagamentos'!$E$39:$E$46*M$7:M$14)</f>
        <v>0</v>
      </c>
      <c r="Q23" s="1069"/>
      <c r="R23" s="1069"/>
      <c r="S23" s="1069"/>
    </row>
    <row r="24" spans="1:19" s="554" customFormat="1" ht="16.149999999999999" customHeight="1">
      <c r="A24" s="2846">
        <v>120</v>
      </c>
      <c r="B24" s="1070">
        <f ca="1"/>
        <v>0</v>
      </c>
      <c r="C24" s="1070">
        <f ca="1"/>
        <v>0</v>
      </c>
      <c r="D24" s="1070">
        <f ca="1"/>
        <v>0</v>
      </c>
      <c r="E24" s="1070">
        <f t="array" aca="1" ref="E24:E26" ca="1">'Receitas e pagamentos 1'!Q24:Q26</f>
        <v>0</v>
      </c>
      <c r="F24" s="1069">
        <f t="array" aca="1" ref="F24" ca="1">SUM('Pol. Cobranças e Pagamentos'!$F$39:$F$46*B$7:B$14)</f>
        <v>0</v>
      </c>
      <c r="G24" s="1069">
        <f t="array" aca="1" ref="G24" ca="1">SUM('Pol. Cobranças e Pagamentos'!$F$39:$F$46*C$7:C$14)</f>
        <v>0</v>
      </c>
      <c r="H24" s="1069">
        <f t="array" aca="1" ref="H24" ca="1">SUM('Pol. Cobranças e Pagamentos'!$F$39:$F$46*D$7:D$14)</f>
        <v>0</v>
      </c>
      <c r="I24" s="1069">
        <f t="array" aca="1" ref="I24" ca="1">SUM('Pol. Cobranças e Pagamentos'!$F$39:$F$46*E$7:E$14)</f>
        <v>0</v>
      </c>
      <c r="J24" s="1069">
        <f t="array" aca="1" ref="J24" ca="1">SUM('Pol. Cobranças e Pagamentos'!$F$39:$F$46*F$7:F$14)</f>
        <v>0</v>
      </c>
      <c r="K24" s="1069">
        <f t="array" aca="1" ref="K24" ca="1">SUM('Pol. Cobranças e Pagamentos'!$F$39:$F$46*G$7:G$14)</f>
        <v>0</v>
      </c>
      <c r="L24" s="1069">
        <f t="array" aca="1" ref="L24" ca="1">SUM('Pol. Cobranças e Pagamentos'!$F$39:$F$46*H$7:H$14)</f>
        <v>0</v>
      </c>
      <c r="M24" s="1069">
        <f t="array" aca="1" ref="M24" ca="1">SUM('Pol. Cobranças e Pagamentos'!$F$39:$F$46*I$7:I$14)</f>
        <v>0</v>
      </c>
      <c r="N24" s="1069">
        <f t="array" aca="1" ref="N24" ca="1">SUM('Pol. Cobranças e Pagamentos'!$F$39:$F$46*J$7:J$14)</f>
        <v>0</v>
      </c>
      <c r="O24" s="1069">
        <f t="array" aca="1" ref="O24" ca="1">SUM('Pol. Cobranças e Pagamentos'!$F$39:$F$46*K$7:K$14)</f>
        <v>0</v>
      </c>
      <c r="P24" s="1069">
        <f t="array" aca="1" ref="P24" ca="1">SUM('Pol. Cobranças e Pagamentos'!$F$39:$F$46*L$7:L$14)</f>
        <v>0</v>
      </c>
      <c r="Q24" s="1069">
        <f t="array" aca="1" ref="Q24" ca="1">SUM('Pol. Cobranças e Pagamentos'!$F$39:$F$46*M$7:M$14)</f>
        <v>0</v>
      </c>
      <c r="R24" s="1069"/>
      <c r="S24" s="1069"/>
    </row>
    <row r="25" spans="1:19" s="554" customFormat="1" ht="16.149999999999999" customHeight="1">
      <c r="A25" s="2846">
        <v>150</v>
      </c>
      <c r="B25" s="1070">
        <f ca="1"/>
        <v>0</v>
      </c>
      <c r="C25" s="1070">
        <f ca="1"/>
        <v>0</v>
      </c>
      <c r="D25" s="1070">
        <f ca="1"/>
        <v>0</v>
      </c>
      <c r="E25" s="1070">
        <f ca="1"/>
        <v>0</v>
      </c>
      <c r="F25" s="1070">
        <f t="array" aca="1" ref="F25:F26" ca="1">'Receitas e pagamentos 1'!R25:R26</f>
        <v>0</v>
      </c>
      <c r="G25" s="1069">
        <f t="array" aca="1" ref="G25" ca="1">SUM('Pol. Cobranças e Pagamentos'!$G$39:$G$46*B$7:B$14)</f>
        <v>0</v>
      </c>
      <c r="H25" s="1069">
        <f t="array" aca="1" ref="H25" ca="1">SUM('Pol. Cobranças e Pagamentos'!$G$39:$G$46*C$7:C$14)</f>
        <v>0</v>
      </c>
      <c r="I25" s="1069">
        <f t="array" aca="1" ref="I25" ca="1">SUM('Pol. Cobranças e Pagamentos'!$G$39:$G$46*D$7:D$14)</f>
        <v>0</v>
      </c>
      <c r="J25" s="1069">
        <f t="array" aca="1" ref="J25" ca="1">SUM('Pol. Cobranças e Pagamentos'!$G$39:$G$46*E$7:E$14)</f>
        <v>0</v>
      </c>
      <c r="K25" s="1069">
        <f t="array" aca="1" ref="K25" ca="1">SUM('Pol. Cobranças e Pagamentos'!$G$39:$G$46*F$7:F$14)</f>
        <v>0</v>
      </c>
      <c r="L25" s="1069">
        <f t="array" aca="1" ref="L25" ca="1">SUM('Pol. Cobranças e Pagamentos'!$G$39:$G$46*G$7:G$14)</f>
        <v>0</v>
      </c>
      <c r="M25" s="1069">
        <f t="array" aca="1" ref="M25" ca="1">SUM('Pol. Cobranças e Pagamentos'!$G$39:$G$46*H$7:H$14)</f>
        <v>0</v>
      </c>
      <c r="N25" s="1069">
        <f t="array" aca="1" ref="N25" ca="1">SUM('Pol. Cobranças e Pagamentos'!$G$39:$G$46*I$7:I$14)</f>
        <v>0</v>
      </c>
      <c r="O25" s="1069">
        <f t="array" aca="1" ref="O25" ca="1">SUM('Pol. Cobranças e Pagamentos'!$G$39:$G$46*J$7:J$14)</f>
        <v>0</v>
      </c>
      <c r="P25" s="1069">
        <f t="array" aca="1" ref="P25" ca="1">SUM('Pol. Cobranças e Pagamentos'!$G$39:$G$46*K$7:K$14)</f>
        <v>0</v>
      </c>
      <c r="Q25" s="1069">
        <f t="array" aca="1" ref="Q25" ca="1">SUM('Pol. Cobranças e Pagamentos'!$G$39:$G$46*L$7:L$14)</f>
        <v>0</v>
      </c>
      <c r="R25" s="1069">
        <f t="array" aca="1" ref="R25" ca="1">SUM('Pol. Cobranças e Pagamentos'!$G$39:$G$46*M$7:M$14)</f>
        <v>0</v>
      </c>
      <c r="S25" s="1069"/>
    </row>
    <row r="26" spans="1:19" s="554" customFormat="1" ht="16.149999999999999" customHeight="1">
      <c r="A26" s="2846">
        <v>180</v>
      </c>
      <c r="B26" s="1070">
        <f ca="1"/>
        <v>0</v>
      </c>
      <c r="C26" s="1070">
        <f ca="1"/>
        <v>0</v>
      </c>
      <c r="D26" s="1070">
        <f ca="1"/>
        <v>0</v>
      </c>
      <c r="E26" s="1070">
        <f ca="1"/>
        <v>0</v>
      </c>
      <c r="F26" s="1070">
        <f ca="1"/>
        <v>0</v>
      </c>
      <c r="G26" s="1070">
        <f ca="1">'Receitas e pagamentos 1'!S26</f>
        <v>0</v>
      </c>
      <c r="H26" s="1069">
        <f t="array" aca="1" ref="H26" ca="1">SUM('Pol. Cobranças e Pagamentos'!$H$39:$H$46*B$7:B$14)</f>
        <v>0</v>
      </c>
      <c r="I26" s="1069">
        <f t="array" aca="1" ref="I26" ca="1">SUM('Pol. Cobranças e Pagamentos'!$H$39:$H$46*C$7:C$14)</f>
        <v>0</v>
      </c>
      <c r="J26" s="1069">
        <f t="array" aca="1" ref="J26" ca="1">SUM('Pol. Cobranças e Pagamentos'!$H$39:$H$46*D$7:D$14)</f>
        <v>0</v>
      </c>
      <c r="K26" s="1069">
        <f t="array" aca="1" ref="K26" ca="1">SUM('Pol. Cobranças e Pagamentos'!$H$39:$H$46*E$7:E$14)</f>
        <v>0</v>
      </c>
      <c r="L26" s="1069">
        <f t="array" aca="1" ref="L26" ca="1">SUM('Pol. Cobranças e Pagamentos'!$H$39:$H$46*F$7:F$14)</f>
        <v>0</v>
      </c>
      <c r="M26" s="1069">
        <f t="array" aca="1" ref="M26" ca="1">SUM('Pol. Cobranças e Pagamentos'!$H$39:$H$46*G$7:G$14)</f>
        <v>0</v>
      </c>
      <c r="N26" s="1069">
        <f t="array" aca="1" ref="N26" ca="1">SUM('Pol. Cobranças e Pagamentos'!$H$39:$H$46*H$7:H$14)</f>
        <v>0</v>
      </c>
      <c r="O26" s="1069">
        <f t="array" aca="1" ref="O26" ca="1">SUM('Pol. Cobranças e Pagamentos'!$H$39:$H$46*I$7:I$14)</f>
        <v>0</v>
      </c>
      <c r="P26" s="1069">
        <f t="array" aca="1" ref="P26" ca="1">SUM('Pol. Cobranças e Pagamentos'!$H$39:$H$46*J$7:J$14)</f>
        <v>0</v>
      </c>
      <c r="Q26" s="1069">
        <f t="array" aca="1" ref="Q26" ca="1">SUM('Pol. Cobranças e Pagamentos'!$H$39:$H$46*K$7:K$14)</f>
        <v>0</v>
      </c>
      <c r="R26" s="1069">
        <f t="array" aca="1" ref="R26" ca="1">SUM('Pol. Cobranças e Pagamentos'!$H$39:$H$46*L$7:L$14)</f>
        <v>0</v>
      </c>
      <c r="S26" s="1069">
        <f t="array" aca="1" ref="S26" ca="1">SUM('Pol. Cobranças e Pagamentos'!$H$39:$H$46*M$7:M$14)</f>
        <v>0</v>
      </c>
    </row>
    <row r="27" spans="1:19" s="554" customFormat="1" ht="16.149999999999999" customHeight="1">
      <c r="A27" s="2847" t="str">
        <v>Impagados</v>
      </c>
      <c r="B27" s="1084">
        <f t="shared" ref="B27:M27" ca="1" si="2">-morisidad*SUM(B20:B26)</f>
        <v>0</v>
      </c>
      <c r="C27" s="1084">
        <f t="shared" ca="1" si="2"/>
        <v>0</v>
      </c>
      <c r="D27" s="1084">
        <f t="shared" ca="1" si="2"/>
        <v>0</v>
      </c>
      <c r="E27" s="1084">
        <f t="shared" ca="1" si="2"/>
        <v>0</v>
      </c>
      <c r="F27" s="1084">
        <f t="shared" ca="1" si="2"/>
        <v>0</v>
      </c>
      <c r="G27" s="1084">
        <f t="shared" ca="1" si="2"/>
        <v>0</v>
      </c>
      <c r="H27" s="1084">
        <f t="shared" ca="1" si="2"/>
        <v>0</v>
      </c>
      <c r="I27" s="1084">
        <f t="shared" ca="1" si="2"/>
        <v>0</v>
      </c>
      <c r="J27" s="1084">
        <f t="shared" ca="1" si="2"/>
        <v>0</v>
      </c>
      <c r="K27" s="1084">
        <f t="shared" ca="1" si="2"/>
        <v>0</v>
      </c>
      <c r="L27" s="1084">
        <f t="shared" ca="1" si="2"/>
        <v>0</v>
      </c>
      <c r="M27" s="1084">
        <f t="shared" ca="1" si="2"/>
        <v>0</v>
      </c>
      <c r="N27" s="1071"/>
      <c r="O27" s="1071"/>
      <c r="P27" s="1071"/>
      <c r="Q27" s="1071"/>
      <c r="R27" s="1071"/>
      <c r="S27" s="1071"/>
    </row>
    <row r="28" spans="1:19" s="561" customFormat="1" ht="16.149999999999999" customHeight="1" thickBot="1">
      <c r="A28" s="2746" t="s">
        <v>3</v>
      </c>
      <c r="B28" s="2747">
        <f t="shared" ref="B28:S28" ca="1" si="3">SUM(B20:B27)</f>
        <v>1347.8734499999998</v>
      </c>
      <c r="C28" s="2747">
        <f t="shared" ca="1" si="3"/>
        <v>1347.8734499999998</v>
      </c>
      <c r="D28" s="2747">
        <f t="shared" ca="1" si="3"/>
        <v>1347.8734499999998</v>
      </c>
      <c r="E28" s="2747">
        <f t="shared" ca="1" si="3"/>
        <v>1347.8734499999998</v>
      </c>
      <c r="F28" s="2747">
        <f t="shared" ca="1" si="3"/>
        <v>1347.8734499999998</v>
      </c>
      <c r="G28" s="2747">
        <f t="shared" ca="1" si="3"/>
        <v>1347.8734499999998</v>
      </c>
      <c r="H28" s="2747">
        <f t="shared" ca="1" si="3"/>
        <v>1347.8734499999998</v>
      </c>
      <c r="I28" s="2747">
        <f t="shared" ca="1" si="3"/>
        <v>1347.8734499999998</v>
      </c>
      <c r="J28" s="2747">
        <f t="shared" ca="1" si="3"/>
        <v>1347.8734499999998</v>
      </c>
      <c r="K28" s="2747">
        <f t="shared" ca="1" si="3"/>
        <v>1347.8734499999998</v>
      </c>
      <c r="L28" s="2747">
        <f t="shared" ca="1" si="3"/>
        <v>1347.8734499999998</v>
      </c>
      <c r="M28" s="2747">
        <f t="shared" ca="1" si="3"/>
        <v>1347.8734499999998</v>
      </c>
      <c r="N28" s="2747">
        <f t="shared" ca="1" si="3"/>
        <v>0</v>
      </c>
      <c r="O28" s="2747">
        <f t="shared" ca="1" si="3"/>
        <v>0</v>
      </c>
      <c r="P28" s="2747">
        <f t="shared" ca="1" si="3"/>
        <v>0</v>
      </c>
      <c r="Q28" s="2747">
        <f t="shared" ca="1" si="3"/>
        <v>0</v>
      </c>
      <c r="R28" s="2747">
        <f t="shared" ca="1" si="3"/>
        <v>0</v>
      </c>
      <c r="S28" s="2747">
        <f t="shared" ca="1" si="3"/>
        <v>0</v>
      </c>
    </row>
    <row r="29" spans="1:19" s="561" customFormat="1" ht="13.5" customHeight="1" thickBot="1">
      <c r="B29" s="1072"/>
    </row>
    <row r="30" spans="1:19" s="554" customFormat="1" ht="16.149999999999999" customHeight="1" thickBot="1">
      <c r="A30" s="287"/>
      <c r="B30" s="1072"/>
      <c r="O30" s="1073"/>
      <c r="P30" s="1074"/>
      <c r="Q30" s="1074"/>
      <c r="R30" s="1086" t="str">
        <f>CONCATENATE("Cobros de ventas pendintes para el año ",Q18," (sin ",'Dados Básicos'!$A$28,")")</f>
        <v>Cobros de ventas pendintes para el año 2029 (sin IVA)</v>
      </c>
      <c r="S30" s="1075">
        <f ca="1">SUM(N28:S28)</f>
        <v>0</v>
      </c>
    </row>
    <row r="31" spans="1:19" s="554" customFormat="1" ht="17.25" customHeight="1" thickBot="1">
      <c r="A31" s="287"/>
      <c r="B31" s="1072"/>
      <c r="O31" s="1073"/>
      <c r="P31" s="1074"/>
      <c r="Q31" s="1074"/>
      <c r="R31" s="1087" t="str">
        <f>'Receitas e pagamentos 0'!R31</f>
        <v xml:space="preserve">Impagados produzidos ao longo do ano </v>
      </c>
      <c r="S31" s="1076">
        <f ca="1">-SUM(B27:M27)</f>
        <v>0</v>
      </c>
    </row>
    <row r="32" spans="1:19" s="334" customFormat="1" ht="22.5">
      <c r="A32" s="334" t="str">
        <f>'Receitas e pagamentos 0'!A32</f>
        <v>Compras e Custos variáveis (IVA incl.)</v>
      </c>
      <c r="B32" s="172"/>
      <c r="G32" s="172"/>
      <c r="H32" s="172"/>
    </row>
    <row r="33" spans="1:19" ht="7.5" customHeight="1" thickBot="1">
      <c r="P33" s="561"/>
    </row>
    <row r="34" spans="1:19" ht="15.75" thickBot="1">
      <c r="A34" s="174" t="str">
        <f>'Receitas e pagamentos 0'!A34</f>
        <v>Compras do periodo</v>
      </c>
      <c r="B34" s="2743" t="str">
        <f t="array" ref="B34:M34">meses</f>
        <v>janeiro</v>
      </c>
      <c r="C34" s="2743" t="str">
        <v>fevereiro</v>
      </c>
      <c r="D34" s="2743" t="str">
        <v>março</v>
      </c>
      <c r="E34" s="2743" t="str">
        <v>abril</v>
      </c>
      <c r="F34" s="2743" t="str">
        <v>maio</v>
      </c>
      <c r="G34" s="2743" t="str">
        <v>junho</v>
      </c>
      <c r="H34" s="2743" t="str">
        <v>julho</v>
      </c>
      <c r="I34" s="2743" t="str">
        <v>agosto</v>
      </c>
      <c r="J34" s="2743" t="str">
        <v>setembro</v>
      </c>
      <c r="K34" s="2743" t="str">
        <v>outubro</v>
      </c>
      <c r="L34" s="2743" t="str">
        <v>novembro</v>
      </c>
      <c r="M34" s="2743" t="str">
        <v>dezembro</v>
      </c>
      <c r="N34" s="2744" t="s">
        <v>3</v>
      </c>
      <c r="O34" s="561"/>
    </row>
    <row r="35" spans="1:19" ht="14.25">
      <c r="A35" s="2120" t="str">
        <f t="array" ref="A35:A42">productos</f>
        <v>produto 1</v>
      </c>
      <c r="B35" s="1065">
        <f t="array" aca="1" ref="B35:M42" ca="1">'Distr CV 2'!B46:M53+'Distr CV 2'!B59:M66</f>
        <v>188.70228300000002</v>
      </c>
      <c r="C35" s="1065">
        <f ca="1"/>
        <v>188.70228300000002</v>
      </c>
      <c r="D35" s="1065">
        <f ca="1"/>
        <v>188.70228300000002</v>
      </c>
      <c r="E35" s="1065">
        <f ca="1"/>
        <v>188.70228300000002</v>
      </c>
      <c r="F35" s="1065">
        <f ca="1"/>
        <v>188.70228300000002</v>
      </c>
      <c r="G35" s="1065">
        <f ca="1"/>
        <v>188.70228300000002</v>
      </c>
      <c r="H35" s="1065">
        <f ca="1"/>
        <v>188.70228300000002</v>
      </c>
      <c r="I35" s="1065">
        <f ca="1"/>
        <v>188.70228300000002</v>
      </c>
      <c r="J35" s="1065">
        <f ca="1"/>
        <v>188.70228300000002</v>
      </c>
      <c r="K35" s="1065">
        <f ca="1"/>
        <v>188.70228300000002</v>
      </c>
      <c r="L35" s="1065">
        <f ca="1"/>
        <v>188.70228300000002</v>
      </c>
      <c r="M35" s="1065">
        <f ca="1"/>
        <v>188.70228300000002</v>
      </c>
      <c r="N35" s="2121">
        <f t="shared" ref="N35:N42" ca="1" si="4">SUM(B35:M35)</f>
        <v>2264.4273960000005</v>
      </c>
      <c r="O35" s="561"/>
    </row>
    <row r="36" spans="1:19" ht="14.25">
      <c r="A36" s="2122" t="str">
        <v/>
      </c>
      <c r="B36" s="1065">
        <f ca="1"/>
        <v>0</v>
      </c>
      <c r="C36" s="1065">
        <f ca="1"/>
        <v>0</v>
      </c>
      <c r="D36" s="1065">
        <f ca="1"/>
        <v>0</v>
      </c>
      <c r="E36" s="1065">
        <f ca="1"/>
        <v>0</v>
      </c>
      <c r="F36" s="1065">
        <f ca="1"/>
        <v>0</v>
      </c>
      <c r="G36" s="1065">
        <f ca="1"/>
        <v>0</v>
      </c>
      <c r="H36" s="1065">
        <f ca="1"/>
        <v>0</v>
      </c>
      <c r="I36" s="1065">
        <f ca="1"/>
        <v>0</v>
      </c>
      <c r="J36" s="1065">
        <f ca="1"/>
        <v>0</v>
      </c>
      <c r="K36" s="1065">
        <f ca="1"/>
        <v>0</v>
      </c>
      <c r="L36" s="1065">
        <f ca="1"/>
        <v>0</v>
      </c>
      <c r="M36" s="1065">
        <f ca="1"/>
        <v>0</v>
      </c>
      <c r="N36" s="2121">
        <f t="shared" ca="1" si="4"/>
        <v>0</v>
      </c>
      <c r="O36" s="561"/>
    </row>
    <row r="37" spans="1:19" ht="14.25">
      <c r="A37" s="2122" t="str">
        <v/>
      </c>
      <c r="B37" s="1065">
        <f ca="1"/>
        <v>0</v>
      </c>
      <c r="C37" s="1065">
        <f ca="1"/>
        <v>0</v>
      </c>
      <c r="D37" s="1065">
        <f ca="1"/>
        <v>0</v>
      </c>
      <c r="E37" s="1065">
        <f ca="1"/>
        <v>0</v>
      </c>
      <c r="F37" s="1065">
        <f ca="1"/>
        <v>0</v>
      </c>
      <c r="G37" s="1065">
        <f ca="1"/>
        <v>0</v>
      </c>
      <c r="H37" s="1065">
        <f ca="1"/>
        <v>0</v>
      </c>
      <c r="I37" s="1065">
        <f ca="1"/>
        <v>0</v>
      </c>
      <c r="J37" s="1065">
        <f ca="1"/>
        <v>0</v>
      </c>
      <c r="K37" s="1065">
        <f ca="1"/>
        <v>0</v>
      </c>
      <c r="L37" s="1065">
        <f ca="1"/>
        <v>0</v>
      </c>
      <c r="M37" s="1065">
        <f ca="1"/>
        <v>0</v>
      </c>
      <c r="N37" s="2121">
        <f t="shared" ca="1" si="4"/>
        <v>0</v>
      </c>
      <c r="O37" s="561"/>
    </row>
    <row r="38" spans="1:19" ht="14.25">
      <c r="A38" s="2122" t="str">
        <v/>
      </c>
      <c r="B38" s="1065">
        <f ca="1"/>
        <v>0</v>
      </c>
      <c r="C38" s="1065">
        <f ca="1"/>
        <v>0</v>
      </c>
      <c r="D38" s="1065">
        <f ca="1"/>
        <v>0</v>
      </c>
      <c r="E38" s="1065">
        <f ca="1"/>
        <v>0</v>
      </c>
      <c r="F38" s="1065">
        <f ca="1"/>
        <v>0</v>
      </c>
      <c r="G38" s="1065">
        <f ca="1"/>
        <v>0</v>
      </c>
      <c r="H38" s="1065">
        <f ca="1"/>
        <v>0</v>
      </c>
      <c r="I38" s="1065">
        <f ca="1"/>
        <v>0</v>
      </c>
      <c r="J38" s="1065">
        <f ca="1"/>
        <v>0</v>
      </c>
      <c r="K38" s="1065">
        <f ca="1"/>
        <v>0</v>
      </c>
      <c r="L38" s="1065">
        <f ca="1"/>
        <v>0</v>
      </c>
      <c r="M38" s="1065">
        <f ca="1"/>
        <v>0</v>
      </c>
      <c r="N38" s="2121">
        <f t="shared" ca="1" si="4"/>
        <v>0</v>
      </c>
      <c r="O38" s="561"/>
    </row>
    <row r="39" spans="1:19" ht="14.25">
      <c r="A39" s="2122" t="str">
        <v/>
      </c>
      <c r="B39" s="1065">
        <f ca="1"/>
        <v>0</v>
      </c>
      <c r="C39" s="1065">
        <f ca="1"/>
        <v>0</v>
      </c>
      <c r="D39" s="1065">
        <f ca="1"/>
        <v>0</v>
      </c>
      <c r="E39" s="1065">
        <f ca="1"/>
        <v>0</v>
      </c>
      <c r="F39" s="1065">
        <f ca="1"/>
        <v>0</v>
      </c>
      <c r="G39" s="1065">
        <f ca="1"/>
        <v>0</v>
      </c>
      <c r="H39" s="1065">
        <f ca="1"/>
        <v>0</v>
      </c>
      <c r="I39" s="1065">
        <f ca="1"/>
        <v>0</v>
      </c>
      <c r="J39" s="1065">
        <f ca="1"/>
        <v>0</v>
      </c>
      <c r="K39" s="1065">
        <f ca="1"/>
        <v>0</v>
      </c>
      <c r="L39" s="1065">
        <f ca="1"/>
        <v>0</v>
      </c>
      <c r="M39" s="1065">
        <f ca="1"/>
        <v>0</v>
      </c>
      <c r="N39" s="2121">
        <f t="shared" ca="1" si="4"/>
        <v>0</v>
      </c>
      <c r="O39" s="561"/>
    </row>
    <row r="40" spans="1:19" ht="14.25">
      <c r="A40" s="2122" t="str">
        <v/>
      </c>
      <c r="B40" s="1065">
        <f ca="1"/>
        <v>0</v>
      </c>
      <c r="C40" s="1065">
        <f ca="1"/>
        <v>0</v>
      </c>
      <c r="D40" s="1065">
        <f ca="1"/>
        <v>0</v>
      </c>
      <c r="E40" s="1065">
        <f ca="1"/>
        <v>0</v>
      </c>
      <c r="F40" s="1065">
        <f ca="1"/>
        <v>0</v>
      </c>
      <c r="G40" s="1065">
        <f ca="1"/>
        <v>0</v>
      </c>
      <c r="H40" s="1065">
        <f ca="1"/>
        <v>0</v>
      </c>
      <c r="I40" s="1065">
        <f ca="1"/>
        <v>0</v>
      </c>
      <c r="J40" s="1065">
        <f ca="1"/>
        <v>0</v>
      </c>
      <c r="K40" s="1065">
        <f ca="1"/>
        <v>0</v>
      </c>
      <c r="L40" s="1065">
        <f ca="1"/>
        <v>0</v>
      </c>
      <c r="M40" s="1065">
        <f ca="1"/>
        <v>0</v>
      </c>
      <c r="N40" s="2121">
        <f t="shared" ca="1" si="4"/>
        <v>0</v>
      </c>
      <c r="O40" s="561"/>
    </row>
    <row r="41" spans="1:19" ht="14.25">
      <c r="A41" s="2122" t="str">
        <v/>
      </c>
      <c r="B41" s="1065">
        <f ca="1"/>
        <v>0</v>
      </c>
      <c r="C41" s="1065">
        <f ca="1"/>
        <v>0</v>
      </c>
      <c r="D41" s="1065">
        <f ca="1"/>
        <v>0</v>
      </c>
      <c r="E41" s="1065">
        <f ca="1"/>
        <v>0</v>
      </c>
      <c r="F41" s="1065">
        <f ca="1"/>
        <v>0</v>
      </c>
      <c r="G41" s="1065">
        <f ca="1"/>
        <v>0</v>
      </c>
      <c r="H41" s="1065">
        <f ca="1"/>
        <v>0</v>
      </c>
      <c r="I41" s="1065">
        <f ca="1"/>
        <v>0</v>
      </c>
      <c r="J41" s="1065">
        <f ca="1"/>
        <v>0</v>
      </c>
      <c r="K41" s="1065">
        <f ca="1"/>
        <v>0</v>
      </c>
      <c r="L41" s="1065">
        <f ca="1"/>
        <v>0</v>
      </c>
      <c r="M41" s="1065">
        <f ca="1"/>
        <v>0</v>
      </c>
      <c r="N41" s="2121">
        <f t="shared" ca="1" si="4"/>
        <v>0</v>
      </c>
      <c r="O41" s="561"/>
    </row>
    <row r="42" spans="1:19" ht="15" thickBot="1">
      <c r="A42" s="2123" t="str">
        <v/>
      </c>
      <c r="B42" s="1066">
        <f ca="1"/>
        <v>0</v>
      </c>
      <c r="C42" s="1066">
        <f ca="1"/>
        <v>0</v>
      </c>
      <c r="D42" s="1066">
        <f ca="1"/>
        <v>0</v>
      </c>
      <c r="E42" s="1066">
        <f ca="1"/>
        <v>0</v>
      </c>
      <c r="F42" s="1066">
        <f ca="1"/>
        <v>0</v>
      </c>
      <c r="G42" s="1066">
        <f ca="1"/>
        <v>0</v>
      </c>
      <c r="H42" s="1066">
        <f ca="1"/>
        <v>0</v>
      </c>
      <c r="I42" s="1066">
        <f ca="1"/>
        <v>0</v>
      </c>
      <c r="J42" s="1066">
        <f ca="1"/>
        <v>0</v>
      </c>
      <c r="K42" s="1066">
        <f ca="1"/>
        <v>0</v>
      </c>
      <c r="L42" s="1066">
        <f ca="1"/>
        <v>0</v>
      </c>
      <c r="M42" s="1066">
        <f ca="1"/>
        <v>0</v>
      </c>
      <c r="N42" s="2121">
        <f t="shared" ca="1" si="4"/>
        <v>0</v>
      </c>
      <c r="O42" s="561"/>
    </row>
    <row r="43" spans="1:19" ht="15.75" thickBot="1">
      <c r="A43" s="174" t="s">
        <v>3</v>
      </c>
      <c r="B43" s="2748">
        <f t="shared" ref="B43:N43" ca="1" si="5">SUM(B35:B42)</f>
        <v>188.70228300000002</v>
      </c>
      <c r="C43" s="2748">
        <f t="shared" ca="1" si="5"/>
        <v>188.70228300000002</v>
      </c>
      <c r="D43" s="2748">
        <f t="shared" ca="1" si="5"/>
        <v>188.70228300000002</v>
      </c>
      <c r="E43" s="2748">
        <f t="shared" ca="1" si="5"/>
        <v>188.70228300000002</v>
      </c>
      <c r="F43" s="2748">
        <f t="shared" ca="1" si="5"/>
        <v>188.70228300000002</v>
      </c>
      <c r="G43" s="2748">
        <f t="shared" ca="1" si="5"/>
        <v>188.70228300000002</v>
      </c>
      <c r="H43" s="2748">
        <f t="shared" ca="1" si="5"/>
        <v>188.70228300000002</v>
      </c>
      <c r="I43" s="2748">
        <f t="shared" ca="1" si="5"/>
        <v>188.70228300000002</v>
      </c>
      <c r="J43" s="2748">
        <f t="shared" ca="1" si="5"/>
        <v>188.70228300000002</v>
      </c>
      <c r="K43" s="2748">
        <f t="shared" ca="1" si="5"/>
        <v>188.70228300000002</v>
      </c>
      <c r="L43" s="2748">
        <f t="shared" ca="1" si="5"/>
        <v>188.70228300000002</v>
      </c>
      <c r="M43" s="2748">
        <f t="shared" ca="1" si="5"/>
        <v>188.70228300000002</v>
      </c>
      <c r="N43" s="2748">
        <f t="shared" ca="1" si="5"/>
        <v>2264.4273960000005</v>
      </c>
      <c r="O43" s="561"/>
    </row>
    <row r="44" spans="1:19">
      <c r="C44" s="561"/>
      <c r="D44" s="561"/>
      <c r="E44" s="561"/>
      <c r="F44" s="561"/>
      <c r="G44" s="561"/>
      <c r="H44" s="561"/>
      <c r="I44" s="561"/>
      <c r="J44" s="561"/>
      <c r="K44" s="561"/>
      <c r="L44" s="561"/>
      <c r="M44" s="561"/>
      <c r="N44" s="561"/>
      <c r="O44" s="561"/>
      <c r="P44" s="561"/>
    </row>
    <row r="45" spans="1:19" s="334" customFormat="1" ht="22.5">
      <c r="A45" s="334" t="str">
        <f>'Receitas e pagamentos 0'!A45</f>
        <v>Pagamentos de compras e gastos variáveis (IVA incl.)</v>
      </c>
      <c r="B45" s="172"/>
      <c r="G45" s="172"/>
      <c r="H45" s="172"/>
    </row>
    <row r="46" spans="1:19" ht="15" thickBot="1">
      <c r="A46" s="561"/>
      <c r="B46" s="1064"/>
      <c r="C46" s="561"/>
      <c r="D46" s="561"/>
      <c r="E46" s="561"/>
      <c r="F46" s="561"/>
      <c r="G46" s="561"/>
      <c r="H46" s="561"/>
      <c r="I46" s="561"/>
      <c r="J46" s="561"/>
      <c r="K46" s="561"/>
      <c r="L46" s="561"/>
      <c r="M46" s="561"/>
      <c r="N46" s="561"/>
      <c r="O46" s="561"/>
      <c r="P46" s="1067" t="str">
        <f>P18</f>
        <v>Pendente para o ano seguinte:</v>
      </c>
      <c r="Q46" s="1068" t="str">
        <f>Q18</f>
        <v>2029</v>
      </c>
    </row>
    <row r="47" spans="1:19" ht="27.75" customHeight="1" thickBot="1">
      <c r="A47" s="174" t="str">
        <f t="array" ref="A47:A54">'Receitas e pagamentos 0'!A47:A54</f>
        <v>Plazos de pago</v>
      </c>
      <c r="B47" s="2118" t="str">
        <f t="array" ref="B47:S47">B$19:S$19</f>
        <v>janeiro 
2028</v>
      </c>
      <c r="C47" s="2118" t="str">
        <v>fevereiro 
2028</v>
      </c>
      <c r="D47" s="2118" t="str">
        <v>março 
2028</v>
      </c>
      <c r="E47" s="2118" t="str">
        <v>abril 
2028</v>
      </c>
      <c r="F47" s="2118" t="str">
        <v>maio 
2028</v>
      </c>
      <c r="G47" s="2118" t="str">
        <v>junho 
2028</v>
      </c>
      <c r="H47" s="2118" t="str">
        <v>julho 
2028</v>
      </c>
      <c r="I47" s="2118" t="str">
        <v>agosto 
2028</v>
      </c>
      <c r="J47" s="2118" t="str">
        <v>setembro 
2028</v>
      </c>
      <c r="K47" s="2118" t="str">
        <v>outubro 
2028</v>
      </c>
      <c r="L47" s="2118" t="str">
        <v>novembro 
2028</v>
      </c>
      <c r="M47" s="2118" t="str">
        <v>dezembro 
2028</v>
      </c>
      <c r="N47" s="2118" t="str">
        <v>janeiro 
2029</v>
      </c>
      <c r="O47" s="2118" t="str">
        <v>fevereiro 
2029</v>
      </c>
      <c r="P47" s="2118" t="str">
        <v>março 
2029</v>
      </c>
      <c r="Q47" s="2118" t="str">
        <v>abril 
2029</v>
      </c>
      <c r="R47" s="2118" t="str">
        <v>maio 
2029</v>
      </c>
      <c r="S47" s="2118" t="str">
        <v>junho 
2029</v>
      </c>
    </row>
    <row r="48" spans="1:19" ht="14.25">
      <c r="A48" s="2119" t="str">
        <v>Contado</v>
      </c>
      <c r="B48" s="1065">
        <f t="array" aca="1" ref="B48" ca="1">SUM('Pol. Cobranças e Pagamentos'!$B$88:$B$95*B$35:B$42)</f>
        <v>188.70228300000002</v>
      </c>
      <c r="C48" s="1065">
        <f t="array" aca="1" ref="C48" ca="1">SUM('Pol. Cobranças e Pagamentos'!$B$88:$B$95*C$35:C$42)</f>
        <v>188.70228300000002</v>
      </c>
      <c r="D48" s="1065">
        <f t="array" aca="1" ref="D48" ca="1">SUM('Pol. Cobranças e Pagamentos'!$B$88:$B$95*D$35:D$42)</f>
        <v>188.70228300000002</v>
      </c>
      <c r="E48" s="1065">
        <f t="array" aca="1" ref="E48" ca="1">SUM('Pol. Cobranças e Pagamentos'!$B$88:$B$95*E$35:E$42)</f>
        <v>188.70228300000002</v>
      </c>
      <c r="F48" s="1065">
        <f t="array" aca="1" ref="F48" ca="1">SUM('Pol. Cobranças e Pagamentos'!$B$88:$B$95*F$35:F$42)</f>
        <v>188.70228300000002</v>
      </c>
      <c r="G48" s="1065">
        <f t="array" aca="1" ref="G48" ca="1">SUM('Pol. Cobranças e Pagamentos'!$B$88:$B$95*G$35:G$42)</f>
        <v>188.70228300000002</v>
      </c>
      <c r="H48" s="1065">
        <f t="array" aca="1" ref="H48" ca="1">SUM('Pol. Cobranças e Pagamentos'!$B$88:$B$95*H$35:H$42)</f>
        <v>188.70228300000002</v>
      </c>
      <c r="I48" s="1065">
        <f t="array" aca="1" ref="I48" ca="1">SUM('Pol. Cobranças e Pagamentos'!$B$88:$B$95*I$35:I$42)</f>
        <v>188.70228300000002</v>
      </c>
      <c r="J48" s="1065">
        <f t="array" aca="1" ref="J48" ca="1">SUM('Pol. Cobranças e Pagamentos'!$B$88:$B$95*J$35:J$42)</f>
        <v>188.70228300000002</v>
      </c>
      <c r="K48" s="1065">
        <f t="array" aca="1" ref="K48" ca="1">SUM('Pol. Cobranças e Pagamentos'!$B$88:$B$95*K$35:K$42)</f>
        <v>188.70228300000002</v>
      </c>
      <c r="L48" s="1065">
        <f t="array" aca="1" ref="L48" ca="1">SUM('Pol. Cobranças e Pagamentos'!$B$88:$B$95*L$35:L$42)</f>
        <v>188.70228300000002</v>
      </c>
      <c r="M48" s="1065">
        <f t="array" aca="1" ref="M48" ca="1">SUM('Pol. Cobranças e Pagamentos'!$B$88:$B$95*M$35:M$42)</f>
        <v>188.70228300000002</v>
      </c>
      <c r="N48" s="1065"/>
      <c r="O48" s="1065"/>
      <c r="P48" s="1065"/>
      <c r="Q48" s="1065"/>
      <c r="R48" s="1065"/>
      <c r="S48" s="1065"/>
    </row>
    <row r="49" spans="1:19" ht="14.25">
      <c r="A49" s="2846">
        <v>30</v>
      </c>
      <c r="B49" s="1077">
        <f t="array" aca="1" ref="B49:B54" ca="1">'Receitas e pagamentos 1'!N49:N54</f>
        <v>0</v>
      </c>
      <c r="C49" s="1065">
        <f t="array" aca="1" ref="C49" ca="1">SUM('Pol. Cobranças e Pagamentos'!$C$88:$C$95*B$35:B$42)</f>
        <v>0</v>
      </c>
      <c r="D49" s="1065">
        <f t="array" aca="1" ref="D49" ca="1">SUM('Pol. Cobranças e Pagamentos'!$C$88:$C$95*C$35:C$42)</f>
        <v>0</v>
      </c>
      <c r="E49" s="1065">
        <f t="array" aca="1" ref="E49" ca="1">SUM('Pol. Cobranças e Pagamentos'!$C$88:$C$95*D$35:D$42)</f>
        <v>0</v>
      </c>
      <c r="F49" s="1065">
        <f t="array" aca="1" ref="F49" ca="1">SUM('Pol. Cobranças e Pagamentos'!$C$88:$C$95*E$35:E$42)</f>
        <v>0</v>
      </c>
      <c r="G49" s="1065">
        <f t="array" aca="1" ref="G49" ca="1">SUM('Pol. Cobranças e Pagamentos'!$C$88:$C$95*F$35:F$42)</f>
        <v>0</v>
      </c>
      <c r="H49" s="1065">
        <f t="array" aca="1" ref="H49" ca="1">SUM('Pol. Cobranças e Pagamentos'!$C$88:$C$95*G$35:G$42)</f>
        <v>0</v>
      </c>
      <c r="I49" s="1065">
        <f t="array" aca="1" ref="I49" ca="1">SUM('Pol. Cobranças e Pagamentos'!$C$88:$C$95*H$35:H$42)</f>
        <v>0</v>
      </c>
      <c r="J49" s="1065">
        <f t="array" aca="1" ref="J49" ca="1">SUM('Pol. Cobranças e Pagamentos'!$C$88:$C$95*I$35:I$42)</f>
        <v>0</v>
      </c>
      <c r="K49" s="1065">
        <f t="array" aca="1" ref="K49" ca="1">SUM('Pol. Cobranças e Pagamentos'!$C$88:$C$95*J$35:J$42)</f>
        <v>0</v>
      </c>
      <c r="L49" s="1065">
        <f t="array" aca="1" ref="L49" ca="1">SUM('Pol. Cobranças e Pagamentos'!$C$88:$C$95*K$35:K$42)</f>
        <v>0</v>
      </c>
      <c r="M49" s="1065">
        <f t="array" aca="1" ref="M49" ca="1">SUM('Pol. Cobranças e Pagamentos'!$C$88:$C$95*L$35:L$42)</f>
        <v>0</v>
      </c>
      <c r="N49" s="1065">
        <f t="array" aca="1" ref="N49" ca="1">SUM('Pol. Cobranças e Pagamentos'!$C$88:$C$95*M$35:M$42)</f>
        <v>0</v>
      </c>
      <c r="O49" s="1065"/>
      <c r="P49" s="1065"/>
      <c r="Q49" s="1065"/>
      <c r="R49" s="1065"/>
      <c r="S49" s="1065"/>
    </row>
    <row r="50" spans="1:19" ht="14.25">
      <c r="A50" s="2846">
        <v>60</v>
      </c>
      <c r="B50" s="1077">
        <f ca="1"/>
        <v>0</v>
      </c>
      <c r="C50" s="1077">
        <f t="array" aca="1" ref="C50:C54" ca="1">'Receitas e pagamentos 1'!O50:O54</f>
        <v>0</v>
      </c>
      <c r="D50" s="1065">
        <f t="array" aca="1" ref="D50" ca="1">SUM('Pol. Cobranças e Pagamentos'!$D$88:$D$95*B$35:B$42)</f>
        <v>0</v>
      </c>
      <c r="E50" s="1065">
        <f t="array" aca="1" ref="E50" ca="1">SUM('Pol. Cobranças e Pagamentos'!$D$88:$D$95*C$35:C$42)</f>
        <v>0</v>
      </c>
      <c r="F50" s="1065">
        <f t="array" aca="1" ref="F50" ca="1">SUM('Pol. Cobranças e Pagamentos'!$D$88:$D$95*D$35:D$42)</f>
        <v>0</v>
      </c>
      <c r="G50" s="1065">
        <f t="array" aca="1" ref="G50" ca="1">SUM('Pol. Cobranças e Pagamentos'!$D$88:$D$95*E$35:E$42)</f>
        <v>0</v>
      </c>
      <c r="H50" s="1065">
        <f t="array" aca="1" ref="H50" ca="1">SUM('Pol. Cobranças e Pagamentos'!$D$88:$D$95*F$35:F$42)</f>
        <v>0</v>
      </c>
      <c r="I50" s="1065">
        <f t="array" aca="1" ref="I50" ca="1">SUM('Pol. Cobranças e Pagamentos'!$D$88:$D$95*G$35:G$42)</f>
        <v>0</v>
      </c>
      <c r="J50" s="1065">
        <f t="array" aca="1" ref="J50" ca="1">SUM('Pol. Cobranças e Pagamentos'!$D$88:$D$95*H$35:H$42)</f>
        <v>0</v>
      </c>
      <c r="K50" s="1065">
        <f t="array" aca="1" ref="K50" ca="1">SUM('Pol. Cobranças e Pagamentos'!$D$88:$D$95*I$35:I$42)</f>
        <v>0</v>
      </c>
      <c r="L50" s="1065">
        <f t="array" aca="1" ref="L50" ca="1">SUM('Pol. Cobranças e Pagamentos'!$D$88:$D$95*J$35:J$42)</f>
        <v>0</v>
      </c>
      <c r="M50" s="1065">
        <f t="array" aca="1" ref="M50" ca="1">SUM('Pol. Cobranças e Pagamentos'!$D$88:$D$95*K$35:K$42)</f>
        <v>0</v>
      </c>
      <c r="N50" s="1065">
        <f t="array" aca="1" ref="N50" ca="1">SUM('Pol. Cobranças e Pagamentos'!$D$88:$D$95*L$35:L$42)</f>
        <v>0</v>
      </c>
      <c r="O50" s="1065">
        <f t="array" aca="1" ref="O50" ca="1">SUM('Pol. Cobranças e Pagamentos'!$D$88:$D$95*M$35:M$42)</f>
        <v>0</v>
      </c>
      <c r="P50" s="1065"/>
      <c r="Q50" s="1065"/>
      <c r="R50" s="1065"/>
      <c r="S50" s="1065"/>
    </row>
    <row r="51" spans="1:19" ht="14.25">
      <c r="A51" s="2846">
        <v>90</v>
      </c>
      <c r="B51" s="1077">
        <f ca="1"/>
        <v>0</v>
      </c>
      <c r="C51" s="1077">
        <f ca="1"/>
        <v>0</v>
      </c>
      <c r="D51" s="1077">
        <f t="array" aca="1" ref="D51:D54" ca="1">'Receitas e pagamentos 1'!P51:P54</f>
        <v>0</v>
      </c>
      <c r="E51" s="1065">
        <f t="array" aca="1" ref="E51" ca="1">SUM('Pol. Cobranças e Pagamentos'!$E$88:$E$95*B$35:B$42)</f>
        <v>0</v>
      </c>
      <c r="F51" s="1065">
        <f t="array" aca="1" ref="F51" ca="1">SUM('Pol. Cobranças e Pagamentos'!$E$88:$E$95*C$35:C$42)</f>
        <v>0</v>
      </c>
      <c r="G51" s="1065">
        <f t="array" aca="1" ref="G51" ca="1">SUM('Pol. Cobranças e Pagamentos'!$E$88:$E$95*D$35:D$42)</f>
        <v>0</v>
      </c>
      <c r="H51" s="1065">
        <f t="array" aca="1" ref="H51" ca="1">SUM('Pol. Cobranças e Pagamentos'!$E$88:$E$95*E$35:E$42)</f>
        <v>0</v>
      </c>
      <c r="I51" s="1065">
        <f t="array" aca="1" ref="I51" ca="1">SUM('Pol. Cobranças e Pagamentos'!$E$88:$E$95*F$35:F$42)</f>
        <v>0</v>
      </c>
      <c r="J51" s="1065">
        <f t="array" aca="1" ref="J51" ca="1">SUM('Pol. Cobranças e Pagamentos'!$E$88:$E$95*G$35:G$42)</f>
        <v>0</v>
      </c>
      <c r="K51" s="1065">
        <f t="array" aca="1" ref="K51" ca="1">SUM('Pol. Cobranças e Pagamentos'!$E$88:$E$95*H$35:H$42)</f>
        <v>0</v>
      </c>
      <c r="L51" s="1065">
        <f t="array" aca="1" ref="L51" ca="1">SUM('Pol. Cobranças e Pagamentos'!$E$88:$E$95*I$35:I$42)</f>
        <v>0</v>
      </c>
      <c r="M51" s="1065">
        <f t="array" aca="1" ref="M51" ca="1">SUM('Pol. Cobranças e Pagamentos'!$E$88:$E$95*J$35:J$42)</f>
        <v>0</v>
      </c>
      <c r="N51" s="1065">
        <f t="array" aca="1" ref="N51" ca="1">SUM('Pol. Cobranças e Pagamentos'!$E$88:$E$95*K$35:K$42)</f>
        <v>0</v>
      </c>
      <c r="O51" s="1065">
        <f t="array" aca="1" ref="O51" ca="1">SUM('Pol. Cobranças e Pagamentos'!$E$88:$E$95*L$35:L$42)</f>
        <v>0</v>
      </c>
      <c r="P51" s="1065">
        <f t="array" aca="1" ref="P51" ca="1">SUM('Pol. Cobranças e Pagamentos'!$E$88:$E$95*M$35:M$42)</f>
        <v>0</v>
      </c>
      <c r="Q51" s="1065"/>
      <c r="R51" s="1065"/>
      <c r="S51" s="1065"/>
    </row>
    <row r="52" spans="1:19" ht="14.25">
      <c r="A52" s="2846">
        <v>120</v>
      </c>
      <c r="B52" s="1077">
        <f ca="1"/>
        <v>0</v>
      </c>
      <c r="C52" s="1077">
        <f ca="1"/>
        <v>0</v>
      </c>
      <c r="D52" s="1077">
        <f ca="1"/>
        <v>0</v>
      </c>
      <c r="E52" s="1077">
        <f t="array" aca="1" ref="E52:E54" ca="1">'Receitas e pagamentos 1'!Q52:Q54</f>
        <v>0</v>
      </c>
      <c r="F52" s="1065">
        <f t="array" aca="1" ref="F52" ca="1">SUM('Pol. Cobranças e Pagamentos'!$F$88:$F$95*B$35:B$42)</f>
        <v>0</v>
      </c>
      <c r="G52" s="1065">
        <f t="array" aca="1" ref="G52" ca="1">SUM('Pol. Cobranças e Pagamentos'!$F$88:$F$95*C$35:C$42)</f>
        <v>0</v>
      </c>
      <c r="H52" s="1065">
        <f t="array" aca="1" ref="H52" ca="1">SUM('Pol. Cobranças e Pagamentos'!$F$88:$F$95*D$35:D$42)</f>
        <v>0</v>
      </c>
      <c r="I52" s="1065">
        <f t="array" aca="1" ref="I52" ca="1">SUM('Pol. Cobranças e Pagamentos'!$F$88:$F$95*E$35:E$42)</f>
        <v>0</v>
      </c>
      <c r="J52" s="1065">
        <f t="array" aca="1" ref="J52" ca="1">SUM('Pol. Cobranças e Pagamentos'!$F$88:$F$95*F$35:F$42)</f>
        <v>0</v>
      </c>
      <c r="K52" s="1065">
        <f t="array" aca="1" ref="K52" ca="1">SUM('Pol. Cobranças e Pagamentos'!$F$88:$F$95*G$35:G$42)</f>
        <v>0</v>
      </c>
      <c r="L52" s="1065">
        <f t="array" aca="1" ref="L52" ca="1">SUM('Pol. Cobranças e Pagamentos'!$F$88:$F$95*H$35:H$42)</f>
        <v>0</v>
      </c>
      <c r="M52" s="1065">
        <f t="array" aca="1" ref="M52" ca="1">SUM('Pol. Cobranças e Pagamentos'!$F$88:$F$95*I$35:I$42)</f>
        <v>0</v>
      </c>
      <c r="N52" s="1065">
        <f t="array" aca="1" ref="N52" ca="1">SUM('Pol. Cobranças e Pagamentos'!$F$88:$F$95*J$35:J$42)</f>
        <v>0</v>
      </c>
      <c r="O52" s="1065">
        <f t="array" aca="1" ref="O52" ca="1">SUM('Pol. Cobranças e Pagamentos'!$F$88:$F$95*K$35:K$42)</f>
        <v>0</v>
      </c>
      <c r="P52" s="1065">
        <f t="array" aca="1" ref="P52" ca="1">SUM('Pol. Cobranças e Pagamentos'!$F$88:$F$95*L$35:L$42)</f>
        <v>0</v>
      </c>
      <c r="Q52" s="1065">
        <f t="array" aca="1" ref="Q52" ca="1">SUM('Pol. Cobranças e Pagamentos'!$F$88:$F$95*M$35:M$42)</f>
        <v>0</v>
      </c>
      <c r="R52" s="1065"/>
      <c r="S52" s="1065"/>
    </row>
    <row r="53" spans="1:19" ht="14.25">
      <c r="A53" s="2846">
        <v>150</v>
      </c>
      <c r="B53" s="1077">
        <f ca="1"/>
        <v>0</v>
      </c>
      <c r="C53" s="1077">
        <f ca="1"/>
        <v>0</v>
      </c>
      <c r="D53" s="1077">
        <f ca="1"/>
        <v>0</v>
      </c>
      <c r="E53" s="1077">
        <f ca="1"/>
        <v>0</v>
      </c>
      <c r="F53" s="1077">
        <f t="array" aca="1" ref="F53:F54" ca="1">'Receitas e pagamentos 1'!R53:R54</f>
        <v>0</v>
      </c>
      <c r="G53" s="1065">
        <f t="array" aca="1" ref="G53" ca="1">SUM('Pol. Cobranças e Pagamentos'!$G$88:$G$95*B$35:B$42)</f>
        <v>0</v>
      </c>
      <c r="H53" s="1065">
        <f t="array" aca="1" ref="H53" ca="1">SUM('Pol. Cobranças e Pagamentos'!$G$88:$G$95*C$35:C$42)</f>
        <v>0</v>
      </c>
      <c r="I53" s="1065">
        <f t="array" aca="1" ref="I53" ca="1">SUM('Pol. Cobranças e Pagamentos'!$G$88:$G$95*D$35:D$42)</f>
        <v>0</v>
      </c>
      <c r="J53" s="1065">
        <f t="array" aca="1" ref="J53" ca="1">SUM('Pol. Cobranças e Pagamentos'!$G$88:$G$95*E$35:E$42)</f>
        <v>0</v>
      </c>
      <c r="K53" s="1065">
        <f t="array" aca="1" ref="K53" ca="1">SUM('Pol. Cobranças e Pagamentos'!$G$88:$G$95*F$35:F$42)</f>
        <v>0</v>
      </c>
      <c r="L53" s="1065">
        <f t="array" aca="1" ref="L53" ca="1">SUM('Pol. Cobranças e Pagamentos'!$G$88:$G$95*G$35:G$42)</f>
        <v>0</v>
      </c>
      <c r="M53" s="1065">
        <f t="array" aca="1" ref="M53" ca="1">SUM('Pol. Cobranças e Pagamentos'!$G$88:$G$95*H$35:H$42)</f>
        <v>0</v>
      </c>
      <c r="N53" s="1065">
        <f t="array" aca="1" ref="N53" ca="1">SUM('Pol. Cobranças e Pagamentos'!$G$88:$G$95*I$35:I$42)</f>
        <v>0</v>
      </c>
      <c r="O53" s="1065">
        <f t="array" aca="1" ref="O53" ca="1">SUM('Pol. Cobranças e Pagamentos'!$G$88:$G$95*J$35:J$42)</f>
        <v>0</v>
      </c>
      <c r="P53" s="1065">
        <f t="array" aca="1" ref="P53" ca="1">SUM('Pol. Cobranças e Pagamentos'!$G$88:$G$95*K$35:K$42)</f>
        <v>0</v>
      </c>
      <c r="Q53" s="1065">
        <f t="array" aca="1" ref="Q53" ca="1">SUM('Pol. Cobranças e Pagamentos'!$G$88:$G$95*L$35:L$42)</f>
        <v>0</v>
      </c>
      <c r="R53" s="1065">
        <f t="array" aca="1" ref="R53" ca="1">SUM('Pol. Cobranças e Pagamentos'!$G$88:$G$95*M$35:M$42)</f>
        <v>0</v>
      </c>
      <c r="S53" s="1065"/>
    </row>
    <row r="54" spans="1:19" ht="14.25">
      <c r="A54" s="2846">
        <v>180</v>
      </c>
      <c r="B54" s="1077">
        <f ca="1"/>
        <v>0</v>
      </c>
      <c r="C54" s="1077">
        <f ca="1"/>
        <v>0</v>
      </c>
      <c r="D54" s="1077">
        <f ca="1"/>
        <v>0</v>
      </c>
      <c r="E54" s="1077">
        <f ca="1"/>
        <v>0</v>
      </c>
      <c r="F54" s="1077">
        <f ca="1"/>
        <v>0</v>
      </c>
      <c r="G54" s="1077">
        <f ca="1">'Receitas e pagamentos 1'!S54</f>
        <v>0</v>
      </c>
      <c r="H54" s="1065">
        <f t="array" aca="1" ref="H54" ca="1">SUM('Pol. Cobranças e Pagamentos'!$H$88:$H$95*B$35:B$42)</f>
        <v>0</v>
      </c>
      <c r="I54" s="1065">
        <f t="array" aca="1" ref="I54" ca="1">SUM('Pol. Cobranças e Pagamentos'!$H$88:$H$95*C$35:C$42)</f>
        <v>0</v>
      </c>
      <c r="J54" s="1065">
        <f t="array" aca="1" ref="J54" ca="1">SUM('Pol. Cobranças e Pagamentos'!$H$88:$H$95*D$35:D$42)</f>
        <v>0</v>
      </c>
      <c r="K54" s="1065">
        <f t="array" aca="1" ref="K54" ca="1">SUM('Pol. Cobranças e Pagamentos'!$H$88:$H$95*E$35:E$42)</f>
        <v>0</v>
      </c>
      <c r="L54" s="1065">
        <f t="array" aca="1" ref="L54" ca="1">SUM('Pol. Cobranças e Pagamentos'!$H$88:$H$95*F$35:F$42)</f>
        <v>0</v>
      </c>
      <c r="M54" s="1065">
        <f t="array" aca="1" ref="M54" ca="1">SUM('Pol. Cobranças e Pagamentos'!$H$88:$H$95*G$35:G$42)</f>
        <v>0</v>
      </c>
      <c r="N54" s="1065">
        <f t="array" aca="1" ref="N54" ca="1">SUM('Pol. Cobranças e Pagamentos'!$H$88:$H$95*H$35:H$42)</f>
        <v>0</v>
      </c>
      <c r="O54" s="1065">
        <f t="array" aca="1" ref="O54" ca="1">SUM('Pol. Cobranças e Pagamentos'!$H$88:$H$95*I$35:I$42)</f>
        <v>0</v>
      </c>
      <c r="P54" s="1065">
        <f t="array" aca="1" ref="P54" ca="1">SUM('Pol. Cobranças e Pagamentos'!$H$88:$H$95*J$35:J$42)</f>
        <v>0</v>
      </c>
      <c r="Q54" s="1065">
        <f t="array" aca="1" ref="Q54" ca="1">SUM('Pol. Cobranças e Pagamentos'!$H$88:$H$95*K$35:K$42)</f>
        <v>0</v>
      </c>
      <c r="R54" s="1065">
        <f t="array" aca="1" ref="R54" ca="1">SUM('Pol. Cobranças e Pagamentos'!$H$88:$H$95*L$35:L$42)</f>
        <v>0</v>
      </c>
      <c r="S54" s="1065">
        <f t="array" aca="1" ref="S54" ca="1">SUM('Pol. Cobranças e Pagamentos'!$H$88:$H$95*M$35:M$42)</f>
        <v>0</v>
      </c>
    </row>
    <row r="55" spans="1:19" ht="15" thickBot="1">
      <c r="A55" s="2749" t="s">
        <v>3</v>
      </c>
      <c r="B55" s="2750">
        <f t="shared" ref="B55:S55" ca="1" si="6">SUM(B48:B54)</f>
        <v>188.70228300000002</v>
      </c>
      <c r="C55" s="2750">
        <f t="shared" ca="1" si="6"/>
        <v>188.70228300000002</v>
      </c>
      <c r="D55" s="2750">
        <f t="shared" ca="1" si="6"/>
        <v>188.70228300000002</v>
      </c>
      <c r="E55" s="2750">
        <f t="shared" ca="1" si="6"/>
        <v>188.70228300000002</v>
      </c>
      <c r="F55" s="2750">
        <f t="shared" ca="1" si="6"/>
        <v>188.70228300000002</v>
      </c>
      <c r="G55" s="2750">
        <f t="shared" ca="1" si="6"/>
        <v>188.70228300000002</v>
      </c>
      <c r="H55" s="2750">
        <f t="shared" ca="1" si="6"/>
        <v>188.70228300000002</v>
      </c>
      <c r="I55" s="2750">
        <f t="shared" ca="1" si="6"/>
        <v>188.70228300000002</v>
      </c>
      <c r="J55" s="2750">
        <f t="shared" ca="1" si="6"/>
        <v>188.70228300000002</v>
      </c>
      <c r="K55" s="2750">
        <f t="shared" ca="1" si="6"/>
        <v>188.70228300000002</v>
      </c>
      <c r="L55" s="2750">
        <f t="shared" ca="1" si="6"/>
        <v>188.70228300000002</v>
      </c>
      <c r="M55" s="2750">
        <f t="shared" ca="1" si="6"/>
        <v>188.70228300000002</v>
      </c>
      <c r="N55" s="2750">
        <f t="shared" ca="1" si="6"/>
        <v>0</v>
      </c>
      <c r="O55" s="2750">
        <f t="shared" ca="1" si="6"/>
        <v>0</v>
      </c>
      <c r="P55" s="2750">
        <f t="shared" ca="1" si="6"/>
        <v>0</v>
      </c>
      <c r="Q55" s="2750">
        <f t="shared" ca="1" si="6"/>
        <v>0</v>
      </c>
      <c r="R55" s="2750">
        <f t="shared" ca="1" si="6"/>
        <v>0</v>
      </c>
      <c r="S55" s="2750">
        <f t="shared" ca="1" si="6"/>
        <v>0</v>
      </c>
    </row>
    <row r="56" spans="1:19" ht="13.5" thickBot="1">
      <c r="A56" s="561"/>
      <c r="B56" s="1064"/>
      <c r="C56" s="554"/>
      <c r="D56" s="554"/>
      <c r="E56" s="554"/>
      <c r="F56" s="554"/>
      <c r="G56" s="554"/>
      <c r="H56" s="554"/>
      <c r="I56" s="554"/>
      <c r="J56" s="554"/>
      <c r="K56" s="554"/>
      <c r="L56" s="554"/>
      <c r="M56" s="554"/>
      <c r="N56" s="554"/>
      <c r="O56" s="561"/>
      <c r="P56" s="554"/>
    </row>
    <row r="57" spans="1:19" ht="13.5" thickBot="1">
      <c r="N57" s="1078"/>
      <c r="O57" s="1079"/>
      <c r="P57" s="1079"/>
      <c r="Q57" s="1079"/>
      <c r="R57" s="1088" t="str">
        <f>CONCATENATE("Pagos de compras y CV pendintes para el año ",Q46," (sin ",'Dados Básicos'!A28,")")</f>
        <v>Pagos de compras y CV pendintes para el año 2029 (sin IVA)</v>
      </c>
      <c r="S57" s="1089">
        <f ca="1">SUM(N55:S55)</f>
        <v>0</v>
      </c>
    </row>
  </sheetData>
  <sheetProtection sheet="1" objects="1" scenarios="1"/>
  <phoneticPr fontId="4"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1">
    <tabColor indexed="61"/>
    <pageSetUpPr fitToPage="1"/>
  </sheetPr>
  <dimension ref="A1:S57"/>
  <sheetViews>
    <sheetView workbookViewId="0"/>
  </sheetViews>
  <sheetFormatPr baseColWidth="10" defaultColWidth="11" defaultRowHeight="12.75"/>
  <cols>
    <col min="1" max="1" width="24.75" style="287" customWidth="1"/>
    <col min="2" max="2" width="9.75" style="289" customWidth="1"/>
    <col min="3" max="4" width="10" style="88" customWidth="1"/>
    <col min="5" max="5" width="11.375" style="88" customWidth="1"/>
    <col min="6" max="14" width="10" style="88" customWidth="1"/>
    <col min="15" max="15" width="9.5" style="287" customWidth="1"/>
    <col min="16" max="16384" width="11" style="88"/>
  </cols>
  <sheetData>
    <row r="1" spans="1:15" ht="25.5">
      <c r="A1" s="964" t="str">
        <f>'Receitas e pagamentos 0'!A1</f>
        <v>Receitas e pagamentos da Empresa</v>
      </c>
      <c r="B1" s="1081"/>
      <c r="E1" s="2742" t="str">
        <f>Parametros!E$77</f>
        <v>Ano 3:  2029</v>
      </c>
      <c r="F1" s="304"/>
      <c r="M1" s="1082"/>
      <c r="O1" s="88"/>
    </row>
    <row r="2" spans="1:15" s="554" customFormat="1" ht="25.5">
      <c r="A2" s="171" t="str">
        <f>'Dados Básicos'!B9</f>
        <v>WWW, S.L.</v>
      </c>
      <c r="B2" s="1081"/>
      <c r="D2" s="1083"/>
      <c r="E2" s="168"/>
    </row>
    <row r="3" spans="1:15" ht="21" customHeight="1">
      <c r="A3" s="88"/>
      <c r="B3" s="1068"/>
      <c r="O3" s="88"/>
    </row>
    <row r="4" spans="1:15" ht="25.5">
      <c r="A4" s="171" t="str">
        <f>'Receitas e pagamentos 0'!A4</f>
        <v>Vendas (IVA incl.)</v>
      </c>
      <c r="B4" s="1068"/>
      <c r="E4" s="172"/>
      <c r="F4" s="172"/>
      <c r="O4" s="88"/>
    </row>
    <row r="5" spans="1:15" ht="5.25" customHeight="1" thickBot="1"/>
    <row r="6" spans="1:15" s="1064" customFormat="1" ht="16.149999999999999" customHeight="1" thickBot="1">
      <c r="A6" s="174" t="str">
        <f>'Receitas e pagamentos 0'!A6</f>
        <v>Vendas no periodo</v>
      </c>
      <c r="B6" s="2743" t="str">
        <f t="array" ref="B6:M6">meses</f>
        <v>janeiro</v>
      </c>
      <c r="C6" s="2744" t="str">
        <v>fevereiro</v>
      </c>
      <c r="D6" s="2744" t="str">
        <v>março</v>
      </c>
      <c r="E6" s="2744" t="str">
        <v>abril</v>
      </c>
      <c r="F6" s="2744" t="str">
        <v>maio</v>
      </c>
      <c r="G6" s="2744" t="str">
        <v>junho</v>
      </c>
      <c r="H6" s="2744" t="str">
        <v>julho</v>
      </c>
      <c r="I6" s="2744" t="str">
        <v>agosto</v>
      </c>
      <c r="J6" s="2744" t="str">
        <v>setembro</v>
      </c>
      <c r="K6" s="2744" t="str">
        <v>outubro</v>
      </c>
      <c r="L6" s="2744" t="str">
        <v>novembro</v>
      </c>
      <c r="M6" s="2744" t="str">
        <v>dezembro</v>
      </c>
      <c r="N6" s="2744" t="s">
        <v>3</v>
      </c>
    </row>
    <row r="7" spans="1:15" s="561" customFormat="1" ht="16.149999999999999" customHeight="1">
      <c r="A7" s="2120" t="str">
        <f t="array" ref="A7:A14">productos</f>
        <v>produto 1</v>
      </c>
      <c r="B7" s="1065">
        <f t="array" aca="1" ref="B7:M14" ca="1">'Prev.Vendas 3'!B17:M24*(1+Parametros!$E24:$E31 - ret_irpf  )</f>
        <v>1458.3862360099999</v>
      </c>
      <c r="C7" s="1065">
        <f ca="1"/>
        <v>1458.3862360099999</v>
      </c>
      <c r="D7" s="1065">
        <f ca="1"/>
        <v>1458.3862360099999</v>
      </c>
      <c r="E7" s="1065">
        <f ca="1"/>
        <v>1458.3862360099999</v>
      </c>
      <c r="F7" s="1065">
        <f ca="1"/>
        <v>1458.3862360099999</v>
      </c>
      <c r="G7" s="1065">
        <f ca="1"/>
        <v>1458.3862360099999</v>
      </c>
      <c r="H7" s="1065">
        <f ca="1"/>
        <v>1458.3862360099999</v>
      </c>
      <c r="I7" s="1065">
        <f ca="1"/>
        <v>1458.3862360099999</v>
      </c>
      <c r="J7" s="1065">
        <f ca="1"/>
        <v>1458.3862360099999</v>
      </c>
      <c r="K7" s="1065">
        <f ca="1"/>
        <v>1458.3862360099999</v>
      </c>
      <c r="L7" s="1065">
        <f ca="1"/>
        <v>1458.3862360099999</v>
      </c>
      <c r="M7" s="1065">
        <f ca="1"/>
        <v>1458.3862360099999</v>
      </c>
      <c r="N7" s="2121">
        <f t="shared" ref="N7:N14" ca="1" si="0">SUM(B7:M7)</f>
        <v>17500.634832119995</v>
      </c>
    </row>
    <row r="8" spans="1:15" s="561" customFormat="1" ht="16.149999999999999" customHeight="1">
      <c r="A8" s="2122" t="str">
        <v/>
      </c>
      <c r="B8" s="1065">
        <f ca="1"/>
        <v>0</v>
      </c>
      <c r="C8" s="1065">
        <f ca="1"/>
        <v>0</v>
      </c>
      <c r="D8" s="1065">
        <f ca="1"/>
        <v>0</v>
      </c>
      <c r="E8" s="1065">
        <f ca="1"/>
        <v>0</v>
      </c>
      <c r="F8" s="1065">
        <f ca="1"/>
        <v>0</v>
      </c>
      <c r="G8" s="1065">
        <f ca="1"/>
        <v>0</v>
      </c>
      <c r="H8" s="1065">
        <f ca="1"/>
        <v>0</v>
      </c>
      <c r="I8" s="1065">
        <f ca="1"/>
        <v>0</v>
      </c>
      <c r="J8" s="1065">
        <f ca="1"/>
        <v>0</v>
      </c>
      <c r="K8" s="1065">
        <f ca="1"/>
        <v>0</v>
      </c>
      <c r="L8" s="1065">
        <f ca="1"/>
        <v>0</v>
      </c>
      <c r="M8" s="1065">
        <f ca="1"/>
        <v>0</v>
      </c>
      <c r="N8" s="2121">
        <f t="shared" ca="1" si="0"/>
        <v>0</v>
      </c>
    </row>
    <row r="9" spans="1:15" s="561" customFormat="1" ht="16.149999999999999" customHeight="1">
      <c r="A9" s="2122" t="str">
        <v/>
      </c>
      <c r="B9" s="1065">
        <f ca="1"/>
        <v>0</v>
      </c>
      <c r="C9" s="1065">
        <f ca="1"/>
        <v>0</v>
      </c>
      <c r="D9" s="1065">
        <f ca="1"/>
        <v>0</v>
      </c>
      <c r="E9" s="1065">
        <f ca="1"/>
        <v>0</v>
      </c>
      <c r="F9" s="1065">
        <f ca="1"/>
        <v>0</v>
      </c>
      <c r="G9" s="1065">
        <f ca="1"/>
        <v>0</v>
      </c>
      <c r="H9" s="1065">
        <f ca="1"/>
        <v>0</v>
      </c>
      <c r="I9" s="1065">
        <f ca="1"/>
        <v>0</v>
      </c>
      <c r="J9" s="1065">
        <f ca="1"/>
        <v>0</v>
      </c>
      <c r="K9" s="1065">
        <f ca="1"/>
        <v>0</v>
      </c>
      <c r="L9" s="1065">
        <f ca="1"/>
        <v>0</v>
      </c>
      <c r="M9" s="1065">
        <f ca="1"/>
        <v>0</v>
      </c>
      <c r="N9" s="2121">
        <f t="shared" ca="1" si="0"/>
        <v>0</v>
      </c>
    </row>
    <row r="10" spans="1:15" s="561" customFormat="1" ht="16.149999999999999" customHeight="1">
      <c r="A10" s="2122" t="str">
        <v/>
      </c>
      <c r="B10" s="1065">
        <f ca="1"/>
        <v>0</v>
      </c>
      <c r="C10" s="1065">
        <f ca="1"/>
        <v>0</v>
      </c>
      <c r="D10" s="1065">
        <f ca="1"/>
        <v>0</v>
      </c>
      <c r="E10" s="1065">
        <f ca="1"/>
        <v>0</v>
      </c>
      <c r="F10" s="1065">
        <f ca="1"/>
        <v>0</v>
      </c>
      <c r="G10" s="1065">
        <f ca="1"/>
        <v>0</v>
      </c>
      <c r="H10" s="1065">
        <f ca="1"/>
        <v>0</v>
      </c>
      <c r="I10" s="1065">
        <f ca="1"/>
        <v>0</v>
      </c>
      <c r="J10" s="1065">
        <f ca="1"/>
        <v>0</v>
      </c>
      <c r="K10" s="1065">
        <f ca="1"/>
        <v>0</v>
      </c>
      <c r="L10" s="1065">
        <f ca="1"/>
        <v>0</v>
      </c>
      <c r="M10" s="1065">
        <f ca="1"/>
        <v>0</v>
      </c>
      <c r="N10" s="2121">
        <f t="shared" ca="1" si="0"/>
        <v>0</v>
      </c>
    </row>
    <row r="11" spans="1:15" s="561" customFormat="1" ht="16.149999999999999" customHeight="1">
      <c r="A11" s="2122" t="str">
        <v/>
      </c>
      <c r="B11" s="1065">
        <f ca="1"/>
        <v>0</v>
      </c>
      <c r="C11" s="1065">
        <f ca="1"/>
        <v>0</v>
      </c>
      <c r="D11" s="1065">
        <f ca="1"/>
        <v>0</v>
      </c>
      <c r="E11" s="1065">
        <f ca="1"/>
        <v>0</v>
      </c>
      <c r="F11" s="1065">
        <f ca="1"/>
        <v>0</v>
      </c>
      <c r="G11" s="1065">
        <f ca="1"/>
        <v>0</v>
      </c>
      <c r="H11" s="1065">
        <f ca="1"/>
        <v>0</v>
      </c>
      <c r="I11" s="1065">
        <f ca="1"/>
        <v>0</v>
      </c>
      <c r="J11" s="1065">
        <f ca="1"/>
        <v>0</v>
      </c>
      <c r="K11" s="1065">
        <f ca="1"/>
        <v>0</v>
      </c>
      <c r="L11" s="1065">
        <f ca="1"/>
        <v>0</v>
      </c>
      <c r="M11" s="1065">
        <f ca="1"/>
        <v>0</v>
      </c>
      <c r="N11" s="2121">
        <f t="shared" ca="1" si="0"/>
        <v>0</v>
      </c>
    </row>
    <row r="12" spans="1:15" s="561" customFormat="1" ht="16.149999999999999" customHeight="1">
      <c r="A12" s="2122" t="str">
        <v/>
      </c>
      <c r="B12" s="1065">
        <f ca="1"/>
        <v>0</v>
      </c>
      <c r="C12" s="1065">
        <f ca="1"/>
        <v>0</v>
      </c>
      <c r="D12" s="1065">
        <f ca="1"/>
        <v>0</v>
      </c>
      <c r="E12" s="1065">
        <f ca="1"/>
        <v>0</v>
      </c>
      <c r="F12" s="1065">
        <f ca="1"/>
        <v>0</v>
      </c>
      <c r="G12" s="1065">
        <f ca="1"/>
        <v>0</v>
      </c>
      <c r="H12" s="1065">
        <f ca="1"/>
        <v>0</v>
      </c>
      <c r="I12" s="1065">
        <f ca="1"/>
        <v>0</v>
      </c>
      <c r="J12" s="1065">
        <f ca="1"/>
        <v>0</v>
      </c>
      <c r="K12" s="1065">
        <f ca="1"/>
        <v>0</v>
      </c>
      <c r="L12" s="1065">
        <f ca="1"/>
        <v>0</v>
      </c>
      <c r="M12" s="1065">
        <f ca="1"/>
        <v>0</v>
      </c>
      <c r="N12" s="2121">
        <f t="shared" ca="1" si="0"/>
        <v>0</v>
      </c>
    </row>
    <row r="13" spans="1:15" s="561" customFormat="1" ht="16.149999999999999" customHeight="1">
      <c r="A13" s="2122" t="str">
        <v/>
      </c>
      <c r="B13" s="1065">
        <f ca="1"/>
        <v>0</v>
      </c>
      <c r="C13" s="1065">
        <f ca="1"/>
        <v>0</v>
      </c>
      <c r="D13" s="1065">
        <f ca="1"/>
        <v>0</v>
      </c>
      <c r="E13" s="1065">
        <f ca="1"/>
        <v>0</v>
      </c>
      <c r="F13" s="1065">
        <f ca="1"/>
        <v>0</v>
      </c>
      <c r="G13" s="1065">
        <f ca="1"/>
        <v>0</v>
      </c>
      <c r="H13" s="1065">
        <f ca="1"/>
        <v>0</v>
      </c>
      <c r="I13" s="1065">
        <f ca="1"/>
        <v>0</v>
      </c>
      <c r="J13" s="1065">
        <f ca="1"/>
        <v>0</v>
      </c>
      <c r="K13" s="1065">
        <f ca="1"/>
        <v>0</v>
      </c>
      <c r="L13" s="1065">
        <f ca="1"/>
        <v>0</v>
      </c>
      <c r="M13" s="1065">
        <f ca="1"/>
        <v>0</v>
      </c>
      <c r="N13" s="2121">
        <f t="shared" ca="1" si="0"/>
        <v>0</v>
      </c>
    </row>
    <row r="14" spans="1:15" s="561" customFormat="1" ht="16.149999999999999" customHeight="1" thickBot="1">
      <c r="A14" s="2123" t="str">
        <v/>
      </c>
      <c r="B14" s="1066">
        <f ca="1"/>
        <v>0</v>
      </c>
      <c r="C14" s="1066">
        <f ca="1"/>
        <v>0</v>
      </c>
      <c r="D14" s="1066">
        <f ca="1"/>
        <v>0</v>
      </c>
      <c r="E14" s="1066">
        <f ca="1"/>
        <v>0</v>
      </c>
      <c r="F14" s="1066">
        <f ca="1"/>
        <v>0</v>
      </c>
      <c r="G14" s="1066">
        <f ca="1"/>
        <v>0</v>
      </c>
      <c r="H14" s="1066">
        <f ca="1"/>
        <v>0</v>
      </c>
      <c r="I14" s="1066">
        <f ca="1"/>
        <v>0</v>
      </c>
      <c r="J14" s="1066">
        <f ca="1"/>
        <v>0</v>
      </c>
      <c r="K14" s="1066">
        <f ca="1"/>
        <v>0</v>
      </c>
      <c r="L14" s="1066">
        <f ca="1"/>
        <v>0</v>
      </c>
      <c r="M14" s="1066">
        <f ca="1"/>
        <v>0</v>
      </c>
      <c r="N14" s="2121">
        <f t="shared" ca="1" si="0"/>
        <v>0</v>
      </c>
    </row>
    <row r="15" spans="1:15" s="561" customFormat="1" ht="16.149999999999999" customHeight="1" thickBot="1">
      <c r="A15" s="2124" t="s">
        <v>3</v>
      </c>
      <c r="B15" s="2125">
        <f t="shared" ref="B15:N15" ca="1" si="1">SUM(B7:B14)</f>
        <v>1458.3862360099999</v>
      </c>
      <c r="C15" s="2125">
        <f t="shared" ca="1" si="1"/>
        <v>1458.3862360099999</v>
      </c>
      <c r="D15" s="2125">
        <f t="shared" ca="1" si="1"/>
        <v>1458.3862360099999</v>
      </c>
      <c r="E15" s="2125">
        <f t="shared" ca="1" si="1"/>
        <v>1458.3862360099999</v>
      </c>
      <c r="F15" s="2125">
        <f t="shared" ca="1" si="1"/>
        <v>1458.3862360099999</v>
      </c>
      <c r="G15" s="2125">
        <f t="shared" ca="1" si="1"/>
        <v>1458.3862360099999</v>
      </c>
      <c r="H15" s="2125">
        <f t="shared" ca="1" si="1"/>
        <v>1458.3862360099999</v>
      </c>
      <c r="I15" s="2125">
        <f t="shared" ca="1" si="1"/>
        <v>1458.3862360099999</v>
      </c>
      <c r="J15" s="2125">
        <f t="shared" ca="1" si="1"/>
        <v>1458.3862360099999</v>
      </c>
      <c r="K15" s="2125">
        <f t="shared" ca="1" si="1"/>
        <v>1458.3862360099999</v>
      </c>
      <c r="L15" s="2125">
        <f t="shared" ca="1" si="1"/>
        <v>1458.3862360099999</v>
      </c>
      <c r="M15" s="2125">
        <f t="shared" ca="1" si="1"/>
        <v>1458.3862360099999</v>
      </c>
      <c r="N15" s="2125">
        <f t="shared" ca="1" si="1"/>
        <v>17500.634832119995</v>
      </c>
    </row>
    <row r="16" spans="1:15" s="561" customFormat="1" ht="16.149999999999999" customHeight="1">
      <c r="A16" s="25"/>
    </row>
    <row r="17" spans="1:19" s="334" customFormat="1" ht="22.5">
      <c r="A17" s="334" t="str">
        <f>'Receitas e pagamentos 0'!A17</f>
        <v>Receitas por Vendas do ano</v>
      </c>
      <c r="B17" s="172"/>
      <c r="E17" s="172"/>
      <c r="F17" s="172"/>
    </row>
    <row r="18" spans="1:19" ht="16.5" customHeight="1" thickBot="1">
      <c r="A18" s="88"/>
      <c r="B18" s="88"/>
      <c r="O18" s="88"/>
      <c r="P18" s="1067" t="str">
        <f>'Receitas e pagamentos 0'!P18</f>
        <v>Pendente para o ano seguinte:</v>
      </c>
      <c r="Q18" s="1085" t="str">
        <f>Parametros!H65</f>
        <v>2030</v>
      </c>
    </row>
    <row r="19" spans="1:19" s="1064" customFormat="1" ht="28.5" customHeight="1" thickBot="1">
      <c r="A19" s="174" t="str">
        <f t="array" ref="A19:A27">'Receitas e pagamentos 0'!A19:A27</f>
        <v>Prazos das receitas</v>
      </c>
      <c r="B19" s="2745" t="str">
        <f t="array" ref="B19:M19">'Estimações Vendas'!B44:M44</f>
        <v>janeiro 
2029</v>
      </c>
      <c r="C19" s="2745" t="str">
        <v>fevereiro 
2029</v>
      </c>
      <c r="D19" s="2745" t="str">
        <v>março 
2029</v>
      </c>
      <c r="E19" s="2745" t="str">
        <v>abril 
2029</v>
      </c>
      <c r="F19" s="2745" t="str">
        <v>maio 
2029</v>
      </c>
      <c r="G19" s="2745" t="str">
        <v>junho 
2029</v>
      </c>
      <c r="H19" s="2745" t="str">
        <v>julho 
2029</v>
      </c>
      <c r="I19" s="2745" t="str">
        <v>agosto 
2029</v>
      </c>
      <c r="J19" s="2745" t="str">
        <v>setembro 
2029</v>
      </c>
      <c r="K19" s="2745" t="str">
        <v>outubro 
2029</v>
      </c>
      <c r="L19" s="2745" t="str">
        <v>novembro 
2029</v>
      </c>
      <c r="M19" s="2745" t="str">
        <v>dezembro 
2029</v>
      </c>
      <c r="N19" s="2745" t="str">
        <f t="array" ref="N19:S19">'Receitas e pagamentos 4'!B19:G19</f>
        <v>janeiro 
2030</v>
      </c>
      <c r="O19" s="2745" t="str">
        <v>fevereiro 
2030</v>
      </c>
      <c r="P19" s="2745" t="str">
        <v>março 
2030</v>
      </c>
      <c r="Q19" s="2745" t="str">
        <v>abril 
2030</v>
      </c>
      <c r="R19" s="2745" t="str">
        <v>maio 
2030</v>
      </c>
      <c r="S19" s="2745" t="str">
        <v>junho 
2030</v>
      </c>
    </row>
    <row r="20" spans="1:19" s="554" customFormat="1" ht="16.149999999999999" customHeight="1">
      <c r="A20" s="2119" t="str">
        <v>Contado</v>
      </c>
      <c r="B20" s="1069">
        <f t="array" aca="1" ref="B20" ca="1">SUM('Pol. Cobranças e Pagamentos'!$B$39:$B$46*B7:B14)</f>
        <v>1458.3862360099999</v>
      </c>
      <c r="C20" s="1069">
        <f t="array" aca="1" ref="C20" ca="1">SUM('Pol. Cobranças e Pagamentos'!$B$39:$B$46*C7:C14)</f>
        <v>1458.3862360099999</v>
      </c>
      <c r="D20" s="1069">
        <f t="array" aca="1" ref="D20" ca="1">SUM('Pol. Cobranças e Pagamentos'!$B$39:$B$46*D7:D14)</f>
        <v>1458.3862360099999</v>
      </c>
      <c r="E20" s="1069">
        <f t="array" aca="1" ref="E20" ca="1">SUM('Pol. Cobranças e Pagamentos'!$B$39:$B$46*E7:E14)</f>
        <v>1458.3862360099999</v>
      </c>
      <c r="F20" s="1069">
        <f t="array" aca="1" ref="F20" ca="1">SUM('Pol. Cobranças e Pagamentos'!$B$39:$B$46*F7:F14)</f>
        <v>1458.3862360099999</v>
      </c>
      <c r="G20" s="1069">
        <f t="array" aca="1" ref="G20" ca="1">SUM('Pol. Cobranças e Pagamentos'!$B$39:$B$46*G7:G14)</f>
        <v>1458.3862360099999</v>
      </c>
      <c r="H20" s="1069">
        <f t="array" aca="1" ref="H20" ca="1">SUM('Pol. Cobranças e Pagamentos'!$B$39:$B$46*H7:H14)</f>
        <v>1458.3862360099999</v>
      </c>
      <c r="I20" s="1069">
        <f t="array" aca="1" ref="I20" ca="1">SUM('Pol. Cobranças e Pagamentos'!$B$39:$B$46*I7:I14)</f>
        <v>1458.3862360099999</v>
      </c>
      <c r="J20" s="1069">
        <f t="array" aca="1" ref="J20" ca="1">SUM('Pol. Cobranças e Pagamentos'!$B$39:$B$46*J7:J14)</f>
        <v>1458.3862360099999</v>
      </c>
      <c r="K20" s="1069">
        <f t="array" aca="1" ref="K20" ca="1">SUM('Pol. Cobranças e Pagamentos'!$B$39:$B$46*K7:K14)</f>
        <v>1458.3862360099999</v>
      </c>
      <c r="L20" s="1069">
        <f t="array" aca="1" ref="L20" ca="1">SUM('Pol. Cobranças e Pagamentos'!$B$39:$B$46*L7:L14)</f>
        <v>1458.3862360099999</v>
      </c>
      <c r="M20" s="1069">
        <f t="array" aca="1" ref="M20" ca="1">SUM('Pol. Cobranças e Pagamentos'!$B$39:$B$46*M7:M14)</f>
        <v>1458.3862360099999</v>
      </c>
      <c r="N20" s="1069"/>
      <c r="O20" s="1069"/>
      <c r="P20" s="1069"/>
      <c r="Q20" s="1069"/>
      <c r="R20" s="1069"/>
      <c r="S20" s="1069"/>
    </row>
    <row r="21" spans="1:19" s="561" customFormat="1" ht="16.149999999999999" customHeight="1">
      <c r="A21" s="2846">
        <v>30</v>
      </c>
      <c r="B21" s="1070">
        <f t="array" aca="1" ref="B21:B26" ca="1">'Receitas e pagamentos 2'!N21:N26</f>
        <v>0</v>
      </c>
      <c r="C21" s="1069">
        <f t="array" aca="1" ref="C21" ca="1">SUM('Pol. Cobranças e Pagamentos'!$C$39:$C$46*B$7:B$14)</f>
        <v>0</v>
      </c>
      <c r="D21" s="1069">
        <f t="array" aca="1" ref="D21" ca="1">SUM('Pol. Cobranças e Pagamentos'!$C$39:$C$46*C$7:C$14)</f>
        <v>0</v>
      </c>
      <c r="E21" s="1069">
        <f t="array" aca="1" ref="E21" ca="1">SUM('Pol. Cobranças e Pagamentos'!$C$39:$C$46*D$7:D$14)</f>
        <v>0</v>
      </c>
      <c r="F21" s="1069">
        <f t="array" aca="1" ref="F21" ca="1">SUM('Pol. Cobranças e Pagamentos'!$C$39:$C$46*E$7:E$14)</f>
        <v>0</v>
      </c>
      <c r="G21" s="1069">
        <f t="array" aca="1" ref="G21" ca="1">SUM('Pol. Cobranças e Pagamentos'!$C$39:$C$46*F$7:F$14)</f>
        <v>0</v>
      </c>
      <c r="H21" s="1069">
        <f t="array" aca="1" ref="H21" ca="1">SUM('Pol. Cobranças e Pagamentos'!$C$39:$C$46*G$7:G$14)</f>
        <v>0</v>
      </c>
      <c r="I21" s="1069">
        <f t="array" aca="1" ref="I21" ca="1">SUM('Pol. Cobranças e Pagamentos'!$C$39:$C$46*H$7:H$14)</f>
        <v>0</v>
      </c>
      <c r="J21" s="1069">
        <f t="array" aca="1" ref="J21" ca="1">SUM('Pol. Cobranças e Pagamentos'!$C$39:$C$46*I$7:I$14)</f>
        <v>0</v>
      </c>
      <c r="K21" s="1069">
        <f t="array" aca="1" ref="K21" ca="1">SUM('Pol. Cobranças e Pagamentos'!$C$39:$C$46*J$7:J$14)</f>
        <v>0</v>
      </c>
      <c r="L21" s="1069">
        <f t="array" aca="1" ref="L21" ca="1">SUM('Pol. Cobranças e Pagamentos'!$C$39:$C$46*K$7:K$14)</f>
        <v>0</v>
      </c>
      <c r="M21" s="1069">
        <f t="array" aca="1" ref="M21" ca="1">SUM('Pol. Cobranças e Pagamentos'!$C$39:$C$46*L$7:L$14)</f>
        <v>0</v>
      </c>
      <c r="N21" s="1069">
        <f t="array" aca="1" ref="N21" ca="1">SUM('Pol. Cobranças e Pagamentos'!$C$39:$C$46*M$7:M$14)</f>
        <v>0</v>
      </c>
      <c r="O21" s="1069"/>
      <c r="P21" s="1069"/>
      <c r="Q21" s="1069"/>
      <c r="R21" s="1069"/>
      <c r="S21" s="1069"/>
    </row>
    <row r="22" spans="1:19" s="554" customFormat="1" ht="16.149999999999999" customHeight="1">
      <c r="A22" s="2846">
        <v>60</v>
      </c>
      <c r="B22" s="1070">
        <f ca="1"/>
        <v>0</v>
      </c>
      <c r="C22" s="1070">
        <f t="array" aca="1" ref="C22:C26" ca="1">'Receitas e pagamentos 2'!O22:O26</f>
        <v>0</v>
      </c>
      <c r="D22" s="1069">
        <f t="array" aca="1" ref="D22" ca="1">SUM('Pol. Cobranças e Pagamentos'!$D$39:$D$46*B$7:B$14)</f>
        <v>0</v>
      </c>
      <c r="E22" s="1069">
        <f t="array" aca="1" ref="E22" ca="1">SUM('Pol. Cobranças e Pagamentos'!$D$39:$D$46*C$7:C$14)</f>
        <v>0</v>
      </c>
      <c r="F22" s="1069">
        <f t="array" aca="1" ref="F22" ca="1">SUM('Pol. Cobranças e Pagamentos'!$D$39:$D$46*D$7:D$14)</f>
        <v>0</v>
      </c>
      <c r="G22" s="1069">
        <f t="array" aca="1" ref="G22" ca="1">SUM('Pol. Cobranças e Pagamentos'!$D$39:$D$46*E$7:E$14)</f>
        <v>0</v>
      </c>
      <c r="H22" s="1069">
        <f t="array" aca="1" ref="H22" ca="1">SUM('Pol. Cobranças e Pagamentos'!$D$39:$D$46*F$7:F$14)</f>
        <v>0</v>
      </c>
      <c r="I22" s="1069">
        <f t="array" aca="1" ref="I22" ca="1">SUM('Pol. Cobranças e Pagamentos'!$D$39:$D$46*G$7:G$14)</f>
        <v>0</v>
      </c>
      <c r="J22" s="1069">
        <f t="array" aca="1" ref="J22" ca="1">SUM('Pol. Cobranças e Pagamentos'!$D$39:$D$46*H$7:H$14)</f>
        <v>0</v>
      </c>
      <c r="K22" s="1069">
        <f t="array" aca="1" ref="K22" ca="1">SUM('Pol. Cobranças e Pagamentos'!$D$39:$D$46*I$7:I$14)</f>
        <v>0</v>
      </c>
      <c r="L22" s="1069">
        <f t="array" aca="1" ref="L22" ca="1">SUM('Pol. Cobranças e Pagamentos'!$D$39:$D$46*J$7:J$14)</f>
        <v>0</v>
      </c>
      <c r="M22" s="1069">
        <f t="array" aca="1" ref="M22" ca="1">SUM('Pol. Cobranças e Pagamentos'!$D$39:$D$46*K$7:K$14)</f>
        <v>0</v>
      </c>
      <c r="N22" s="1069">
        <f t="array" aca="1" ref="N22" ca="1">SUM('Pol. Cobranças e Pagamentos'!$D$39:$D$46*L$7:L$14)</f>
        <v>0</v>
      </c>
      <c r="O22" s="1069">
        <f t="array" aca="1" ref="O22" ca="1">SUM('Pol. Cobranças e Pagamentos'!$D$39:$D$46*M$7:M$14)</f>
        <v>0</v>
      </c>
      <c r="P22" s="1069"/>
      <c r="Q22" s="1069"/>
      <c r="R22" s="1069"/>
      <c r="S22" s="1069"/>
    </row>
    <row r="23" spans="1:19" s="554" customFormat="1" ht="16.149999999999999" customHeight="1">
      <c r="A23" s="2846">
        <v>90</v>
      </c>
      <c r="B23" s="1070">
        <f ca="1"/>
        <v>0</v>
      </c>
      <c r="C23" s="1070">
        <f ca="1"/>
        <v>0</v>
      </c>
      <c r="D23" s="1070">
        <f t="array" aca="1" ref="D23:D26" ca="1">'Receitas e pagamentos 2'!P23:P26</f>
        <v>0</v>
      </c>
      <c r="E23" s="1069">
        <f t="array" aca="1" ref="E23" ca="1">SUM('Pol. Cobranças e Pagamentos'!$E$39:$E$46*B$7:B$14)</f>
        <v>0</v>
      </c>
      <c r="F23" s="1069">
        <f t="array" aca="1" ref="F23" ca="1">SUM('Pol. Cobranças e Pagamentos'!$E$39:$E$46*C$7:C$14)</f>
        <v>0</v>
      </c>
      <c r="G23" s="1069">
        <f t="array" aca="1" ref="G23" ca="1">SUM('Pol. Cobranças e Pagamentos'!$E$39:$E$46*D$7:D$14)</f>
        <v>0</v>
      </c>
      <c r="H23" s="1069">
        <f t="array" aca="1" ref="H23" ca="1">SUM('Pol. Cobranças e Pagamentos'!$E$39:$E$46*E$7:E$14)</f>
        <v>0</v>
      </c>
      <c r="I23" s="1069">
        <f t="array" aca="1" ref="I23" ca="1">SUM('Pol. Cobranças e Pagamentos'!$E$39:$E$46*F$7:F$14)</f>
        <v>0</v>
      </c>
      <c r="J23" s="1069">
        <f t="array" aca="1" ref="J23" ca="1">SUM('Pol. Cobranças e Pagamentos'!$E$39:$E$46*G$7:G$14)</f>
        <v>0</v>
      </c>
      <c r="K23" s="1069">
        <f t="array" aca="1" ref="K23" ca="1">SUM('Pol. Cobranças e Pagamentos'!$E$39:$E$46*H$7:H$14)</f>
        <v>0</v>
      </c>
      <c r="L23" s="1069">
        <f t="array" aca="1" ref="L23" ca="1">SUM('Pol. Cobranças e Pagamentos'!$E$39:$E$46*I$7:I$14)</f>
        <v>0</v>
      </c>
      <c r="M23" s="1069">
        <f t="array" aca="1" ref="M23" ca="1">SUM('Pol. Cobranças e Pagamentos'!$E$39:$E$46*J$7:J$14)</f>
        <v>0</v>
      </c>
      <c r="N23" s="1069">
        <f t="array" aca="1" ref="N23" ca="1">SUM('Pol. Cobranças e Pagamentos'!$E$39:$E$46*K$7:K$14)</f>
        <v>0</v>
      </c>
      <c r="O23" s="1069">
        <f t="array" aca="1" ref="O23" ca="1">SUM('Pol. Cobranças e Pagamentos'!$E$39:$E$46*L$7:L$14)</f>
        <v>0</v>
      </c>
      <c r="P23" s="1069">
        <f t="array" aca="1" ref="P23" ca="1">SUM('Pol. Cobranças e Pagamentos'!$E$39:$E$46*M$7:M$14)</f>
        <v>0</v>
      </c>
      <c r="Q23" s="1069"/>
      <c r="R23" s="1069"/>
      <c r="S23" s="1069"/>
    </row>
    <row r="24" spans="1:19" s="554" customFormat="1" ht="16.149999999999999" customHeight="1">
      <c r="A24" s="2846">
        <v>120</v>
      </c>
      <c r="B24" s="1070">
        <f ca="1"/>
        <v>0</v>
      </c>
      <c r="C24" s="1070">
        <f ca="1"/>
        <v>0</v>
      </c>
      <c r="D24" s="1070">
        <f ca="1"/>
        <v>0</v>
      </c>
      <c r="E24" s="1070">
        <f t="array" aca="1" ref="E24:E26" ca="1">'Receitas e pagamentos 2'!Q24:Q26</f>
        <v>0</v>
      </c>
      <c r="F24" s="1069">
        <f t="array" aca="1" ref="F24" ca="1">SUM('Pol. Cobranças e Pagamentos'!$F$39:$F$46*B$7:B$14)</f>
        <v>0</v>
      </c>
      <c r="G24" s="1069">
        <f t="array" aca="1" ref="G24" ca="1">SUM('Pol. Cobranças e Pagamentos'!$F$39:$F$46*C$7:C$14)</f>
        <v>0</v>
      </c>
      <c r="H24" s="1069">
        <f t="array" aca="1" ref="H24" ca="1">SUM('Pol. Cobranças e Pagamentos'!$F$39:$F$46*D$7:D$14)</f>
        <v>0</v>
      </c>
      <c r="I24" s="1069">
        <f t="array" aca="1" ref="I24" ca="1">SUM('Pol. Cobranças e Pagamentos'!$F$39:$F$46*E$7:E$14)</f>
        <v>0</v>
      </c>
      <c r="J24" s="1069">
        <f t="array" aca="1" ref="J24" ca="1">SUM('Pol. Cobranças e Pagamentos'!$F$39:$F$46*F$7:F$14)</f>
        <v>0</v>
      </c>
      <c r="K24" s="1069">
        <f t="array" aca="1" ref="K24" ca="1">SUM('Pol. Cobranças e Pagamentos'!$F$39:$F$46*G$7:G$14)</f>
        <v>0</v>
      </c>
      <c r="L24" s="1069">
        <f t="array" aca="1" ref="L24" ca="1">SUM('Pol. Cobranças e Pagamentos'!$F$39:$F$46*H$7:H$14)</f>
        <v>0</v>
      </c>
      <c r="M24" s="1069">
        <f t="array" aca="1" ref="M24" ca="1">SUM('Pol. Cobranças e Pagamentos'!$F$39:$F$46*I$7:I$14)</f>
        <v>0</v>
      </c>
      <c r="N24" s="1069">
        <f t="array" aca="1" ref="N24" ca="1">SUM('Pol. Cobranças e Pagamentos'!$F$39:$F$46*J$7:J$14)</f>
        <v>0</v>
      </c>
      <c r="O24" s="1069">
        <f t="array" aca="1" ref="O24" ca="1">SUM('Pol. Cobranças e Pagamentos'!$F$39:$F$46*K$7:K$14)</f>
        <v>0</v>
      </c>
      <c r="P24" s="1069">
        <f t="array" aca="1" ref="P24" ca="1">SUM('Pol. Cobranças e Pagamentos'!$F$39:$F$46*L$7:L$14)</f>
        <v>0</v>
      </c>
      <c r="Q24" s="1069">
        <f t="array" aca="1" ref="Q24" ca="1">SUM('Pol. Cobranças e Pagamentos'!$F$39:$F$46*M$7:M$14)</f>
        <v>0</v>
      </c>
      <c r="R24" s="1069"/>
      <c r="S24" s="1069"/>
    </row>
    <row r="25" spans="1:19" s="554" customFormat="1" ht="16.149999999999999" customHeight="1">
      <c r="A25" s="2846">
        <v>150</v>
      </c>
      <c r="B25" s="1070">
        <f ca="1"/>
        <v>0</v>
      </c>
      <c r="C25" s="1070">
        <f ca="1"/>
        <v>0</v>
      </c>
      <c r="D25" s="1070">
        <f ca="1"/>
        <v>0</v>
      </c>
      <c r="E25" s="1070">
        <f ca="1"/>
        <v>0</v>
      </c>
      <c r="F25" s="1070">
        <f t="array" aca="1" ref="F25:F26" ca="1">'Receitas e pagamentos 2'!R25:R26</f>
        <v>0</v>
      </c>
      <c r="G25" s="1069">
        <f t="array" aca="1" ref="G25" ca="1">SUM('Pol. Cobranças e Pagamentos'!$G$39:$G$46*B$7:B$14)</f>
        <v>0</v>
      </c>
      <c r="H25" s="1069">
        <f t="array" aca="1" ref="H25" ca="1">SUM('Pol. Cobranças e Pagamentos'!$G$39:$G$46*C$7:C$14)</f>
        <v>0</v>
      </c>
      <c r="I25" s="1069">
        <f t="array" aca="1" ref="I25" ca="1">SUM('Pol. Cobranças e Pagamentos'!$G$39:$G$46*D$7:D$14)</f>
        <v>0</v>
      </c>
      <c r="J25" s="1069">
        <f t="array" aca="1" ref="J25" ca="1">SUM('Pol. Cobranças e Pagamentos'!$G$39:$G$46*E$7:E$14)</f>
        <v>0</v>
      </c>
      <c r="K25" s="1069">
        <f t="array" aca="1" ref="K25" ca="1">SUM('Pol. Cobranças e Pagamentos'!$G$39:$G$46*F$7:F$14)</f>
        <v>0</v>
      </c>
      <c r="L25" s="1069">
        <f t="array" aca="1" ref="L25" ca="1">SUM('Pol. Cobranças e Pagamentos'!$G$39:$G$46*G$7:G$14)</f>
        <v>0</v>
      </c>
      <c r="M25" s="1069">
        <f t="array" aca="1" ref="M25" ca="1">SUM('Pol. Cobranças e Pagamentos'!$G$39:$G$46*H$7:H$14)</f>
        <v>0</v>
      </c>
      <c r="N25" s="1069">
        <f t="array" aca="1" ref="N25" ca="1">SUM('Pol. Cobranças e Pagamentos'!$G$39:$G$46*I$7:I$14)</f>
        <v>0</v>
      </c>
      <c r="O25" s="1069">
        <f t="array" aca="1" ref="O25" ca="1">SUM('Pol. Cobranças e Pagamentos'!$G$39:$G$46*J$7:J$14)</f>
        <v>0</v>
      </c>
      <c r="P25" s="1069">
        <f t="array" aca="1" ref="P25" ca="1">SUM('Pol. Cobranças e Pagamentos'!$G$39:$G$46*K$7:K$14)</f>
        <v>0</v>
      </c>
      <c r="Q25" s="1069">
        <f t="array" aca="1" ref="Q25" ca="1">SUM('Pol. Cobranças e Pagamentos'!$G$39:$G$46*L$7:L$14)</f>
        <v>0</v>
      </c>
      <c r="R25" s="1069">
        <f t="array" aca="1" ref="R25" ca="1">SUM('Pol. Cobranças e Pagamentos'!$G$39:$G$46*M$7:M$14)</f>
        <v>0</v>
      </c>
      <c r="S25" s="1069"/>
    </row>
    <row r="26" spans="1:19" s="554" customFormat="1" ht="16.149999999999999" customHeight="1">
      <c r="A26" s="2846">
        <v>180</v>
      </c>
      <c r="B26" s="1070">
        <f ca="1"/>
        <v>0</v>
      </c>
      <c r="C26" s="1070">
        <f ca="1"/>
        <v>0</v>
      </c>
      <c r="D26" s="1070">
        <f ca="1"/>
        <v>0</v>
      </c>
      <c r="E26" s="1070">
        <f ca="1"/>
        <v>0</v>
      </c>
      <c r="F26" s="1070">
        <f ca="1"/>
        <v>0</v>
      </c>
      <c r="G26" s="1070">
        <f ca="1">'Receitas e pagamentos 2'!S26</f>
        <v>0</v>
      </c>
      <c r="H26" s="1069">
        <f t="array" aca="1" ref="H26" ca="1">SUM('Pol. Cobranças e Pagamentos'!$H$39:$H$46*B$7:B$14)</f>
        <v>0</v>
      </c>
      <c r="I26" s="1069">
        <f t="array" aca="1" ref="I26" ca="1">SUM('Pol. Cobranças e Pagamentos'!$H$39:$H$46*C$7:C$14)</f>
        <v>0</v>
      </c>
      <c r="J26" s="1069">
        <f t="array" aca="1" ref="J26" ca="1">SUM('Pol. Cobranças e Pagamentos'!$H$39:$H$46*D$7:D$14)</f>
        <v>0</v>
      </c>
      <c r="K26" s="1069">
        <f t="array" aca="1" ref="K26" ca="1">SUM('Pol. Cobranças e Pagamentos'!$H$39:$H$46*E$7:E$14)</f>
        <v>0</v>
      </c>
      <c r="L26" s="1069">
        <f t="array" aca="1" ref="L26" ca="1">SUM('Pol. Cobranças e Pagamentos'!$H$39:$H$46*F$7:F$14)</f>
        <v>0</v>
      </c>
      <c r="M26" s="1069">
        <f t="array" aca="1" ref="M26" ca="1">SUM('Pol. Cobranças e Pagamentos'!$H$39:$H$46*G$7:G$14)</f>
        <v>0</v>
      </c>
      <c r="N26" s="1069">
        <f t="array" aca="1" ref="N26" ca="1">SUM('Pol. Cobranças e Pagamentos'!$H$39:$H$46*H$7:H$14)</f>
        <v>0</v>
      </c>
      <c r="O26" s="1069">
        <f t="array" aca="1" ref="O26" ca="1">SUM('Pol. Cobranças e Pagamentos'!$H$39:$H$46*I$7:I$14)</f>
        <v>0</v>
      </c>
      <c r="P26" s="1069">
        <f t="array" aca="1" ref="P26" ca="1">SUM('Pol. Cobranças e Pagamentos'!$H$39:$H$46*J$7:J$14)</f>
        <v>0</v>
      </c>
      <c r="Q26" s="1069">
        <f t="array" aca="1" ref="Q26" ca="1">SUM('Pol. Cobranças e Pagamentos'!$H$39:$H$46*K$7:K$14)</f>
        <v>0</v>
      </c>
      <c r="R26" s="1069">
        <f t="array" aca="1" ref="R26" ca="1">SUM('Pol. Cobranças e Pagamentos'!$H$39:$H$46*L$7:L$14)</f>
        <v>0</v>
      </c>
      <c r="S26" s="1069">
        <f t="array" aca="1" ref="S26" ca="1">SUM('Pol. Cobranças e Pagamentos'!$H$39:$H$46*M$7:M$14)</f>
        <v>0</v>
      </c>
    </row>
    <row r="27" spans="1:19" s="554" customFormat="1" ht="16.149999999999999" customHeight="1">
      <c r="A27" s="2847" t="str">
        <v>Impagados</v>
      </c>
      <c r="B27" s="1084">
        <f t="shared" ref="B27:M27" ca="1" si="2">-morisidad*SUM(B20:B26)</f>
        <v>0</v>
      </c>
      <c r="C27" s="1084">
        <f t="shared" ca="1" si="2"/>
        <v>0</v>
      </c>
      <c r="D27" s="1084">
        <f t="shared" ca="1" si="2"/>
        <v>0</v>
      </c>
      <c r="E27" s="1084">
        <f t="shared" ca="1" si="2"/>
        <v>0</v>
      </c>
      <c r="F27" s="1084">
        <f t="shared" ca="1" si="2"/>
        <v>0</v>
      </c>
      <c r="G27" s="1084">
        <f t="shared" ca="1" si="2"/>
        <v>0</v>
      </c>
      <c r="H27" s="1084">
        <f t="shared" ca="1" si="2"/>
        <v>0</v>
      </c>
      <c r="I27" s="1084">
        <f t="shared" ca="1" si="2"/>
        <v>0</v>
      </c>
      <c r="J27" s="1084">
        <f t="shared" ca="1" si="2"/>
        <v>0</v>
      </c>
      <c r="K27" s="1084">
        <f t="shared" ca="1" si="2"/>
        <v>0</v>
      </c>
      <c r="L27" s="1084">
        <f t="shared" ca="1" si="2"/>
        <v>0</v>
      </c>
      <c r="M27" s="1084">
        <f t="shared" ca="1" si="2"/>
        <v>0</v>
      </c>
      <c r="N27" s="1071"/>
      <c r="O27" s="1071"/>
      <c r="P27" s="1071"/>
      <c r="Q27" s="1071"/>
      <c r="R27" s="1071"/>
      <c r="S27" s="1071"/>
    </row>
    <row r="28" spans="1:19" s="561" customFormat="1" ht="16.149999999999999" customHeight="1" thickBot="1">
      <c r="A28" s="2746" t="s">
        <v>3</v>
      </c>
      <c r="B28" s="2747">
        <f t="shared" ref="B28:S28" ca="1" si="3">SUM(B20:B27)</f>
        <v>1458.3862360099999</v>
      </c>
      <c r="C28" s="2747">
        <f t="shared" ca="1" si="3"/>
        <v>1458.3862360099999</v>
      </c>
      <c r="D28" s="2747">
        <f t="shared" ca="1" si="3"/>
        <v>1458.3862360099999</v>
      </c>
      <c r="E28" s="2747">
        <f t="shared" ca="1" si="3"/>
        <v>1458.3862360099999</v>
      </c>
      <c r="F28" s="2747">
        <f t="shared" ca="1" si="3"/>
        <v>1458.3862360099999</v>
      </c>
      <c r="G28" s="2747">
        <f t="shared" ca="1" si="3"/>
        <v>1458.3862360099999</v>
      </c>
      <c r="H28" s="2747">
        <f t="shared" ca="1" si="3"/>
        <v>1458.3862360099999</v>
      </c>
      <c r="I28" s="2747">
        <f t="shared" ca="1" si="3"/>
        <v>1458.3862360099999</v>
      </c>
      <c r="J28" s="2747">
        <f t="shared" ca="1" si="3"/>
        <v>1458.3862360099999</v>
      </c>
      <c r="K28" s="2747">
        <f t="shared" ca="1" si="3"/>
        <v>1458.3862360099999</v>
      </c>
      <c r="L28" s="2747">
        <f t="shared" ca="1" si="3"/>
        <v>1458.3862360099999</v>
      </c>
      <c r="M28" s="2747">
        <f t="shared" ca="1" si="3"/>
        <v>1458.3862360099999</v>
      </c>
      <c r="N28" s="2747">
        <f t="shared" ca="1" si="3"/>
        <v>0</v>
      </c>
      <c r="O28" s="2747">
        <f t="shared" ca="1" si="3"/>
        <v>0</v>
      </c>
      <c r="P28" s="2747">
        <f t="shared" ca="1" si="3"/>
        <v>0</v>
      </c>
      <c r="Q28" s="2747">
        <f t="shared" ca="1" si="3"/>
        <v>0</v>
      </c>
      <c r="R28" s="2747">
        <f t="shared" ca="1" si="3"/>
        <v>0</v>
      </c>
      <c r="S28" s="2747">
        <f t="shared" ca="1" si="3"/>
        <v>0</v>
      </c>
    </row>
    <row r="29" spans="1:19" s="561" customFormat="1" ht="13.5" customHeight="1" thickBot="1">
      <c r="B29" s="1072"/>
    </row>
    <row r="30" spans="1:19" s="554" customFormat="1" ht="16.149999999999999" customHeight="1" thickBot="1">
      <c r="A30" s="287"/>
      <c r="B30" s="1072"/>
      <c r="O30" s="1073"/>
      <c r="P30" s="1074"/>
      <c r="Q30" s="1074"/>
      <c r="R30" s="1086" t="str">
        <f>CONCATENATE("Cobros de ventas pendintes para el año ",Q18," (sin ",'Dados Básicos'!$A$28,")")</f>
        <v>Cobros de ventas pendintes para el año 2030 (sin IVA)</v>
      </c>
      <c r="S30" s="1075">
        <f ca="1">SUM(N28:S28)</f>
        <v>0</v>
      </c>
    </row>
    <row r="31" spans="1:19" s="554" customFormat="1" ht="16.149999999999999" customHeight="1" thickBot="1">
      <c r="A31" s="287"/>
      <c r="B31" s="1072"/>
      <c r="O31" s="1073"/>
      <c r="P31" s="1074"/>
      <c r="Q31" s="1074"/>
      <c r="R31" s="1087" t="str">
        <f>'Receitas e pagamentos 0'!R31</f>
        <v xml:space="preserve">Impagados produzidos ao longo do ano </v>
      </c>
      <c r="S31" s="1076">
        <f ca="1">-SUM(B27:M27)</f>
        <v>0</v>
      </c>
    </row>
    <row r="32" spans="1:19" s="334" customFormat="1" ht="22.5">
      <c r="A32" s="334" t="str">
        <f>'Receitas e pagamentos 0'!A32</f>
        <v>Compras e Custos variáveis (IVA incl.)</v>
      </c>
      <c r="B32" s="172"/>
      <c r="G32" s="172"/>
      <c r="H32" s="172"/>
    </row>
    <row r="33" spans="1:19" ht="7.5" customHeight="1" thickBot="1">
      <c r="P33" s="561"/>
    </row>
    <row r="34" spans="1:19" ht="15.75" thickBot="1">
      <c r="A34" s="174" t="str">
        <f>'Receitas e pagamentos 0'!A34</f>
        <v>Compras do periodo</v>
      </c>
      <c r="B34" s="2743" t="str">
        <f t="array" ref="B34:M34">meses</f>
        <v>janeiro</v>
      </c>
      <c r="C34" s="2743" t="str">
        <v>fevereiro</v>
      </c>
      <c r="D34" s="2743" t="str">
        <v>março</v>
      </c>
      <c r="E34" s="2743" t="str">
        <v>abril</v>
      </c>
      <c r="F34" s="2743" t="str">
        <v>maio</v>
      </c>
      <c r="G34" s="2743" t="str">
        <v>junho</v>
      </c>
      <c r="H34" s="2743" t="str">
        <v>julho</v>
      </c>
      <c r="I34" s="2743" t="str">
        <v>agosto</v>
      </c>
      <c r="J34" s="2743" t="str">
        <v>setembro</v>
      </c>
      <c r="K34" s="2743" t="str">
        <v>outubro</v>
      </c>
      <c r="L34" s="2743" t="str">
        <v>novembro</v>
      </c>
      <c r="M34" s="2743" t="str">
        <v>dezembro</v>
      </c>
      <c r="N34" s="2744" t="s">
        <v>3</v>
      </c>
      <c r="O34" s="561"/>
    </row>
    <row r="35" spans="1:19" ht="14.25">
      <c r="A35" s="2120" t="str">
        <f t="array" ref="A35:A42">productos</f>
        <v>produto 1</v>
      </c>
      <c r="B35" s="1065">
        <f t="array" aca="1" ref="B35:M42" ca="1">'Distr CV 3'!B46:M53+'Distr CV 3'!B59:M66</f>
        <v>204.17407304139999</v>
      </c>
      <c r="C35" s="1065">
        <f ca="1"/>
        <v>204.17407304139999</v>
      </c>
      <c r="D35" s="1065">
        <f ca="1"/>
        <v>204.17407304139999</v>
      </c>
      <c r="E35" s="1065">
        <f ca="1"/>
        <v>204.17407304139999</v>
      </c>
      <c r="F35" s="1065">
        <f ca="1"/>
        <v>204.17407304139999</v>
      </c>
      <c r="G35" s="1065">
        <f ca="1"/>
        <v>204.17407304139999</v>
      </c>
      <c r="H35" s="1065">
        <f ca="1"/>
        <v>204.17407304139999</v>
      </c>
      <c r="I35" s="1065">
        <f ca="1"/>
        <v>204.17407304139999</v>
      </c>
      <c r="J35" s="1065">
        <f ca="1"/>
        <v>204.17407304139999</v>
      </c>
      <c r="K35" s="1065">
        <f ca="1"/>
        <v>204.17407304139999</v>
      </c>
      <c r="L35" s="1065">
        <f ca="1"/>
        <v>204.17407304139999</v>
      </c>
      <c r="M35" s="1065">
        <f ca="1"/>
        <v>204.17407304139999</v>
      </c>
      <c r="N35" s="2121">
        <f t="shared" ref="N35:N42" ca="1" si="4">SUM(B35:M35)</f>
        <v>2450.0888764967995</v>
      </c>
      <c r="O35" s="561"/>
    </row>
    <row r="36" spans="1:19" ht="14.25">
      <c r="A36" s="2122" t="str">
        <v/>
      </c>
      <c r="B36" s="1065">
        <f ca="1"/>
        <v>0</v>
      </c>
      <c r="C36" s="1065">
        <f ca="1"/>
        <v>0</v>
      </c>
      <c r="D36" s="1065">
        <f ca="1"/>
        <v>0</v>
      </c>
      <c r="E36" s="1065">
        <f ca="1"/>
        <v>0</v>
      </c>
      <c r="F36" s="1065">
        <f ca="1"/>
        <v>0</v>
      </c>
      <c r="G36" s="1065">
        <f ca="1"/>
        <v>0</v>
      </c>
      <c r="H36" s="1065">
        <f ca="1"/>
        <v>0</v>
      </c>
      <c r="I36" s="1065">
        <f ca="1"/>
        <v>0</v>
      </c>
      <c r="J36" s="1065">
        <f ca="1"/>
        <v>0</v>
      </c>
      <c r="K36" s="1065">
        <f ca="1"/>
        <v>0</v>
      </c>
      <c r="L36" s="1065">
        <f ca="1"/>
        <v>0</v>
      </c>
      <c r="M36" s="1065">
        <f ca="1"/>
        <v>0</v>
      </c>
      <c r="N36" s="2121">
        <f t="shared" ca="1" si="4"/>
        <v>0</v>
      </c>
      <c r="O36" s="561"/>
    </row>
    <row r="37" spans="1:19" ht="14.25">
      <c r="A37" s="2122" t="str">
        <v/>
      </c>
      <c r="B37" s="1065">
        <f ca="1"/>
        <v>0</v>
      </c>
      <c r="C37" s="1065">
        <f ca="1"/>
        <v>0</v>
      </c>
      <c r="D37" s="1065">
        <f ca="1"/>
        <v>0</v>
      </c>
      <c r="E37" s="1065">
        <f ca="1"/>
        <v>0</v>
      </c>
      <c r="F37" s="1065">
        <f ca="1"/>
        <v>0</v>
      </c>
      <c r="G37" s="1065">
        <f ca="1"/>
        <v>0</v>
      </c>
      <c r="H37" s="1065">
        <f ca="1"/>
        <v>0</v>
      </c>
      <c r="I37" s="1065">
        <f ca="1"/>
        <v>0</v>
      </c>
      <c r="J37" s="1065">
        <f ca="1"/>
        <v>0</v>
      </c>
      <c r="K37" s="1065">
        <f ca="1"/>
        <v>0</v>
      </c>
      <c r="L37" s="1065">
        <f ca="1"/>
        <v>0</v>
      </c>
      <c r="M37" s="1065">
        <f ca="1"/>
        <v>0</v>
      </c>
      <c r="N37" s="2121">
        <f t="shared" ca="1" si="4"/>
        <v>0</v>
      </c>
      <c r="O37" s="561"/>
    </row>
    <row r="38" spans="1:19" ht="14.25">
      <c r="A38" s="2122" t="str">
        <v/>
      </c>
      <c r="B38" s="1065">
        <f ca="1"/>
        <v>0</v>
      </c>
      <c r="C38" s="1065">
        <f ca="1"/>
        <v>0</v>
      </c>
      <c r="D38" s="1065">
        <f ca="1"/>
        <v>0</v>
      </c>
      <c r="E38" s="1065">
        <f ca="1"/>
        <v>0</v>
      </c>
      <c r="F38" s="1065">
        <f ca="1"/>
        <v>0</v>
      </c>
      <c r="G38" s="1065">
        <f ca="1"/>
        <v>0</v>
      </c>
      <c r="H38" s="1065">
        <f ca="1"/>
        <v>0</v>
      </c>
      <c r="I38" s="1065">
        <f ca="1"/>
        <v>0</v>
      </c>
      <c r="J38" s="1065">
        <f ca="1"/>
        <v>0</v>
      </c>
      <c r="K38" s="1065">
        <f ca="1"/>
        <v>0</v>
      </c>
      <c r="L38" s="1065">
        <f ca="1"/>
        <v>0</v>
      </c>
      <c r="M38" s="1065">
        <f ca="1"/>
        <v>0</v>
      </c>
      <c r="N38" s="2121">
        <f t="shared" ca="1" si="4"/>
        <v>0</v>
      </c>
      <c r="O38" s="561"/>
    </row>
    <row r="39" spans="1:19" ht="14.25">
      <c r="A39" s="2122" t="str">
        <v/>
      </c>
      <c r="B39" s="1065">
        <f ca="1"/>
        <v>0</v>
      </c>
      <c r="C39" s="1065">
        <f ca="1"/>
        <v>0</v>
      </c>
      <c r="D39" s="1065">
        <f ca="1"/>
        <v>0</v>
      </c>
      <c r="E39" s="1065">
        <f ca="1"/>
        <v>0</v>
      </c>
      <c r="F39" s="1065">
        <f ca="1"/>
        <v>0</v>
      </c>
      <c r="G39" s="1065">
        <f ca="1"/>
        <v>0</v>
      </c>
      <c r="H39" s="1065">
        <f ca="1"/>
        <v>0</v>
      </c>
      <c r="I39" s="1065">
        <f ca="1"/>
        <v>0</v>
      </c>
      <c r="J39" s="1065">
        <f ca="1"/>
        <v>0</v>
      </c>
      <c r="K39" s="1065">
        <f ca="1"/>
        <v>0</v>
      </c>
      <c r="L39" s="1065">
        <f ca="1"/>
        <v>0</v>
      </c>
      <c r="M39" s="1065">
        <f ca="1"/>
        <v>0</v>
      </c>
      <c r="N39" s="2121">
        <f t="shared" ca="1" si="4"/>
        <v>0</v>
      </c>
      <c r="O39" s="561"/>
    </row>
    <row r="40" spans="1:19" ht="14.25">
      <c r="A40" s="2122" t="str">
        <v/>
      </c>
      <c r="B40" s="1065">
        <f ca="1"/>
        <v>0</v>
      </c>
      <c r="C40" s="1065">
        <f ca="1"/>
        <v>0</v>
      </c>
      <c r="D40" s="1065">
        <f ca="1"/>
        <v>0</v>
      </c>
      <c r="E40" s="1065">
        <f ca="1"/>
        <v>0</v>
      </c>
      <c r="F40" s="1065">
        <f ca="1"/>
        <v>0</v>
      </c>
      <c r="G40" s="1065">
        <f ca="1"/>
        <v>0</v>
      </c>
      <c r="H40" s="1065">
        <f ca="1"/>
        <v>0</v>
      </c>
      <c r="I40" s="1065">
        <f ca="1"/>
        <v>0</v>
      </c>
      <c r="J40" s="1065">
        <f ca="1"/>
        <v>0</v>
      </c>
      <c r="K40" s="1065">
        <f ca="1"/>
        <v>0</v>
      </c>
      <c r="L40" s="1065">
        <f ca="1"/>
        <v>0</v>
      </c>
      <c r="M40" s="1065">
        <f ca="1"/>
        <v>0</v>
      </c>
      <c r="N40" s="2121">
        <f t="shared" ca="1" si="4"/>
        <v>0</v>
      </c>
      <c r="O40" s="561"/>
    </row>
    <row r="41" spans="1:19" ht="14.25">
      <c r="A41" s="2122" t="str">
        <v/>
      </c>
      <c r="B41" s="1065">
        <f ca="1"/>
        <v>0</v>
      </c>
      <c r="C41" s="1065">
        <f ca="1"/>
        <v>0</v>
      </c>
      <c r="D41" s="1065">
        <f ca="1"/>
        <v>0</v>
      </c>
      <c r="E41" s="1065">
        <f ca="1"/>
        <v>0</v>
      </c>
      <c r="F41" s="1065">
        <f ca="1"/>
        <v>0</v>
      </c>
      <c r="G41" s="1065">
        <f ca="1"/>
        <v>0</v>
      </c>
      <c r="H41" s="1065">
        <f ca="1"/>
        <v>0</v>
      </c>
      <c r="I41" s="1065">
        <f ca="1"/>
        <v>0</v>
      </c>
      <c r="J41" s="1065">
        <f ca="1"/>
        <v>0</v>
      </c>
      <c r="K41" s="1065">
        <f ca="1"/>
        <v>0</v>
      </c>
      <c r="L41" s="1065">
        <f ca="1"/>
        <v>0</v>
      </c>
      <c r="M41" s="1065">
        <f ca="1"/>
        <v>0</v>
      </c>
      <c r="N41" s="2121">
        <f t="shared" ca="1" si="4"/>
        <v>0</v>
      </c>
      <c r="O41" s="561"/>
    </row>
    <row r="42" spans="1:19" ht="15" thickBot="1">
      <c r="A42" s="2123" t="str">
        <v/>
      </c>
      <c r="B42" s="1066">
        <f ca="1"/>
        <v>0</v>
      </c>
      <c r="C42" s="1066">
        <f ca="1"/>
        <v>0</v>
      </c>
      <c r="D42" s="1066">
        <f ca="1"/>
        <v>0</v>
      </c>
      <c r="E42" s="1066">
        <f ca="1"/>
        <v>0</v>
      </c>
      <c r="F42" s="1066">
        <f ca="1"/>
        <v>0</v>
      </c>
      <c r="G42" s="1066">
        <f ca="1"/>
        <v>0</v>
      </c>
      <c r="H42" s="1066">
        <f ca="1"/>
        <v>0</v>
      </c>
      <c r="I42" s="1066">
        <f ca="1"/>
        <v>0</v>
      </c>
      <c r="J42" s="1066">
        <f ca="1"/>
        <v>0</v>
      </c>
      <c r="K42" s="1066">
        <f ca="1"/>
        <v>0</v>
      </c>
      <c r="L42" s="1066">
        <f ca="1"/>
        <v>0</v>
      </c>
      <c r="M42" s="1066">
        <f ca="1"/>
        <v>0</v>
      </c>
      <c r="N42" s="2121">
        <f t="shared" ca="1" si="4"/>
        <v>0</v>
      </c>
      <c r="O42" s="561"/>
    </row>
    <row r="43" spans="1:19" ht="15.75" thickBot="1">
      <c r="A43" s="174" t="s">
        <v>3</v>
      </c>
      <c r="B43" s="2748">
        <f t="shared" ref="B43:N43" ca="1" si="5">SUM(B35:B42)</f>
        <v>204.17407304139999</v>
      </c>
      <c r="C43" s="2748">
        <f t="shared" ca="1" si="5"/>
        <v>204.17407304139999</v>
      </c>
      <c r="D43" s="2748">
        <f t="shared" ca="1" si="5"/>
        <v>204.17407304139999</v>
      </c>
      <c r="E43" s="2748">
        <f t="shared" ca="1" si="5"/>
        <v>204.17407304139999</v>
      </c>
      <c r="F43" s="2748">
        <f t="shared" ca="1" si="5"/>
        <v>204.17407304139999</v>
      </c>
      <c r="G43" s="2748">
        <f t="shared" ca="1" si="5"/>
        <v>204.17407304139999</v>
      </c>
      <c r="H43" s="2748">
        <f t="shared" ca="1" si="5"/>
        <v>204.17407304139999</v>
      </c>
      <c r="I43" s="2748">
        <f t="shared" ca="1" si="5"/>
        <v>204.17407304139999</v>
      </c>
      <c r="J43" s="2748">
        <f t="shared" ca="1" si="5"/>
        <v>204.17407304139999</v>
      </c>
      <c r="K43" s="2748">
        <f t="shared" ca="1" si="5"/>
        <v>204.17407304139999</v>
      </c>
      <c r="L43" s="2748">
        <f t="shared" ca="1" si="5"/>
        <v>204.17407304139999</v>
      </c>
      <c r="M43" s="2748">
        <f t="shared" ca="1" si="5"/>
        <v>204.17407304139999</v>
      </c>
      <c r="N43" s="2748">
        <f t="shared" ca="1" si="5"/>
        <v>2450.0888764967995</v>
      </c>
      <c r="O43" s="561"/>
    </row>
    <row r="44" spans="1:19">
      <c r="C44" s="561"/>
      <c r="D44" s="561"/>
      <c r="E44" s="561"/>
      <c r="F44" s="561"/>
      <c r="G44" s="561"/>
      <c r="H44" s="561"/>
      <c r="I44" s="561"/>
      <c r="J44" s="561"/>
      <c r="K44" s="561"/>
      <c r="L44" s="561"/>
      <c r="M44" s="561"/>
      <c r="N44" s="561"/>
      <c r="O44" s="561"/>
      <c r="P44" s="561"/>
    </row>
    <row r="45" spans="1:19" s="334" customFormat="1" ht="22.5">
      <c r="A45" s="334" t="str">
        <f>'Receitas e pagamentos 0'!A45</f>
        <v>Pagamentos de compras e gastos variáveis (IVA incl.)</v>
      </c>
      <c r="B45" s="172"/>
      <c r="G45" s="172"/>
      <c r="H45" s="172"/>
    </row>
    <row r="46" spans="1:19" ht="15" thickBot="1">
      <c r="A46" s="561"/>
      <c r="B46" s="1064"/>
      <c r="C46" s="561"/>
      <c r="D46" s="561"/>
      <c r="E46" s="561"/>
      <c r="F46" s="561"/>
      <c r="G46" s="561"/>
      <c r="H46" s="561"/>
      <c r="I46" s="561"/>
      <c r="J46" s="561"/>
      <c r="K46" s="561"/>
      <c r="L46" s="561"/>
      <c r="M46" s="561"/>
      <c r="N46" s="561"/>
      <c r="O46" s="561"/>
      <c r="P46" s="1067" t="str">
        <f>P18</f>
        <v>Pendente para o ano seguinte:</v>
      </c>
      <c r="Q46" s="1080" t="str">
        <f>Q18</f>
        <v>2030</v>
      </c>
    </row>
    <row r="47" spans="1:19" ht="27.75" customHeight="1" thickBot="1">
      <c r="A47" s="174" t="str">
        <f t="array" ref="A47:A54">'Receitas e pagamentos 0'!A47:A54</f>
        <v>Plazos de pago</v>
      </c>
      <c r="B47" s="2118" t="str">
        <f t="array" ref="B47:S47">B$19:S$19</f>
        <v>janeiro 
2029</v>
      </c>
      <c r="C47" s="2118" t="str">
        <v>fevereiro 
2029</v>
      </c>
      <c r="D47" s="2118" t="str">
        <v>março 
2029</v>
      </c>
      <c r="E47" s="2118" t="str">
        <v>abril 
2029</v>
      </c>
      <c r="F47" s="2118" t="str">
        <v>maio 
2029</v>
      </c>
      <c r="G47" s="2118" t="str">
        <v>junho 
2029</v>
      </c>
      <c r="H47" s="2118" t="str">
        <v>julho 
2029</v>
      </c>
      <c r="I47" s="2118" t="str">
        <v>agosto 
2029</v>
      </c>
      <c r="J47" s="2118" t="str">
        <v>setembro 
2029</v>
      </c>
      <c r="K47" s="2118" t="str">
        <v>outubro 
2029</v>
      </c>
      <c r="L47" s="2118" t="str">
        <v>novembro 
2029</v>
      </c>
      <c r="M47" s="2118" t="str">
        <v>dezembro 
2029</v>
      </c>
      <c r="N47" s="2118" t="str">
        <v>janeiro 
2030</v>
      </c>
      <c r="O47" s="2118" t="str">
        <v>fevereiro 
2030</v>
      </c>
      <c r="P47" s="2118" t="str">
        <v>março 
2030</v>
      </c>
      <c r="Q47" s="2118" t="str">
        <v>abril 
2030</v>
      </c>
      <c r="R47" s="2118" t="str">
        <v>maio 
2030</v>
      </c>
      <c r="S47" s="2118" t="str">
        <v>junho 
2030</v>
      </c>
    </row>
    <row r="48" spans="1:19" ht="14.25">
      <c r="A48" s="2119" t="str">
        <v>Contado</v>
      </c>
      <c r="B48" s="1065">
        <f t="array" aca="1" ref="B48" ca="1">SUM('Pol. Cobranças e Pagamentos'!$B$88:$B$95*B$35:B$42)</f>
        <v>204.17407304139999</v>
      </c>
      <c r="C48" s="1065">
        <f t="array" aca="1" ref="C48" ca="1">SUM('Pol. Cobranças e Pagamentos'!$B$88:$B$95*C$35:C$42)</f>
        <v>204.17407304139999</v>
      </c>
      <c r="D48" s="1065">
        <f t="array" aca="1" ref="D48" ca="1">SUM('Pol. Cobranças e Pagamentos'!$B$88:$B$95*D$35:D$42)</f>
        <v>204.17407304139999</v>
      </c>
      <c r="E48" s="1065">
        <f t="array" aca="1" ref="E48" ca="1">SUM('Pol. Cobranças e Pagamentos'!$B$88:$B$95*E$35:E$42)</f>
        <v>204.17407304139999</v>
      </c>
      <c r="F48" s="1065">
        <f t="array" aca="1" ref="F48" ca="1">SUM('Pol. Cobranças e Pagamentos'!$B$88:$B$95*F$35:F$42)</f>
        <v>204.17407304139999</v>
      </c>
      <c r="G48" s="1065">
        <f t="array" aca="1" ref="G48" ca="1">SUM('Pol. Cobranças e Pagamentos'!$B$88:$B$95*G$35:G$42)</f>
        <v>204.17407304139999</v>
      </c>
      <c r="H48" s="1065">
        <f t="array" aca="1" ref="H48" ca="1">SUM('Pol. Cobranças e Pagamentos'!$B$88:$B$95*H$35:H$42)</f>
        <v>204.17407304139999</v>
      </c>
      <c r="I48" s="1065">
        <f t="array" aca="1" ref="I48" ca="1">SUM('Pol. Cobranças e Pagamentos'!$B$88:$B$95*I$35:I$42)</f>
        <v>204.17407304139999</v>
      </c>
      <c r="J48" s="1065">
        <f t="array" aca="1" ref="J48" ca="1">SUM('Pol. Cobranças e Pagamentos'!$B$88:$B$95*J$35:J$42)</f>
        <v>204.17407304139999</v>
      </c>
      <c r="K48" s="1065">
        <f t="array" aca="1" ref="K48" ca="1">SUM('Pol. Cobranças e Pagamentos'!$B$88:$B$95*K$35:K$42)</f>
        <v>204.17407304139999</v>
      </c>
      <c r="L48" s="1065">
        <f t="array" aca="1" ref="L48" ca="1">SUM('Pol. Cobranças e Pagamentos'!$B$88:$B$95*L$35:L$42)</f>
        <v>204.17407304139999</v>
      </c>
      <c r="M48" s="1065">
        <f t="array" aca="1" ref="M48" ca="1">SUM('Pol. Cobranças e Pagamentos'!$B$88:$B$95*M$35:M$42)</f>
        <v>204.17407304139999</v>
      </c>
      <c r="N48" s="1065"/>
      <c r="O48" s="1065"/>
      <c r="P48" s="1065"/>
      <c r="Q48" s="1065"/>
      <c r="R48" s="1065"/>
      <c r="S48" s="1065"/>
    </row>
    <row r="49" spans="1:19" ht="14.25">
      <c r="A49" s="2846">
        <v>30</v>
      </c>
      <c r="B49" s="1077">
        <f t="array" aca="1" ref="B49:B54" ca="1">'Receitas e pagamentos 2'!N49:N54</f>
        <v>0</v>
      </c>
      <c r="C49" s="1065">
        <f t="array" aca="1" ref="C49" ca="1">SUM('Pol. Cobranças e Pagamentos'!$C$88:$C$95*B$35:B$42)</f>
        <v>0</v>
      </c>
      <c r="D49" s="1065">
        <f t="array" aca="1" ref="D49" ca="1">SUM('Pol. Cobranças e Pagamentos'!$C$88:$C$95*C$35:C$42)</f>
        <v>0</v>
      </c>
      <c r="E49" s="1065">
        <f t="array" aca="1" ref="E49" ca="1">SUM('Pol. Cobranças e Pagamentos'!$C$88:$C$95*D$35:D$42)</f>
        <v>0</v>
      </c>
      <c r="F49" s="1065">
        <f t="array" aca="1" ref="F49" ca="1">SUM('Pol. Cobranças e Pagamentos'!$C$88:$C$95*E$35:E$42)</f>
        <v>0</v>
      </c>
      <c r="G49" s="1065">
        <f t="array" aca="1" ref="G49" ca="1">SUM('Pol. Cobranças e Pagamentos'!$C$88:$C$95*F$35:F$42)</f>
        <v>0</v>
      </c>
      <c r="H49" s="1065">
        <f t="array" aca="1" ref="H49" ca="1">SUM('Pol. Cobranças e Pagamentos'!$C$88:$C$95*G$35:G$42)</f>
        <v>0</v>
      </c>
      <c r="I49" s="1065">
        <f t="array" aca="1" ref="I49" ca="1">SUM('Pol. Cobranças e Pagamentos'!$C$88:$C$95*H$35:H$42)</f>
        <v>0</v>
      </c>
      <c r="J49" s="1065">
        <f t="array" aca="1" ref="J49" ca="1">SUM('Pol. Cobranças e Pagamentos'!$C$88:$C$95*I$35:I$42)</f>
        <v>0</v>
      </c>
      <c r="K49" s="1065">
        <f t="array" aca="1" ref="K49" ca="1">SUM('Pol. Cobranças e Pagamentos'!$C$88:$C$95*J$35:J$42)</f>
        <v>0</v>
      </c>
      <c r="L49" s="1065">
        <f t="array" aca="1" ref="L49" ca="1">SUM('Pol. Cobranças e Pagamentos'!$C$88:$C$95*K$35:K$42)</f>
        <v>0</v>
      </c>
      <c r="M49" s="1065">
        <f t="array" aca="1" ref="M49" ca="1">SUM('Pol. Cobranças e Pagamentos'!$C$88:$C$95*L$35:L$42)</f>
        <v>0</v>
      </c>
      <c r="N49" s="1065">
        <f t="array" aca="1" ref="N49" ca="1">SUM('Pol. Cobranças e Pagamentos'!$C$88:$C$95*M$35:M$42)</f>
        <v>0</v>
      </c>
      <c r="O49" s="1065"/>
      <c r="P49" s="1065"/>
      <c r="Q49" s="1065"/>
      <c r="R49" s="1065"/>
      <c r="S49" s="1065"/>
    </row>
    <row r="50" spans="1:19" ht="14.25">
      <c r="A50" s="2846">
        <v>60</v>
      </c>
      <c r="B50" s="1077">
        <f ca="1"/>
        <v>0</v>
      </c>
      <c r="C50" s="1077">
        <f t="array" aca="1" ref="C50:C54" ca="1">'Receitas e pagamentos 2'!O50:O54</f>
        <v>0</v>
      </c>
      <c r="D50" s="1065">
        <f t="array" aca="1" ref="D50" ca="1">SUM('Pol. Cobranças e Pagamentos'!$D$88:$D$95*B$35:B$42)</f>
        <v>0</v>
      </c>
      <c r="E50" s="1065">
        <f t="array" aca="1" ref="E50" ca="1">SUM('Pol. Cobranças e Pagamentos'!$D$88:$D$95*C$35:C$42)</f>
        <v>0</v>
      </c>
      <c r="F50" s="1065">
        <f t="array" aca="1" ref="F50" ca="1">SUM('Pol. Cobranças e Pagamentos'!$D$88:$D$95*D$35:D$42)</f>
        <v>0</v>
      </c>
      <c r="G50" s="1065">
        <f t="array" aca="1" ref="G50" ca="1">SUM('Pol. Cobranças e Pagamentos'!$D$88:$D$95*E$35:E$42)</f>
        <v>0</v>
      </c>
      <c r="H50" s="1065">
        <f t="array" aca="1" ref="H50" ca="1">SUM('Pol. Cobranças e Pagamentos'!$D$88:$D$95*F$35:F$42)</f>
        <v>0</v>
      </c>
      <c r="I50" s="1065">
        <f t="array" aca="1" ref="I50" ca="1">SUM('Pol. Cobranças e Pagamentos'!$D$88:$D$95*G$35:G$42)</f>
        <v>0</v>
      </c>
      <c r="J50" s="1065">
        <f t="array" aca="1" ref="J50" ca="1">SUM('Pol. Cobranças e Pagamentos'!$D$88:$D$95*H$35:H$42)</f>
        <v>0</v>
      </c>
      <c r="K50" s="1065">
        <f t="array" aca="1" ref="K50" ca="1">SUM('Pol. Cobranças e Pagamentos'!$D$88:$D$95*I$35:I$42)</f>
        <v>0</v>
      </c>
      <c r="L50" s="1065">
        <f t="array" aca="1" ref="L50" ca="1">SUM('Pol. Cobranças e Pagamentos'!$D$88:$D$95*J$35:J$42)</f>
        <v>0</v>
      </c>
      <c r="M50" s="1065">
        <f t="array" aca="1" ref="M50" ca="1">SUM('Pol. Cobranças e Pagamentos'!$D$88:$D$95*K$35:K$42)</f>
        <v>0</v>
      </c>
      <c r="N50" s="1065">
        <f t="array" aca="1" ref="N50" ca="1">SUM('Pol. Cobranças e Pagamentos'!$D$88:$D$95*L$35:L$42)</f>
        <v>0</v>
      </c>
      <c r="O50" s="1065">
        <f t="array" aca="1" ref="O50" ca="1">SUM('Pol. Cobranças e Pagamentos'!$D$88:$D$95*M$35:M$42)</f>
        <v>0</v>
      </c>
      <c r="P50" s="1065"/>
      <c r="Q50" s="1065"/>
      <c r="R50" s="1065"/>
      <c r="S50" s="1065"/>
    </row>
    <row r="51" spans="1:19" ht="14.25">
      <c r="A51" s="2846">
        <v>90</v>
      </c>
      <c r="B51" s="1077">
        <f ca="1"/>
        <v>0</v>
      </c>
      <c r="C51" s="1077">
        <f ca="1"/>
        <v>0</v>
      </c>
      <c r="D51" s="1077">
        <f t="array" aca="1" ref="D51:D54" ca="1">'Receitas e pagamentos 2'!P51:P54</f>
        <v>0</v>
      </c>
      <c r="E51" s="1065">
        <f t="array" aca="1" ref="E51" ca="1">SUM('Pol. Cobranças e Pagamentos'!$E$88:$E$95*B$35:B$42)</f>
        <v>0</v>
      </c>
      <c r="F51" s="1065">
        <f t="array" aca="1" ref="F51" ca="1">SUM('Pol. Cobranças e Pagamentos'!$E$88:$E$95*C$35:C$42)</f>
        <v>0</v>
      </c>
      <c r="G51" s="1065">
        <f t="array" aca="1" ref="G51" ca="1">SUM('Pol. Cobranças e Pagamentos'!$E$88:$E$95*D$35:D$42)</f>
        <v>0</v>
      </c>
      <c r="H51" s="1065">
        <f t="array" aca="1" ref="H51" ca="1">SUM('Pol. Cobranças e Pagamentos'!$E$88:$E$95*E$35:E$42)</f>
        <v>0</v>
      </c>
      <c r="I51" s="1065">
        <f t="array" aca="1" ref="I51" ca="1">SUM('Pol. Cobranças e Pagamentos'!$E$88:$E$95*F$35:F$42)</f>
        <v>0</v>
      </c>
      <c r="J51" s="1065">
        <f t="array" aca="1" ref="J51" ca="1">SUM('Pol. Cobranças e Pagamentos'!$E$88:$E$95*G$35:G$42)</f>
        <v>0</v>
      </c>
      <c r="K51" s="1065">
        <f t="array" aca="1" ref="K51" ca="1">SUM('Pol. Cobranças e Pagamentos'!$E$88:$E$95*H$35:H$42)</f>
        <v>0</v>
      </c>
      <c r="L51" s="1065">
        <f t="array" aca="1" ref="L51" ca="1">SUM('Pol. Cobranças e Pagamentos'!$E$88:$E$95*I$35:I$42)</f>
        <v>0</v>
      </c>
      <c r="M51" s="1065">
        <f t="array" aca="1" ref="M51" ca="1">SUM('Pol. Cobranças e Pagamentos'!$E$88:$E$95*J$35:J$42)</f>
        <v>0</v>
      </c>
      <c r="N51" s="1065">
        <f t="array" aca="1" ref="N51" ca="1">SUM('Pol. Cobranças e Pagamentos'!$E$88:$E$95*K$35:K$42)</f>
        <v>0</v>
      </c>
      <c r="O51" s="1065">
        <f t="array" aca="1" ref="O51" ca="1">SUM('Pol. Cobranças e Pagamentos'!$E$88:$E$95*L$35:L$42)</f>
        <v>0</v>
      </c>
      <c r="P51" s="1065">
        <f t="array" aca="1" ref="P51" ca="1">SUM('Pol. Cobranças e Pagamentos'!$E$88:$E$95*M$35:M$42)</f>
        <v>0</v>
      </c>
      <c r="Q51" s="1065"/>
      <c r="R51" s="1065"/>
      <c r="S51" s="1065"/>
    </row>
    <row r="52" spans="1:19" ht="14.25">
      <c r="A52" s="2846">
        <v>120</v>
      </c>
      <c r="B52" s="1077">
        <f ca="1"/>
        <v>0</v>
      </c>
      <c r="C52" s="1077">
        <f ca="1"/>
        <v>0</v>
      </c>
      <c r="D52" s="1077">
        <f ca="1"/>
        <v>0</v>
      </c>
      <c r="E52" s="1077">
        <f t="array" aca="1" ref="E52:E54" ca="1">'Receitas e pagamentos 2'!Q52:Q54</f>
        <v>0</v>
      </c>
      <c r="F52" s="1065">
        <f t="array" aca="1" ref="F52" ca="1">SUM('Pol. Cobranças e Pagamentos'!$F$88:$F$95*B$35:B$42)</f>
        <v>0</v>
      </c>
      <c r="G52" s="1065">
        <f t="array" aca="1" ref="G52" ca="1">SUM('Pol. Cobranças e Pagamentos'!$F$88:$F$95*C$35:C$42)</f>
        <v>0</v>
      </c>
      <c r="H52" s="1065">
        <f t="array" aca="1" ref="H52" ca="1">SUM('Pol. Cobranças e Pagamentos'!$F$88:$F$95*D$35:D$42)</f>
        <v>0</v>
      </c>
      <c r="I52" s="1065">
        <f t="array" aca="1" ref="I52" ca="1">SUM('Pol. Cobranças e Pagamentos'!$F$88:$F$95*E$35:E$42)</f>
        <v>0</v>
      </c>
      <c r="J52" s="1065">
        <f t="array" aca="1" ref="J52" ca="1">SUM('Pol. Cobranças e Pagamentos'!$F$88:$F$95*F$35:F$42)</f>
        <v>0</v>
      </c>
      <c r="K52" s="1065">
        <f t="array" aca="1" ref="K52" ca="1">SUM('Pol. Cobranças e Pagamentos'!$F$88:$F$95*G$35:G$42)</f>
        <v>0</v>
      </c>
      <c r="L52" s="1065">
        <f t="array" aca="1" ref="L52" ca="1">SUM('Pol. Cobranças e Pagamentos'!$F$88:$F$95*H$35:H$42)</f>
        <v>0</v>
      </c>
      <c r="M52" s="1065">
        <f t="array" aca="1" ref="M52" ca="1">SUM('Pol. Cobranças e Pagamentos'!$F$88:$F$95*I$35:I$42)</f>
        <v>0</v>
      </c>
      <c r="N52" s="1065">
        <f t="array" aca="1" ref="N52" ca="1">SUM('Pol. Cobranças e Pagamentos'!$F$88:$F$95*J$35:J$42)</f>
        <v>0</v>
      </c>
      <c r="O52" s="1065">
        <f t="array" aca="1" ref="O52" ca="1">SUM('Pol. Cobranças e Pagamentos'!$F$88:$F$95*K$35:K$42)</f>
        <v>0</v>
      </c>
      <c r="P52" s="1065">
        <f t="array" aca="1" ref="P52" ca="1">SUM('Pol. Cobranças e Pagamentos'!$F$88:$F$95*L$35:L$42)</f>
        <v>0</v>
      </c>
      <c r="Q52" s="1065">
        <f t="array" aca="1" ref="Q52" ca="1">SUM('Pol. Cobranças e Pagamentos'!$F$88:$F$95*M$35:M$42)</f>
        <v>0</v>
      </c>
      <c r="R52" s="1065"/>
      <c r="S52" s="1065"/>
    </row>
    <row r="53" spans="1:19" ht="14.25">
      <c r="A53" s="2846">
        <v>150</v>
      </c>
      <c r="B53" s="1077">
        <f ca="1"/>
        <v>0</v>
      </c>
      <c r="C53" s="1077">
        <f ca="1"/>
        <v>0</v>
      </c>
      <c r="D53" s="1077">
        <f ca="1"/>
        <v>0</v>
      </c>
      <c r="E53" s="1077">
        <f ca="1"/>
        <v>0</v>
      </c>
      <c r="F53" s="1077">
        <f t="array" aca="1" ref="F53:F54" ca="1">'Receitas e pagamentos 2'!R53:R54</f>
        <v>0</v>
      </c>
      <c r="G53" s="1065">
        <f t="array" aca="1" ref="G53" ca="1">SUM('Pol. Cobranças e Pagamentos'!$G$88:$G$95*B$35:B$42)</f>
        <v>0</v>
      </c>
      <c r="H53" s="1065">
        <f t="array" aca="1" ref="H53" ca="1">SUM('Pol. Cobranças e Pagamentos'!$G$88:$G$95*C$35:C$42)</f>
        <v>0</v>
      </c>
      <c r="I53" s="1065">
        <f t="array" aca="1" ref="I53" ca="1">SUM('Pol. Cobranças e Pagamentos'!$G$88:$G$95*D$35:D$42)</f>
        <v>0</v>
      </c>
      <c r="J53" s="1065">
        <f t="array" aca="1" ref="J53" ca="1">SUM('Pol. Cobranças e Pagamentos'!$G$88:$G$95*E$35:E$42)</f>
        <v>0</v>
      </c>
      <c r="K53" s="1065">
        <f t="array" aca="1" ref="K53" ca="1">SUM('Pol. Cobranças e Pagamentos'!$G$88:$G$95*F$35:F$42)</f>
        <v>0</v>
      </c>
      <c r="L53" s="1065">
        <f t="array" aca="1" ref="L53" ca="1">SUM('Pol. Cobranças e Pagamentos'!$G$88:$G$95*G$35:G$42)</f>
        <v>0</v>
      </c>
      <c r="M53" s="1065">
        <f t="array" aca="1" ref="M53" ca="1">SUM('Pol. Cobranças e Pagamentos'!$G$88:$G$95*H$35:H$42)</f>
        <v>0</v>
      </c>
      <c r="N53" s="1065">
        <f t="array" aca="1" ref="N53" ca="1">SUM('Pol. Cobranças e Pagamentos'!$G$88:$G$95*I$35:I$42)</f>
        <v>0</v>
      </c>
      <c r="O53" s="1065">
        <f t="array" aca="1" ref="O53" ca="1">SUM('Pol. Cobranças e Pagamentos'!$G$88:$G$95*J$35:J$42)</f>
        <v>0</v>
      </c>
      <c r="P53" s="1065">
        <f t="array" aca="1" ref="P53" ca="1">SUM('Pol. Cobranças e Pagamentos'!$G$88:$G$95*K$35:K$42)</f>
        <v>0</v>
      </c>
      <c r="Q53" s="1065">
        <f t="array" aca="1" ref="Q53" ca="1">SUM('Pol. Cobranças e Pagamentos'!$G$88:$G$95*L$35:L$42)</f>
        <v>0</v>
      </c>
      <c r="R53" s="1065">
        <f t="array" aca="1" ref="R53" ca="1">SUM('Pol. Cobranças e Pagamentos'!$G$88:$G$95*M$35:M$42)</f>
        <v>0</v>
      </c>
      <c r="S53" s="1065"/>
    </row>
    <row r="54" spans="1:19" ht="14.25">
      <c r="A54" s="2846">
        <v>180</v>
      </c>
      <c r="B54" s="1077">
        <f ca="1"/>
        <v>0</v>
      </c>
      <c r="C54" s="1077">
        <f ca="1"/>
        <v>0</v>
      </c>
      <c r="D54" s="1077">
        <f ca="1"/>
        <v>0</v>
      </c>
      <c r="E54" s="1077">
        <f ca="1"/>
        <v>0</v>
      </c>
      <c r="F54" s="1077">
        <f ca="1"/>
        <v>0</v>
      </c>
      <c r="G54" s="1077">
        <f ca="1">'Receitas e pagamentos 2'!S54</f>
        <v>0</v>
      </c>
      <c r="H54" s="1065">
        <f t="array" aca="1" ref="H54" ca="1">SUM('Pol. Cobranças e Pagamentos'!$H$88:$H$95*B$35:B$42)</f>
        <v>0</v>
      </c>
      <c r="I54" s="1065">
        <f t="array" aca="1" ref="I54" ca="1">SUM('Pol. Cobranças e Pagamentos'!$H$88:$H$95*C$35:C$42)</f>
        <v>0</v>
      </c>
      <c r="J54" s="1065">
        <f t="array" aca="1" ref="J54" ca="1">SUM('Pol. Cobranças e Pagamentos'!$H$88:$H$95*D$35:D$42)</f>
        <v>0</v>
      </c>
      <c r="K54" s="1065">
        <f t="array" aca="1" ref="K54" ca="1">SUM('Pol. Cobranças e Pagamentos'!$H$88:$H$95*E$35:E$42)</f>
        <v>0</v>
      </c>
      <c r="L54" s="1065">
        <f t="array" aca="1" ref="L54" ca="1">SUM('Pol. Cobranças e Pagamentos'!$H$88:$H$95*F$35:F$42)</f>
        <v>0</v>
      </c>
      <c r="M54" s="1065">
        <f t="array" aca="1" ref="M54" ca="1">SUM('Pol. Cobranças e Pagamentos'!$H$88:$H$95*G$35:G$42)</f>
        <v>0</v>
      </c>
      <c r="N54" s="1065">
        <f t="array" aca="1" ref="N54" ca="1">SUM('Pol. Cobranças e Pagamentos'!$H$88:$H$95*H$35:H$42)</f>
        <v>0</v>
      </c>
      <c r="O54" s="1065">
        <f t="array" aca="1" ref="O54" ca="1">SUM('Pol. Cobranças e Pagamentos'!$H$88:$H$95*I$35:I$42)</f>
        <v>0</v>
      </c>
      <c r="P54" s="1065">
        <f t="array" aca="1" ref="P54" ca="1">SUM('Pol. Cobranças e Pagamentos'!$H$88:$H$95*J$35:J$42)</f>
        <v>0</v>
      </c>
      <c r="Q54" s="1065">
        <f t="array" aca="1" ref="Q54" ca="1">SUM('Pol. Cobranças e Pagamentos'!$H$88:$H$95*K$35:K$42)</f>
        <v>0</v>
      </c>
      <c r="R54" s="1065">
        <f t="array" aca="1" ref="R54" ca="1">SUM('Pol. Cobranças e Pagamentos'!$H$88:$H$95*L$35:L$42)</f>
        <v>0</v>
      </c>
      <c r="S54" s="1065">
        <f t="array" aca="1" ref="S54" ca="1">SUM('Pol. Cobranças e Pagamentos'!$H$88:$H$95*M$35:M$42)</f>
        <v>0</v>
      </c>
    </row>
    <row r="55" spans="1:19" ht="15" thickBot="1">
      <c r="A55" s="2749" t="s">
        <v>3</v>
      </c>
      <c r="B55" s="2750">
        <f t="shared" ref="B55:S55" ca="1" si="6">SUM(B48:B54)</f>
        <v>204.17407304139999</v>
      </c>
      <c r="C55" s="2750">
        <f t="shared" ca="1" si="6"/>
        <v>204.17407304139999</v>
      </c>
      <c r="D55" s="2750">
        <f t="shared" ca="1" si="6"/>
        <v>204.17407304139999</v>
      </c>
      <c r="E55" s="2750">
        <f t="shared" ca="1" si="6"/>
        <v>204.17407304139999</v>
      </c>
      <c r="F55" s="2750">
        <f t="shared" ca="1" si="6"/>
        <v>204.17407304139999</v>
      </c>
      <c r="G55" s="2750">
        <f t="shared" ca="1" si="6"/>
        <v>204.17407304139999</v>
      </c>
      <c r="H55" s="2750">
        <f t="shared" ca="1" si="6"/>
        <v>204.17407304139999</v>
      </c>
      <c r="I55" s="2750">
        <f t="shared" ca="1" si="6"/>
        <v>204.17407304139999</v>
      </c>
      <c r="J55" s="2750">
        <f t="shared" ca="1" si="6"/>
        <v>204.17407304139999</v>
      </c>
      <c r="K55" s="2750">
        <f t="shared" ca="1" si="6"/>
        <v>204.17407304139999</v>
      </c>
      <c r="L55" s="2750">
        <f t="shared" ca="1" si="6"/>
        <v>204.17407304139999</v>
      </c>
      <c r="M55" s="2750">
        <f t="shared" ca="1" si="6"/>
        <v>204.17407304139999</v>
      </c>
      <c r="N55" s="2750">
        <f t="shared" ca="1" si="6"/>
        <v>0</v>
      </c>
      <c r="O55" s="2750">
        <f t="shared" ca="1" si="6"/>
        <v>0</v>
      </c>
      <c r="P55" s="2750">
        <f t="shared" ca="1" si="6"/>
        <v>0</v>
      </c>
      <c r="Q55" s="2750">
        <f t="shared" ca="1" si="6"/>
        <v>0</v>
      </c>
      <c r="R55" s="2750">
        <f t="shared" ca="1" si="6"/>
        <v>0</v>
      </c>
      <c r="S55" s="2750">
        <f t="shared" ca="1" si="6"/>
        <v>0</v>
      </c>
    </row>
    <row r="56" spans="1:19" ht="13.5" thickBot="1">
      <c r="A56" s="561"/>
      <c r="B56" s="1064"/>
      <c r="C56" s="554"/>
      <c r="D56" s="554"/>
      <c r="E56" s="554"/>
      <c r="F56" s="554"/>
      <c r="G56" s="554"/>
      <c r="H56" s="554"/>
      <c r="I56" s="554"/>
      <c r="J56" s="554"/>
      <c r="K56" s="554"/>
      <c r="L56" s="554"/>
      <c r="M56" s="554"/>
      <c r="N56" s="554"/>
      <c r="O56" s="561"/>
      <c r="P56" s="554"/>
    </row>
    <row r="57" spans="1:19" ht="13.5" thickBot="1">
      <c r="N57" s="1078"/>
      <c r="O57" s="1079"/>
      <c r="P57" s="1079"/>
      <c r="Q57" s="1079"/>
      <c r="R57" s="1088" t="str">
        <f>CONCATENATE("Pagos de compras y CV pendintes para el año ",Q46," (sin ",'Dados Básicos'!A28,")")</f>
        <v>Pagos de compras y CV pendintes para el año 2030 (sin IVA)</v>
      </c>
      <c r="S57" s="1089">
        <f ca="1">SUM(N55:S55)</f>
        <v>0</v>
      </c>
    </row>
  </sheetData>
  <sheetProtection sheet="1" objects="1" scenarios="1"/>
  <phoneticPr fontId="4"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B1:K57"/>
  <sheetViews>
    <sheetView workbookViewId="0"/>
  </sheetViews>
  <sheetFormatPr baseColWidth="10" defaultColWidth="11" defaultRowHeight="15"/>
  <cols>
    <col min="1" max="1" width="11" style="36"/>
    <col min="2" max="2" width="5.875" style="36" customWidth="1"/>
    <col min="3" max="3" width="40.75" style="36" customWidth="1"/>
    <col min="4" max="4" width="19.25" style="36" customWidth="1"/>
    <col min="5" max="5" width="6.625" style="36" customWidth="1"/>
    <col min="6" max="6" width="5.75" style="36" customWidth="1"/>
    <col min="7" max="7" width="40.75" style="36" customWidth="1"/>
    <col min="8" max="8" width="19.25" style="36" customWidth="1"/>
    <col min="9" max="9" width="11" style="36"/>
    <col min="10" max="10" width="38.5" style="36" customWidth="1"/>
    <col min="11" max="11" width="13" style="36" bestFit="1" customWidth="1"/>
    <col min="12" max="12" width="12.375" style="36" customWidth="1"/>
    <col min="13" max="16384" width="11" style="36"/>
  </cols>
  <sheetData>
    <row r="1" spans="2:8" ht="25.5">
      <c r="C1" s="356" t="s">
        <v>308</v>
      </c>
      <c r="D1" s="356"/>
      <c r="E1" s="2757" t="str">
        <f>CONCATENATE("Empresa: ",'Dados Básicos'!$B$9)</f>
        <v>Empresa: WWW, S.L.</v>
      </c>
      <c r="F1" s="2757"/>
      <c r="G1" s="2757"/>
      <c r="H1" s="2757"/>
    </row>
    <row r="2" spans="2:8" ht="12" customHeight="1"/>
    <row r="3" spans="2:8" s="946" customFormat="1" ht="27">
      <c r="C3" s="945"/>
      <c r="D3" s="945"/>
      <c r="E3" s="2357" t="str">
        <f>CONCATENATE("BALANÇO  INICIAL  DO  EXERCICIO  ",Parametros!D65)</f>
        <v>BALANÇO  INICIAL  DO  EXERCICIO  2026</v>
      </c>
      <c r="F3" s="945"/>
      <c r="G3" s="945"/>
      <c r="H3" s="945"/>
    </row>
    <row r="4" spans="2:8" s="99" customFormat="1" ht="22.5">
      <c r="C4" s="1614"/>
      <c r="E4" s="1615" t="str">
        <f>CONCATENATE("a data 1 de ",TEXT(INDEX(Parametros!A61:A72,mes0,1),"[$-16]mmmm aaaa"))</f>
        <v>a data 1 de janeiro 2026</v>
      </c>
      <c r="H4" s="2455">
        <f>consolidacion</f>
        <v>0</v>
      </c>
    </row>
    <row r="6" spans="2:8" ht="15.75" thickBot="1"/>
    <row r="7" spans="2:8" ht="19.5">
      <c r="B7" s="258"/>
      <c r="C7" s="1675" t="s">
        <v>151</v>
      </c>
      <c r="D7" s="385"/>
      <c r="F7" s="258"/>
      <c r="G7" s="1676" t="s">
        <v>682</v>
      </c>
      <c r="H7" s="385"/>
    </row>
    <row r="8" spans="2:8">
      <c r="B8" s="106"/>
      <c r="D8" s="389"/>
      <c r="F8" s="106"/>
      <c r="H8" s="389"/>
    </row>
    <row r="9" spans="2:8" ht="18">
      <c r="B9" s="1660" t="s">
        <v>1108</v>
      </c>
      <c r="D9" s="1661">
        <f>SUM(D10:D19)</f>
        <v>0</v>
      </c>
      <c r="F9" s="1660" t="s">
        <v>683</v>
      </c>
      <c r="G9" s="646"/>
      <c r="H9" s="1661">
        <f>SUM(H10:H14)</f>
        <v>0</v>
      </c>
    </row>
    <row r="10" spans="2:8">
      <c r="B10" s="2278" t="s">
        <v>292</v>
      </c>
      <c r="C10" s="40" t="s">
        <v>681</v>
      </c>
      <c r="D10" s="2279">
        <v>0</v>
      </c>
      <c r="F10" s="2278" t="s">
        <v>292</v>
      </c>
      <c r="G10" s="1471" t="str">
        <f>'Balanços anuais'!A27</f>
        <v>Capital</v>
      </c>
      <c r="H10" s="2280">
        <v>0</v>
      </c>
    </row>
    <row r="11" spans="2:8">
      <c r="B11" s="2278"/>
      <c r="C11" s="2281" t="s">
        <v>161</v>
      </c>
      <c r="D11" s="2282">
        <v>0</v>
      </c>
      <c r="F11" s="2278" t="s">
        <v>293</v>
      </c>
      <c r="G11" s="36" t="s">
        <v>755</v>
      </c>
      <c r="H11" s="2283">
        <v>0</v>
      </c>
    </row>
    <row r="12" spans="2:8">
      <c r="B12" s="2278" t="s">
        <v>294</v>
      </c>
      <c r="C12" s="40" t="s">
        <v>680</v>
      </c>
      <c r="D12" s="2284">
        <v>0</v>
      </c>
      <c r="F12" s="2278" t="s">
        <v>295</v>
      </c>
      <c r="G12" s="36" t="s">
        <v>636</v>
      </c>
      <c r="H12" s="2285">
        <v>0</v>
      </c>
    </row>
    <row r="13" spans="2:8">
      <c r="B13" s="2278"/>
      <c r="C13" s="2281" t="s">
        <v>160</v>
      </c>
      <c r="D13" s="2282">
        <v>0</v>
      </c>
      <c r="F13" s="2278" t="s">
        <v>296</v>
      </c>
      <c r="G13" s="36" t="s">
        <v>637</v>
      </c>
      <c r="H13" s="2285">
        <v>0</v>
      </c>
    </row>
    <row r="14" spans="2:8">
      <c r="B14" s="2278" t="s">
        <v>297</v>
      </c>
      <c r="C14" s="40" t="s">
        <v>759</v>
      </c>
      <c r="D14" s="2286">
        <v>0</v>
      </c>
      <c r="F14" s="2278" t="s">
        <v>298</v>
      </c>
      <c r="G14" s="36" t="s">
        <v>756</v>
      </c>
      <c r="H14" s="2279">
        <v>0</v>
      </c>
    </row>
    <row r="15" spans="2:8">
      <c r="B15" s="106"/>
      <c r="D15" s="389"/>
      <c r="F15" s="2278"/>
      <c r="H15" s="2285"/>
    </row>
    <row r="16" spans="2:8" ht="18">
      <c r="B16" s="2278" t="s">
        <v>299</v>
      </c>
      <c r="C16" s="40" t="s">
        <v>758</v>
      </c>
      <c r="D16" s="2284">
        <v>0</v>
      </c>
      <c r="F16" s="1660" t="s">
        <v>638</v>
      </c>
      <c r="G16" s="646"/>
      <c r="H16" s="1661">
        <f>H17+H24</f>
        <v>0</v>
      </c>
    </row>
    <row r="17" spans="2:9" ht="18">
      <c r="B17" s="2278" t="s">
        <v>296</v>
      </c>
      <c r="C17" s="40" t="s">
        <v>1109</v>
      </c>
      <c r="D17" s="2405">
        <v>0</v>
      </c>
      <c r="F17" s="1660" t="s">
        <v>757</v>
      </c>
      <c r="G17" s="694"/>
      <c r="H17" s="1672">
        <f>SUM(H18:H22)</f>
        <v>0</v>
      </c>
    </row>
    <row r="18" spans="2:9">
      <c r="B18" s="2278" t="s">
        <v>300</v>
      </c>
      <c r="C18" s="40" t="s">
        <v>685</v>
      </c>
      <c r="D18" s="2284">
        <v>0</v>
      </c>
      <c r="F18" s="2278" t="s">
        <v>301</v>
      </c>
      <c r="G18" s="36" t="s">
        <v>689</v>
      </c>
      <c r="H18" s="2287">
        <f>H39-H25</f>
        <v>0</v>
      </c>
      <c r="I18" s="942"/>
    </row>
    <row r="19" spans="2:9">
      <c r="B19" s="2278"/>
      <c r="C19" s="40" t="s">
        <v>686</v>
      </c>
      <c r="D19" s="2289">
        <f>+'Despesas Iniciais'!B23</f>
        <v>0</v>
      </c>
      <c r="F19" s="2278" t="s">
        <v>301</v>
      </c>
      <c r="G19" s="36" t="s">
        <v>664</v>
      </c>
      <c r="H19" s="2287">
        <f>H47-H26</f>
        <v>0</v>
      </c>
      <c r="I19" s="942"/>
    </row>
    <row r="20" spans="2:9">
      <c r="B20" s="2278"/>
      <c r="C20" s="40"/>
      <c r="D20" s="2352"/>
      <c r="F20" s="2278" t="s">
        <v>302</v>
      </c>
      <c r="G20" s="36" t="s">
        <v>665</v>
      </c>
      <c r="H20" s="2280">
        <v>0</v>
      </c>
      <c r="I20" s="942"/>
    </row>
    <row r="21" spans="2:9">
      <c r="B21" s="106"/>
      <c r="D21" s="389"/>
      <c r="F21" s="2278" t="s">
        <v>297</v>
      </c>
      <c r="G21" s="36" t="s">
        <v>640</v>
      </c>
      <c r="H21" s="2285">
        <v>0</v>
      </c>
    </row>
    <row r="22" spans="2:9" ht="18">
      <c r="B22" s="1660" t="s">
        <v>1119</v>
      </c>
      <c r="D22" s="1661">
        <f>SUM(D23:D31)</f>
        <v>0</v>
      </c>
      <c r="F22" s="2278" t="s">
        <v>300</v>
      </c>
      <c r="G22" s="36" t="s">
        <v>641</v>
      </c>
      <c r="H22" s="2280">
        <v>0</v>
      </c>
    </row>
    <row r="23" spans="2:9">
      <c r="B23" s="2278" t="s">
        <v>300</v>
      </c>
      <c r="C23" s="40" t="s">
        <v>679</v>
      </c>
      <c r="D23" s="2284">
        <v>0</v>
      </c>
      <c r="F23" s="2278"/>
      <c r="H23" s="2280"/>
    </row>
    <row r="24" spans="2:9" ht="18">
      <c r="B24" s="2278" t="s">
        <v>294</v>
      </c>
      <c r="C24" s="40" t="s">
        <v>660</v>
      </c>
      <c r="D24" s="2288">
        <v>0</v>
      </c>
      <c r="F24" s="1660" t="s">
        <v>639</v>
      </c>
      <c r="G24" s="694"/>
      <c r="H24" s="1672">
        <f>SUM(H25:H32)</f>
        <v>0</v>
      </c>
    </row>
    <row r="25" spans="2:9">
      <c r="B25" s="2278" t="s">
        <v>301</v>
      </c>
      <c r="C25" s="40" t="s">
        <v>157</v>
      </c>
      <c r="D25" s="2288">
        <v>0</v>
      </c>
      <c r="F25" s="2278" t="s">
        <v>301</v>
      </c>
      <c r="G25" s="36" t="s">
        <v>690</v>
      </c>
      <c r="H25" s="2287">
        <f>'Finançamento Inicial'!B23</f>
        <v>0</v>
      </c>
    </row>
    <row r="26" spans="2:9">
      <c r="B26" s="2278" t="s">
        <v>303</v>
      </c>
      <c r="C26" s="40" t="s">
        <v>661</v>
      </c>
      <c r="D26" s="2288">
        <v>0</v>
      </c>
      <c r="F26" s="2278" t="s">
        <v>301</v>
      </c>
      <c r="G26" s="36" t="s">
        <v>666</v>
      </c>
      <c r="H26" s="2287">
        <f>'Finançamento Inicial'!B24</f>
        <v>0</v>
      </c>
    </row>
    <row r="27" spans="2:9">
      <c r="B27" s="2278" t="s">
        <v>303</v>
      </c>
      <c r="C27" s="40" t="str">
        <f>"A.T. pagamentos e retenções "&amp;'Dados Básicos'!I43</f>
        <v>A.T. pagamentos e retenções I.R.S.</v>
      </c>
      <c r="D27" s="2288">
        <v>0</v>
      </c>
      <c r="F27" s="2278" t="s">
        <v>301</v>
      </c>
      <c r="G27" s="36" t="s">
        <v>667</v>
      </c>
      <c r="H27" s="2280">
        <v>0</v>
      </c>
    </row>
    <row r="28" spans="2:9">
      <c r="B28" s="2278" t="s">
        <v>303</v>
      </c>
      <c r="C28" s="40" t="str">
        <f>"A.T. Deudora "&amp;IF(isoc=0,'Dados Básicos'!I43,'Dados Básicos'!I44)</f>
        <v>A.T. Deudora I.R.C.</v>
      </c>
      <c r="D28" s="2284">
        <v>0</v>
      </c>
      <c r="F28" s="2278" t="s">
        <v>304</v>
      </c>
      <c r="G28" s="36" t="s">
        <v>668</v>
      </c>
      <c r="H28" s="2280">
        <v>0</v>
      </c>
    </row>
    <row r="29" spans="2:9">
      <c r="B29" s="2278" t="s">
        <v>303</v>
      </c>
      <c r="C29" s="1679" t="str">
        <f>'Balanços anuais'!A21</f>
        <v>A.T. Devedora IVA</v>
      </c>
      <c r="D29" s="2284">
        <v>0</v>
      </c>
      <c r="F29" s="2278" t="s">
        <v>305</v>
      </c>
      <c r="G29" s="73" t="str">
        <f>'Balanços anuais'!A41</f>
        <v>A.T. creedora IVA</v>
      </c>
      <c r="H29" s="2280">
        <v>0</v>
      </c>
    </row>
    <row r="30" spans="2:9">
      <c r="B30" s="2278" t="s">
        <v>300</v>
      </c>
      <c r="C30" s="40" t="s">
        <v>662</v>
      </c>
      <c r="D30" s="2284">
        <v>0</v>
      </c>
      <c r="F30" s="2278" t="s">
        <v>305</v>
      </c>
      <c r="G30" s="73" t="str">
        <f>'Balanços anuais'!A42</f>
        <v>A.T. creedora I.R.C.</v>
      </c>
      <c r="H30" s="2290">
        <v>0</v>
      </c>
    </row>
    <row r="31" spans="2:9">
      <c r="B31" s="2278" t="s">
        <v>296</v>
      </c>
      <c r="C31" s="40" t="s">
        <v>663</v>
      </c>
      <c r="D31" s="2898">
        <f>H33-D9-SUM(D23:D30)</f>
        <v>0</v>
      </c>
      <c r="F31" s="2278" t="s">
        <v>305</v>
      </c>
      <c r="G31" s="36" t="s">
        <v>669</v>
      </c>
      <c r="H31" s="2280">
        <v>0</v>
      </c>
    </row>
    <row r="32" spans="2:9">
      <c r="B32" s="106"/>
      <c r="D32" s="389"/>
      <c r="F32" s="2278"/>
      <c r="H32" s="389"/>
    </row>
    <row r="33" spans="2:11" ht="18.75" thickBot="1">
      <c r="B33" s="1667"/>
      <c r="C33" s="1668" t="s">
        <v>2</v>
      </c>
      <c r="D33" s="1669">
        <f>D22+D9</f>
        <v>0</v>
      </c>
      <c r="F33" s="1667"/>
      <c r="G33" s="1674" t="s">
        <v>684</v>
      </c>
      <c r="H33" s="1669">
        <f>H16+H9</f>
        <v>0</v>
      </c>
    </row>
    <row r="34" spans="2:11">
      <c r="G34" s="2406" t="str">
        <f>IF(H34&lt;&gt;"","DESCUADRE EN BAL. PREVIO","")</f>
        <v/>
      </c>
      <c r="H34" s="943" t="str">
        <f>IF(ABS(H33-D33)&gt;0.0001,H33-D33,"")</f>
        <v/>
      </c>
    </row>
    <row r="35" spans="2:11" ht="15.75" thickBot="1"/>
    <row r="36" spans="2:11" ht="15.75" thickBot="1">
      <c r="B36" s="2374" t="s">
        <v>632</v>
      </c>
      <c r="C36" s="718"/>
      <c r="D36" s="773"/>
      <c r="F36" s="2374" t="s">
        <v>670</v>
      </c>
      <c r="G36" s="718"/>
      <c r="H36" s="773"/>
    </row>
    <row r="37" spans="2:11">
      <c r="B37" s="2076" t="s">
        <v>652</v>
      </c>
      <c r="C37" s="2353"/>
      <c r="D37" s="2392">
        <v>3</v>
      </c>
      <c r="F37" s="2377" t="s">
        <v>671</v>
      </c>
      <c r="G37" s="1145"/>
      <c r="H37" s="2380">
        <v>0</v>
      </c>
    </row>
    <row r="38" spans="2:11" ht="15.75" thickBot="1">
      <c r="B38" s="2076" t="s">
        <v>654</v>
      </c>
      <c r="C38" s="2353"/>
      <c r="D38" s="2392">
        <v>15</v>
      </c>
      <c r="F38" s="2376" t="s">
        <v>672</v>
      </c>
      <c r="G38" s="1113"/>
      <c r="H38" s="2383">
        <v>0</v>
      </c>
    </row>
    <row r="39" spans="2:11" ht="15.75" thickBot="1">
      <c r="B39" s="2393" t="s">
        <v>653</v>
      </c>
      <c r="C39" s="2394"/>
      <c r="D39" s="2395">
        <v>5</v>
      </c>
      <c r="F39" s="2377" t="s">
        <v>673</v>
      </c>
      <c r="G39" s="1145"/>
      <c r="H39" s="2381">
        <f>H37+H38</f>
        <v>0</v>
      </c>
      <c r="K39" s="2294"/>
    </row>
    <row r="40" spans="2:11" ht="15.75" thickBot="1">
      <c r="F40" s="2375" t="s">
        <v>643</v>
      </c>
      <c r="G40" s="1008"/>
      <c r="H40" s="2382">
        <v>0.08</v>
      </c>
      <c r="K40" s="2294"/>
    </row>
    <row r="41" spans="2:11" ht="15.75" thickBot="1">
      <c r="B41" s="2374" t="s">
        <v>650</v>
      </c>
      <c r="C41" s="718"/>
      <c r="D41" s="773"/>
      <c r="F41" s="2376" t="s">
        <v>633</v>
      </c>
      <c r="G41" s="1113"/>
      <c r="H41" s="2383">
        <v>78</v>
      </c>
    </row>
    <row r="42" spans="2:11" ht="15.75" thickBot="1">
      <c r="B42" s="2393" t="s">
        <v>651</v>
      </c>
      <c r="C42" s="2394"/>
      <c r="D42" s="2395">
        <v>52</v>
      </c>
      <c r="F42" s="2384" t="s">
        <v>644</v>
      </c>
      <c r="G42" s="2385"/>
      <c r="H42" s="2386">
        <v>4</v>
      </c>
    </row>
    <row r="43" spans="2:11" ht="15.75" thickBot="1"/>
    <row r="44" spans="2:11" ht="15.75" thickBot="1">
      <c r="B44" s="2374" t="s">
        <v>313</v>
      </c>
      <c r="C44" s="718"/>
      <c r="D44" s="773"/>
      <c r="F44" s="2374" t="s">
        <v>674</v>
      </c>
      <c r="G44" s="63"/>
      <c r="H44" s="64"/>
    </row>
    <row r="45" spans="2:11">
      <c r="B45" s="2377" t="s">
        <v>649</v>
      </c>
      <c r="C45" s="1145"/>
      <c r="D45" s="2396">
        <v>0</v>
      </c>
      <c r="F45" s="961" t="s">
        <v>676</v>
      </c>
      <c r="G45" s="2387"/>
      <c r="H45" s="2291">
        <v>0</v>
      </c>
    </row>
    <row r="46" spans="2:11" ht="16.5" customHeight="1" thickBot="1">
      <c r="B46" s="2375" t="s">
        <v>306</v>
      </c>
      <c r="C46" s="1008"/>
      <c r="D46" s="2397">
        <v>0</v>
      </c>
      <c r="F46" s="2296" t="s">
        <v>675</v>
      </c>
      <c r="G46" s="2388"/>
      <c r="H46" s="2297">
        <v>0</v>
      </c>
    </row>
    <row r="47" spans="2:11">
      <c r="B47" s="106"/>
      <c r="D47" s="389"/>
      <c r="F47" s="961" t="s">
        <v>642</v>
      </c>
      <c r="G47" s="2387"/>
      <c r="H47" s="2293">
        <f>H45+H46</f>
        <v>0</v>
      </c>
      <c r="I47" s="2416" t="str">
        <f>IF(H47&gt;SUM(D10:D15),"ERROR: Los leasing deben ser mayores que las inversiones en Activos NO Corrientes","")</f>
        <v/>
      </c>
    </row>
    <row r="48" spans="2:11">
      <c r="B48" s="2375" t="s">
        <v>647</v>
      </c>
      <c r="C48" s="1008"/>
      <c r="D48" s="2398" t="str">
        <f>IF(D45&gt;0,D25/D45*365,"")</f>
        <v/>
      </c>
      <c r="F48" s="2375" t="s">
        <v>643</v>
      </c>
      <c r="G48" s="365"/>
      <c r="H48" s="2354">
        <v>0.12</v>
      </c>
    </row>
    <row r="49" spans="2:8" ht="15.75" thickBot="1">
      <c r="B49" s="2376" t="s">
        <v>648</v>
      </c>
      <c r="C49" s="1113"/>
      <c r="D49" s="2399" t="str">
        <f>IF(D46&gt;0,H28/D46*365,"")</f>
        <v/>
      </c>
      <c r="F49" s="960" t="s">
        <v>34</v>
      </c>
      <c r="G49" s="365"/>
      <c r="H49" s="2355">
        <v>0</v>
      </c>
    </row>
    <row r="50" spans="2:8">
      <c r="F50" s="960" t="s">
        <v>633</v>
      </c>
      <c r="G50" s="365"/>
      <c r="H50" s="2292">
        <v>60</v>
      </c>
    </row>
    <row r="51" spans="2:8" ht="15.75" thickBot="1">
      <c r="F51" s="2296" t="s">
        <v>677</v>
      </c>
      <c r="G51" s="2388"/>
      <c r="H51" s="2297">
        <v>12</v>
      </c>
    </row>
    <row r="52" spans="2:8" ht="15.75" thickBot="1">
      <c r="B52" s="2374"/>
      <c r="C52" s="718" t="s">
        <v>659</v>
      </c>
      <c r="D52" s="64"/>
      <c r="F52" s="2379" t="s">
        <v>645</v>
      </c>
      <c r="G52" s="375"/>
      <c r="H52" s="2378">
        <f>+Leasing!B12</f>
        <v>0</v>
      </c>
    </row>
    <row r="53" spans="2:8" ht="15.75" thickBot="1">
      <c r="B53" s="2377" t="s">
        <v>655</v>
      </c>
      <c r="C53" s="2400"/>
      <c r="D53" s="2293">
        <f>D50+D51</f>
        <v>0</v>
      </c>
    </row>
    <row r="54" spans="2:8" ht="15.75" thickBot="1">
      <c r="B54" s="2375" t="s">
        <v>656</v>
      </c>
      <c r="C54" s="2401"/>
      <c r="D54" s="2295">
        <v>0.18</v>
      </c>
      <c r="F54" s="2298" t="s">
        <v>634</v>
      </c>
      <c r="G54" s="375"/>
      <c r="H54" s="2299">
        <v>0</v>
      </c>
    </row>
    <row r="55" spans="2:8" ht="15.75" thickBot="1">
      <c r="B55" s="2375" t="s">
        <v>657</v>
      </c>
      <c r="C55" s="2401"/>
      <c r="D55" s="2292">
        <v>60</v>
      </c>
      <c r="F55" s="2389" t="s">
        <v>646</v>
      </c>
      <c r="G55" s="2390"/>
      <c r="H55" s="2391"/>
    </row>
    <row r="56" spans="2:8" ht="15.75" thickBot="1">
      <c r="B56" s="2376" t="s">
        <v>678</v>
      </c>
      <c r="C56" s="2402"/>
      <c r="D56" s="2297">
        <v>12</v>
      </c>
      <c r="F56" s="961" t="s">
        <v>635</v>
      </c>
      <c r="G56" s="2387"/>
      <c r="H56" s="2291">
        <v>2500</v>
      </c>
    </row>
    <row r="57" spans="2:8" ht="15.75" thickBot="1">
      <c r="B57" s="2298" t="s">
        <v>658</v>
      </c>
      <c r="C57" s="375"/>
      <c r="D57" s="2378">
        <f>+Renting!B12</f>
        <v>0</v>
      </c>
      <c r="F57" s="2296" t="s">
        <v>498</v>
      </c>
      <c r="G57" s="2388"/>
      <c r="H57" s="2300">
        <f>NPER(H40/12,H56,-H39)</f>
        <v>0</v>
      </c>
    </row>
  </sheetData>
  <sheetProtection sheet="1" objects="1" scenarios="1"/>
  <dataValidations disablePrompts="1" count="4">
    <dataValidation type="list" allowBlank="1" showInputMessage="1" showErrorMessage="1" sqref="H42 H51 D56" xr:uid="{00000000-0002-0000-0400-000000000000}">
      <formula1>"12,6,4,3,2,1"</formula1>
    </dataValidation>
    <dataValidation type="custom" allowBlank="1" showInputMessage="1" showErrorMessage="1" error="Con la forma jurídico-fiscal elegida no puede haber pagos a cuenta del IRPF" sqref="D27" xr:uid="{00000000-0002-0000-0400-000001000000}">
      <formula1>isoc=0</formula1>
    </dataValidation>
    <dataValidation type="custom" allowBlank="1" showInputMessage="1" showErrorMessage="1" error="Con la forma jurídico-fiscal elegida no puede haber Impuesto de sociedades." sqref="D28" xr:uid="{00000000-0002-0000-0400-000002000000}">
      <formula1>isoc&gt;0</formula1>
    </dataValidation>
    <dataValidation type="decimal" allowBlank="1" showInputMessage="1" showErrorMessage="1" error="La deuda de subvenciones no puede ser mayor que las subvenciones. COmpruebe la celda de subvenciones en el pasivo" sqref="D26" xr:uid="{00000000-0002-0000-0400-000003000000}">
      <formula1>0</formula1>
      <formula2>H14</formula2>
    </dataValidation>
  </dataValidations>
  <printOptions horizontalCentered="1"/>
  <pageMargins left="0.75" right="0.75" top="0.32" bottom="0.43" header="0" footer="0"/>
  <pageSetup paperSize="9" scale="61" orientation="landscape" horizontalDpi="300" r:id="rId1"/>
  <headerFooter alignWithMargins="0"/>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2">
    <tabColor indexed="61"/>
    <pageSetUpPr fitToPage="1"/>
  </sheetPr>
  <dimension ref="A1:S57"/>
  <sheetViews>
    <sheetView workbookViewId="0"/>
  </sheetViews>
  <sheetFormatPr baseColWidth="10" defaultColWidth="11" defaultRowHeight="12.75"/>
  <cols>
    <col min="1" max="1" width="24.75" style="287" customWidth="1"/>
    <col min="2" max="2" width="9.75" style="289" customWidth="1"/>
    <col min="3" max="4" width="10" style="88" customWidth="1"/>
    <col min="5" max="5" width="11.375" style="88" customWidth="1"/>
    <col min="6" max="14" width="10" style="88" customWidth="1"/>
    <col min="15" max="15" width="9.5" style="287" customWidth="1"/>
    <col min="16" max="16384" width="11" style="88"/>
  </cols>
  <sheetData>
    <row r="1" spans="1:15" ht="25.5">
      <c r="A1" s="964" t="str">
        <f>'Receitas e pagamentos 0'!A1</f>
        <v>Receitas e pagamentos da Empresa</v>
      </c>
      <c r="B1" s="1081"/>
      <c r="E1" s="2742" t="str">
        <f>Parametros!F$77</f>
        <v>Ano 4:  2030</v>
      </c>
      <c r="F1" s="304"/>
      <c r="M1" s="1082"/>
      <c r="O1" s="88"/>
    </row>
    <row r="2" spans="1:15" s="554" customFormat="1" ht="25.5">
      <c r="A2" s="171" t="str">
        <f>'Dados Básicos'!B9</f>
        <v>WWW, S.L.</v>
      </c>
      <c r="B2" s="1081"/>
      <c r="D2" s="1083"/>
      <c r="E2" s="168"/>
    </row>
    <row r="3" spans="1:15" ht="21" customHeight="1">
      <c r="A3" s="88"/>
      <c r="B3" s="1068"/>
      <c r="O3" s="88"/>
    </row>
    <row r="4" spans="1:15" ht="25.5">
      <c r="A4" s="171" t="str">
        <f>'Receitas e pagamentos 0'!A4</f>
        <v>Vendas (IVA incl.)</v>
      </c>
      <c r="B4" s="1068"/>
      <c r="E4" s="172"/>
      <c r="F4" s="172"/>
      <c r="O4" s="88"/>
    </row>
    <row r="5" spans="1:15" ht="5.25" customHeight="1" thickBot="1"/>
    <row r="6" spans="1:15" s="1064" customFormat="1" ht="16.149999999999999" customHeight="1" thickBot="1">
      <c r="A6" s="174" t="str">
        <f>'Receitas e pagamentos 0'!A6</f>
        <v>Vendas no periodo</v>
      </c>
      <c r="B6" s="2743" t="str">
        <f t="array" ref="B6:M6">meses</f>
        <v>janeiro</v>
      </c>
      <c r="C6" s="2744" t="str">
        <v>fevereiro</v>
      </c>
      <c r="D6" s="2744" t="str">
        <v>março</v>
      </c>
      <c r="E6" s="2744" t="str">
        <v>abril</v>
      </c>
      <c r="F6" s="2744" t="str">
        <v>maio</v>
      </c>
      <c r="G6" s="2744" t="str">
        <v>junho</v>
      </c>
      <c r="H6" s="2744" t="str">
        <v>julho</v>
      </c>
      <c r="I6" s="2744" t="str">
        <v>agosto</v>
      </c>
      <c r="J6" s="2744" t="str">
        <v>setembro</v>
      </c>
      <c r="K6" s="2744" t="str">
        <v>outubro</v>
      </c>
      <c r="L6" s="2744" t="str">
        <v>novembro</v>
      </c>
      <c r="M6" s="2744" t="str">
        <v>dezembro</v>
      </c>
      <c r="N6" s="2744" t="s">
        <v>3</v>
      </c>
    </row>
    <row r="7" spans="1:15" s="561" customFormat="1" ht="16.149999999999999" customHeight="1">
      <c r="A7" s="2120" t="str">
        <f t="array" ref="A7:A14">productos</f>
        <v>produto 1</v>
      </c>
      <c r="B7" s="1065">
        <f t="array" aca="1" ref="B7:M14" ca="1">'Prev.Vendas 4'!B17:M24*(  1+Parametros!$E24:$E31-ret_irpf   )</f>
        <v>1577.0404343958</v>
      </c>
      <c r="C7" s="1065">
        <f ca="1"/>
        <v>1577.0404343958</v>
      </c>
      <c r="D7" s="1065">
        <f ca="1"/>
        <v>1577.0404343958</v>
      </c>
      <c r="E7" s="1065">
        <f ca="1"/>
        <v>1577.0404343958</v>
      </c>
      <c r="F7" s="1065">
        <f ca="1"/>
        <v>1577.0404343958</v>
      </c>
      <c r="G7" s="1065">
        <f ca="1"/>
        <v>1577.0404343958</v>
      </c>
      <c r="H7" s="1065">
        <f ca="1"/>
        <v>1577.0404343958</v>
      </c>
      <c r="I7" s="1065">
        <f ca="1"/>
        <v>1577.0404343958</v>
      </c>
      <c r="J7" s="1065">
        <f ca="1"/>
        <v>1577.0404343958</v>
      </c>
      <c r="K7" s="1065">
        <f ca="1"/>
        <v>1577.0404343958</v>
      </c>
      <c r="L7" s="1065">
        <f ca="1"/>
        <v>1577.0404343958</v>
      </c>
      <c r="M7" s="1065">
        <f ca="1"/>
        <v>1577.0404343958</v>
      </c>
      <c r="N7" s="2121">
        <f t="shared" ref="N7:N14" ca="1" si="0">SUM(B7:M7)</f>
        <v>18924.485212749601</v>
      </c>
    </row>
    <row r="8" spans="1:15" s="561" customFormat="1" ht="16.149999999999999" customHeight="1">
      <c r="A8" s="2122" t="str">
        <v/>
      </c>
      <c r="B8" s="1065">
        <f ca="1"/>
        <v>0</v>
      </c>
      <c r="C8" s="1065">
        <f ca="1"/>
        <v>0</v>
      </c>
      <c r="D8" s="1065">
        <f ca="1"/>
        <v>0</v>
      </c>
      <c r="E8" s="1065">
        <f ca="1"/>
        <v>0</v>
      </c>
      <c r="F8" s="1065">
        <f ca="1"/>
        <v>0</v>
      </c>
      <c r="G8" s="1065">
        <f ca="1"/>
        <v>0</v>
      </c>
      <c r="H8" s="1065">
        <f ca="1"/>
        <v>0</v>
      </c>
      <c r="I8" s="1065">
        <f ca="1"/>
        <v>0</v>
      </c>
      <c r="J8" s="1065">
        <f ca="1"/>
        <v>0</v>
      </c>
      <c r="K8" s="1065">
        <f ca="1"/>
        <v>0</v>
      </c>
      <c r="L8" s="1065">
        <f ca="1"/>
        <v>0</v>
      </c>
      <c r="M8" s="1065">
        <f ca="1"/>
        <v>0</v>
      </c>
      <c r="N8" s="2121">
        <f t="shared" ca="1" si="0"/>
        <v>0</v>
      </c>
    </row>
    <row r="9" spans="1:15" s="561" customFormat="1" ht="16.149999999999999" customHeight="1">
      <c r="A9" s="2122" t="str">
        <v/>
      </c>
      <c r="B9" s="1065">
        <f ca="1"/>
        <v>0</v>
      </c>
      <c r="C9" s="1065">
        <f ca="1"/>
        <v>0</v>
      </c>
      <c r="D9" s="1065">
        <f ca="1"/>
        <v>0</v>
      </c>
      <c r="E9" s="1065">
        <f ca="1"/>
        <v>0</v>
      </c>
      <c r="F9" s="1065">
        <f ca="1"/>
        <v>0</v>
      </c>
      <c r="G9" s="1065">
        <f ca="1"/>
        <v>0</v>
      </c>
      <c r="H9" s="1065">
        <f ca="1"/>
        <v>0</v>
      </c>
      <c r="I9" s="1065">
        <f ca="1"/>
        <v>0</v>
      </c>
      <c r="J9" s="1065">
        <f ca="1"/>
        <v>0</v>
      </c>
      <c r="K9" s="1065">
        <f ca="1"/>
        <v>0</v>
      </c>
      <c r="L9" s="1065">
        <f ca="1"/>
        <v>0</v>
      </c>
      <c r="M9" s="1065">
        <f ca="1"/>
        <v>0</v>
      </c>
      <c r="N9" s="2121">
        <f t="shared" ca="1" si="0"/>
        <v>0</v>
      </c>
    </row>
    <row r="10" spans="1:15" s="561" customFormat="1" ht="16.149999999999999" customHeight="1">
      <c r="A10" s="2122" t="str">
        <v/>
      </c>
      <c r="B10" s="1065">
        <f ca="1"/>
        <v>0</v>
      </c>
      <c r="C10" s="1065">
        <f ca="1"/>
        <v>0</v>
      </c>
      <c r="D10" s="1065">
        <f ca="1"/>
        <v>0</v>
      </c>
      <c r="E10" s="1065">
        <f ca="1"/>
        <v>0</v>
      </c>
      <c r="F10" s="1065">
        <f ca="1"/>
        <v>0</v>
      </c>
      <c r="G10" s="1065">
        <f ca="1"/>
        <v>0</v>
      </c>
      <c r="H10" s="1065">
        <f ca="1"/>
        <v>0</v>
      </c>
      <c r="I10" s="1065">
        <f ca="1"/>
        <v>0</v>
      </c>
      <c r="J10" s="1065">
        <f ca="1"/>
        <v>0</v>
      </c>
      <c r="K10" s="1065">
        <f ca="1"/>
        <v>0</v>
      </c>
      <c r="L10" s="1065">
        <f ca="1"/>
        <v>0</v>
      </c>
      <c r="M10" s="1065">
        <f ca="1"/>
        <v>0</v>
      </c>
      <c r="N10" s="2121">
        <f t="shared" ca="1" si="0"/>
        <v>0</v>
      </c>
    </row>
    <row r="11" spans="1:15" s="561" customFormat="1" ht="16.149999999999999" customHeight="1">
      <c r="A11" s="2122" t="str">
        <v/>
      </c>
      <c r="B11" s="1065">
        <f ca="1"/>
        <v>0</v>
      </c>
      <c r="C11" s="1065">
        <f ca="1"/>
        <v>0</v>
      </c>
      <c r="D11" s="1065">
        <f ca="1"/>
        <v>0</v>
      </c>
      <c r="E11" s="1065">
        <f ca="1"/>
        <v>0</v>
      </c>
      <c r="F11" s="1065">
        <f ca="1"/>
        <v>0</v>
      </c>
      <c r="G11" s="1065">
        <f ca="1"/>
        <v>0</v>
      </c>
      <c r="H11" s="1065">
        <f ca="1"/>
        <v>0</v>
      </c>
      <c r="I11" s="1065">
        <f ca="1"/>
        <v>0</v>
      </c>
      <c r="J11" s="1065">
        <f ca="1"/>
        <v>0</v>
      </c>
      <c r="K11" s="1065">
        <f ca="1"/>
        <v>0</v>
      </c>
      <c r="L11" s="1065">
        <f ca="1"/>
        <v>0</v>
      </c>
      <c r="M11" s="1065">
        <f ca="1"/>
        <v>0</v>
      </c>
      <c r="N11" s="2121">
        <f t="shared" ca="1" si="0"/>
        <v>0</v>
      </c>
    </row>
    <row r="12" spans="1:15" s="561" customFormat="1" ht="16.149999999999999" customHeight="1">
      <c r="A12" s="2122" t="str">
        <v/>
      </c>
      <c r="B12" s="1065">
        <f ca="1"/>
        <v>0</v>
      </c>
      <c r="C12" s="1065">
        <f ca="1"/>
        <v>0</v>
      </c>
      <c r="D12" s="1065">
        <f ca="1"/>
        <v>0</v>
      </c>
      <c r="E12" s="1065">
        <f ca="1"/>
        <v>0</v>
      </c>
      <c r="F12" s="1065">
        <f ca="1"/>
        <v>0</v>
      </c>
      <c r="G12" s="1065">
        <f ca="1"/>
        <v>0</v>
      </c>
      <c r="H12" s="1065">
        <f ca="1"/>
        <v>0</v>
      </c>
      <c r="I12" s="1065">
        <f ca="1"/>
        <v>0</v>
      </c>
      <c r="J12" s="1065">
        <f ca="1"/>
        <v>0</v>
      </c>
      <c r="K12" s="1065">
        <f ca="1"/>
        <v>0</v>
      </c>
      <c r="L12" s="1065">
        <f ca="1"/>
        <v>0</v>
      </c>
      <c r="M12" s="1065">
        <f ca="1"/>
        <v>0</v>
      </c>
      <c r="N12" s="2121">
        <f t="shared" ca="1" si="0"/>
        <v>0</v>
      </c>
    </row>
    <row r="13" spans="1:15" s="561" customFormat="1" ht="16.149999999999999" customHeight="1">
      <c r="A13" s="2122" t="str">
        <v/>
      </c>
      <c r="B13" s="1065">
        <f ca="1"/>
        <v>0</v>
      </c>
      <c r="C13" s="1065">
        <f ca="1"/>
        <v>0</v>
      </c>
      <c r="D13" s="1065">
        <f ca="1"/>
        <v>0</v>
      </c>
      <c r="E13" s="1065">
        <f ca="1"/>
        <v>0</v>
      </c>
      <c r="F13" s="1065">
        <f ca="1"/>
        <v>0</v>
      </c>
      <c r="G13" s="1065">
        <f ca="1"/>
        <v>0</v>
      </c>
      <c r="H13" s="1065">
        <f ca="1"/>
        <v>0</v>
      </c>
      <c r="I13" s="1065">
        <f ca="1"/>
        <v>0</v>
      </c>
      <c r="J13" s="1065">
        <f ca="1"/>
        <v>0</v>
      </c>
      <c r="K13" s="1065">
        <f ca="1"/>
        <v>0</v>
      </c>
      <c r="L13" s="1065">
        <f ca="1"/>
        <v>0</v>
      </c>
      <c r="M13" s="1065">
        <f ca="1"/>
        <v>0</v>
      </c>
      <c r="N13" s="2121">
        <f t="shared" ca="1" si="0"/>
        <v>0</v>
      </c>
    </row>
    <row r="14" spans="1:15" s="561" customFormat="1" ht="16.149999999999999" customHeight="1" thickBot="1">
      <c r="A14" s="2123" t="str">
        <v/>
      </c>
      <c r="B14" s="1066">
        <f ca="1"/>
        <v>0</v>
      </c>
      <c r="C14" s="1066">
        <f ca="1"/>
        <v>0</v>
      </c>
      <c r="D14" s="1066">
        <f ca="1"/>
        <v>0</v>
      </c>
      <c r="E14" s="1066">
        <f ca="1"/>
        <v>0</v>
      </c>
      <c r="F14" s="1066">
        <f ca="1"/>
        <v>0</v>
      </c>
      <c r="G14" s="1066">
        <f ca="1"/>
        <v>0</v>
      </c>
      <c r="H14" s="1066">
        <f ca="1"/>
        <v>0</v>
      </c>
      <c r="I14" s="1066">
        <f ca="1"/>
        <v>0</v>
      </c>
      <c r="J14" s="1066">
        <f ca="1"/>
        <v>0</v>
      </c>
      <c r="K14" s="1066">
        <f ca="1"/>
        <v>0</v>
      </c>
      <c r="L14" s="1066">
        <f ca="1"/>
        <v>0</v>
      </c>
      <c r="M14" s="1066">
        <f ca="1"/>
        <v>0</v>
      </c>
      <c r="N14" s="2121">
        <f t="shared" ca="1" si="0"/>
        <v>0</v>
      </c>
    </row>
    <row r="15" spans="1:15" s="561" customFormat="1" ht="16.149999999999999" customHeight="1" thickBot="1">
      <c r="A15" s="2124" t="s">
        <v>3</v>
      </c>
      <c r="B15" s="2125">
        <f t="shared" ref="B15:N15" ca="1" si="1">SUM(B7:B14)</f>
        <v>1577.0404343958</v>
      </c>
      <c r="C15" s="2125">
        <f t="shared" ca="1" si="1"/>
        <v>1577.0404343958</v>
      </c>
      <c r="D15" s="2125">
        <f t="shared" ca="1" si="1"/>
        <v>1577.0404343958</v>
      </c>
      <c r="E15" s="2125">
        <f t="shared" ca="1" si="1"/>
        <v>1577.0404343958</v>
      </c>
      <c r="F15" s="2125">
        <f t="shared" ca="1" si="1"/>
        <v>1577.0404343958</v>
      </c>
      <c r="G15" s="2125">
        <f t="shared" ca="1" si="1"/>
        <v>1577.0404343958</v>
      </c>
      <c r="H15" s="2125">
        <f t="shared" ca="1" si="1"/>
        <v>1577.0404343958</v>
      </c>
      <c r="I15" s="2125">
        <f t="shared" ca="1" si="1"/>
        <v>1577.0404343958</v>
      </c>
      <c r="J15" s="2125">
        <f t="shared" ca="1" si="1"/>
        <v>1577.0404343958</v>
      </c>
      <c r="K15" s="2125">
        <f t="shared" ca="1" si="1"/>
        <v>1577.0404343958</v>
      </c>
      <c r="L15" s="2125">
        <f t="shared" ca="1" si="1"/>
        <v>1577.0404343958</v>
      </c>
      <c r="M15" s="2125">
        <f t="shared" ca="1" si="1"/>
        <v>1577.0404343958</v>
      </c>
      <c r="N15" s="2125">
        <f t="shared" ca="1" si="1"/>
        <v>18924.485212749601</v>
      </c>
    </row>
    <row r="16" spans="1:15" s="561" customFormat="1" ht="16.149999999999999" customHeight="1">
      <c r="A16" s="25"/>
    </row>
    <row r="17" spans="1:19" s="334" customFormat="1" ht="22.5">
      <c r="A17" s="334" t="str">
        <f>'Receitas e pagamentos 0'!A17</f>
        <v>Receitas por Vendas do ano</v>
      </c>
      <c r="B17" s="172"/>
      <c r="E17" s="172"/>
      <c r="F17" s="172"/>
    </row>
    <row r="18" spans="1:19" ht="16.5" customHeight="1" thickBot="1">
      <c r="A18" s="88"/>
      <c r="B18" s="88"/>
      <c r="O18" s="88"/>
      <c r="P18" s="1067" t="str">
        <f>'Receitas e pagamentos 0'!P18</f>
        <v>Pendente para o ano seguinte:</v>
      </c>
      <c r="Q18" s="1085" t="str">
        <f>Parametros!I65</f>
        <v>2031</v>
      </c>
    </row>
    <row r="19" spans="1:19" s="1064" customFormat="1" ht="28.5" customHeight="1" thickBot="1">
      <c r="A19" s="174" t="str">
        <f t="array" ref="A19:A27">'Receitas e pagamentos 0'!A19:A27</f>
        <v>Prazos das receitas</v>
      </c>
      <c r="B19" s="2745" t="str">
        <f t="array" ref="B19:M19">'Estimações Vendas'!B57:M57</f>
        <v>janeiro 
2030</v>
      </c>
      <c r="C19" s="2745" t="str">
        <v>fevereiro 
2030</v>
      </c>
      <c r="D19" s="2745" t="str">
        <v>março 
2030</v>
      </c>
      <c r="E19" s="2745" t="str">
        <v>abril 
2030</v>
      </c>
      <c r="F19" s="2745" t="str">
        <v>maio 
2030</v>
      </c>
      <c r="G19" s="2745" t="str">
        <v>junho 
2030</v>
      </c>
      <c r="H19" s="2745" t="str">
        <v>julho 
2030</v>
      </c>
      <c r="I19" s="2745" t="str">
        <v>agosto 
2030</v>
      </c>
      <c r="J19" s="2745" t="str">
        <v>setembro 
2030</v>
      </c>
      <c r="K19" s="2745" t="str">
        <v>outubro 
2030</v>
      </c>
      <c r="L19" s="2745" t="str">
        <v>novembro 
2030</v>
      </c>
      <c r="M19" s="2745" t="str">
        <v>dezembro 
2030</v>
      </c>
      <c r="N19" s="2745" t="str">
        <f t="array" ref="N19:S19">'Estimações Vendas'!B70:G70</f>
        <v>janeiro 
2031</v>
      </c>
      <c r="O19" s="2745" t="str">
        <v>fevereiro 
2031</v>
      </c>
      <c r="P19" s="2745" t="str">
        <v>março 
2031</v>
      </c>
      <c r="Q19" s="2745" t="str">
        <v>abril 
2031</v>
      </c>
      <c r="R19" s="2745" t="str">
        <v>maio 
2031</v>
      </c>
      <c r="S19" s="2745" t="str">
        <v>junho 
2031</v>
      </c>
    </row>
    <row r="20" spans="1:19" s="554" customFormat="1" ht="16.149999999999999" customHeight="1">
      <c r="A20" s="2119" t="str">
        <v>Contado</v>
      </c>
      <c r="B20" s="1069">
        <f t="array" aca="1" ref="B20" ca="1">SUM('Pol. Cobranças e Pagamentos'!$B$39:$B$46*B7:B14)</f>
        <v>1577.0404343958</v>
      </c>
      <c r="C20" s="1069">
        <f t="array" aca="1" ref="C20" ca="1">SUM('Pol. Cobranças e Pagamentos'!$B$39:$B$46*C7:C14)</f>
        <v>1577.0404343958</v>
      </c>
      <c r="D20" s="1069">
        <f t="array" aca="1" ref="D20" ca="1">SUM('Pol. Cobranças e Pagamentos'!$B$39:$B$46*D7:D14)</f>
        <v>1577.0404343958</v>
      </c>
      <c r="E20" s="1069">
        <f t="array" aca="1" ref="E20" ca="1">SUM('Pol. Cobranças e Pagamentos'!$B$39:$B$46*E7:E14)</f>
        <v>1577.0404343958</v>
      </c>
      <c r="F20" s="1069">
        <f t="array" aca="1" ref="F20" ca="1">SUM('Pol. Cobranças e Pagamentos'!$B$39:$B$46*F7:F14)</f>
        <v>1577.0404343958</v>
      </c>
      <c r="G20" s="1069">
        <f t="array" aca="1" ref="G20" ca="1">SUM('Pol. Cobranças e Pagamentos'!$B$39:$B$46*G7:G14)</f>
        <v>1577.0404343958</v>
      </c>
      <c r="H20" s="1069">
        <f t="array" aca="1" ref="H20" ca="1">SUM('Pol. Cobranças e Pagamentos'!$B$39:$B$46*H7:H14)</f>
        <v>1577.0404343958</v>
      </c>
      <c r="I20" s="1069">
        <f t="array" aca="1" ref="I20" ca="1">SUM('Pol. Cobranças e Pagamentos'!$B$39:$B$46*I7:I14)</f>
        <v>1577.0404343958</v>
      </c>
      <c r="J20" s="1069">
        <f t="array" aca="1" ref="J20" ca="1">SUM('Pol. Cobranças e Pagamentos'!$B$39:$B$46*J7:J14)</f>
        <v>1577.0404343958</v>
      </c>
      <c r="K20" s="1069">
        <f t="array" aca="1" ref="K20" ca="1">SUM('Pol. Cobranças e Pagamentos'!$B$39:$B$46*K7:K14)</f>
        <v>1577.0404343958</v>
      </c>
      <c r="L20" s="1069">
        <f t="array" aca="1" ref="L20" ca="1">SUM('Pol. Cobranças e Pagamentos'!$B$39:$B$46*L7:L14)</f>
        <v>1577.0404343958</v>
      </c>
      <c r="M20" s="1069">
        <f t="array" aca="1" ref="M20" ca="1">SUM('Pol. Cobranças e Pagamentos'!$B$39:$B$46*M7:M14)</f>
        <v>1577.0404343958</v>
      </c>
      <c r="N20" s="1069"/>
      <c r="O20" s="1069"/>
      <c r="P20" s="1069"/>
      <c r="Q20" s="1069"/>
      <c r="R20" s="1069"/>
      <c r="S20" s="1069"/>
    </row>
    <row r="21" spans="1:19" s="561" customFormat="1" ht="16.149999999999999" customHeight="1">
      <c r="A21" s="2846">
        <v>30</v>
      </c>
      <c r="B21" s="1070">
        <f t="array" aca="1" ref="B21:B26" ca="1">'Receitas e pagamentos 3'!N21:N26</f>
        <v>0</v>
      </c>
      <c r="C21" s="1069">
        <f t="array" aca="1" ref="C21" ca="1">SUM('Pol. Cobranças e Pagamentos'!$C$39:$C$46*B$7:B$14)</f>
        <v>0</v>
      </c>
      <c r="D21" s="1069">
        <f t="array" aca="1" ref="D21" ca="1">SUM('Pol. Cobranças e Pagamentos'!$C$39:$C$46*C$7:C$14)</f>
        <v>0</v>
      </c>
      <c r="E21" s="1069">
        <f t="array" aca="1" ref="E21" ca="1">SUM('Pol. Cobranças e Pagamentos'!$C$39:$C$46*D$7:D$14)</f>
        <v>0</v>
      </c>
      <c r="F21" s="1069">
        <f t="array" aca="1" ref="F21" ca="1">SUM('Pol. Cobranças e Pagamentos'!$C$39:$C$46*E$7:E$14)</f>
        <v>0</v>
      </c>
      <c r="G21" s="1069">
        <f t="array" aca="1" ref="G21" ca="1">SUM('Pol. Cobranças e Pagamentos'!$C$39:$C$46*F$7:F$14)</f>
        <v>0</v>
      </c>
      <c r="H21" s="1069">
        <f t="array" aca="1" ref="H21" ca="1">SUM('Pol. Cobranças e Pagamentos'!$C$39:$C$46*G$7:G$14)</f>
        <v>0</v>
      </c>
      <c r="I21" s="1069">
        <f t="array" aca="1" ref="I21" ca="1">SUM('Pol. Cobranças e Pagamentos'!$C$39:$C$46*H$7:H$14)</f>
        <v>0</v>
      </c>
      <c r="J21" s="1069">
        <f t="array" aca="1" ref="J21" ca="1">SUM('Pol. Cobranças e Pagamentos'!$C$39:$C$46*I$7:I$14)</f>
        <v>0</v>
      </c>
      <c r="K21" s="1069">
        <f t="array" aca="1" ref="K21" ca="1">SUM('Pol. Cobranças e Pagamentos'!$C$39:$C$46*J$7:J$14)</f>
        <v>0</v>
      </c>
      <c r="L21" s="1069">
        <f t="array" aca="1" ref="L21" ca="1">SUM('Pol. Cobranças e Pagamentos'!$C$39:$C$46*K$7:K$14)</f>
        <v>0</v>
      </c>
      <c r="M21" s="1069">
        <f t="array" aca="1" ref="M21" ca="1">SUM('Pol. Cobranças e Pagamentos'!$C$39:$C$46*L$7:L$14)</f>
        <v>0</v>
      </c>
      <c r="N21" s="1069">
        <f t="array" aca="1" ref="N21" ca="1">SUM('Pol. Cobranças e Pagamentos'!$C$39:$C$46*M$7:M$14)</f>
        <v>0</v>
      </c>
      <c r="O21" s="1069"/>
      <c r="P21" s="1069"/>
      <c r="Q21" s="1069"/>
      <c r="R21" s="1069"/>
      <c r="S21" s="1069"/>
    </row>
    <row r="22" spans="1:19" s="554" customFormat="1" ht="16.149999999999999" customHeight="1">
      <c r="A22" s="2846">
        <v>60</v>
      </c>
      <c r="B22" s="1070">
        <f ca="1"/>
        <v>0</v>
      </c>
      <c r="C22" s="1070">
        <f t="array" aca="1" ref="C22:C26" ca="1">'Receitas e pagamentos 3'!O22:O26</f>
        <v>0</v>
      </c>
      <c r="D22" s="1069">
        <f t="array" aca="1" ref="D22" ca="1">SUM('Pol. Cobranças e Pagamentos'!$D$39:$D$46*B$7:B$14)</f>
        <v>0</v>
      </c>
      <c r="E22" s="1069">
        <f t="array" aca="1" ref="E22" ca="1">SUM('Pol. Cobranças e Pagamentos'!$D$39:$D$46*C$7:C$14)</f>
        <v>0</v>
      </c>
      <c r="F22" s="1069">
        <f t="array" aca="1" ref="F22" ca="1">SUM('Pol. Cobranças e Pagamentos'!$D$39:$D$46*D$7:D$14)</f>
        <v>0</v>
      </c>
      <c r="G22" s="1069">
        <f t="array" aca="1" ref="G22" ca="1">SUM('Pol. Cobranças e Pagamentos'!$D$39:$D$46*E$7:E$14)</f>
        <v>0</v>
      </c>
      <c r="H22" s="1069">
        <f t="array" aca="1" ref="H22" ca="1">SUM('Pol. Cobranças e Pagamentos'!$D$39:$D$46*F$7:F$14)</f>
        <v>0</v>
      </c>
      <c r="I22" s="1069">
        <f t="array" aca="1" ref="I22" ca="1">SUM('Pol. Cobranças e Pagamentos'!$D$39:$D$46*G$7:G$14)</f>
        <v>0</v>
      </c>
      <c r="J22" s="1069">
        <f t="array" aca="1" ref="J22" ca="1">SUM('Pol. Cobranças e Pagamentos'!$D$39:$D$46*H$7:H$14)</f>
        <v>0</v>
      </c>
      <c r="K22" s="1069">
        <f t="array" aca="1" ref="K22" ca="1">SUM('Pol. Cobranças e Pagamentos'!$D$39:$D$46*I$7:I$14)</f>
        <v>0</v>
      </c>
      <c r="L22" s="1069">
        <f t="array" aca="1" ref="L22" ca="1">SUM('Pol. Cobranças e Pagamentos'!$D$39:$D$46*J$7:J$14)</f>
        <v>0</v>
      </c>
      <c r="M22" s="1069">
        <f t="array" aca="1" ref="M22" ca="1">SUM('Pol. Cobranças e Pagamentos'!$D$39:$D$46*K$7:K$14)</f>
        <v>0</v>
      </c>
      <c r="N22" s="1069">
        <f t="array" aca="1" ref="N22" ca="1">SUM('Pol. Cobranças e Pagamentos'!$D$39:$D$46*L$7:L$14)</f>
        <v>0</v>
      </c>
      <c r="O22" s="1069">
        <f t="array" aca="1" ref="O22" ca="1">SUM('Pol. Cobranças e Pagamentos'!$D$39:$D$46*M$7:M$14)</f>
        <v>0</v>
      </c>
      <c r="P22" s="1069"/>
      <c r="Q22" s="1069"/>
      <c r="R22" s="1069"/>
      <c r="S22" s="1069"/>
    </row>
    <row r="23" spans="1:19" s="554" customFormat="1" ht="16.149999999999999" customHeight="1">
      <c r="A23" s="2846">
        <v>90</v>
      </c>
      <c r="B23" s="1070">
        <f ca="1"/>
        <v>0</v>
      </c>
      <c r="C23" s="1070">
        <f ca="1"/>
        <v>0</v>
      </c>
      <c r="D23" s="1070">
        <f t="array" aca="1" ref="D23:D26" ca="1">'Receitas e pagamentos 3'!P23:P26</f>
        <v>0</v>
      </c>
      <c r="E23" s="1069">
        <f t="array" aca="1" ref="E23" ca="1">SUM('Pol. Cobranças e Pagamentos'!$E$39:$E$46*B$7:B$14)</f>
        <v>0</v>
      </c>
      <c r="F23" s="1069">
        <f t="array" aca="1" ref="F23" ca="1">SUM('Pol. Cobranças e Pagamentos'!$E$39:$E$46*C$7:C$14)</f>
        <v>0</v>
      </c>
      <c r="G23" s="1069">
        <f t="array" aca="1" ref="G23" ca="1">SUM('Pol. Cobranças e Pagamentos'!$E$39:$E$46*D$7:D$14)</f>
        <v>0</v>
      </c>
      <c r="H23" s="1069">
        <f t="array" aca="1" ref="H23" ca="1">SUM('Pol. Cobranças e Pagamentos'!$E$39:$E$46*E$7:E$14)</f>
        <v>0</v>
      </c>
      <c r="I23" s="1069">
        <f t="array" aca="1" ref="I23" ca="1">SUM('Pol. Cobranças e Pagamentos'!$E$39:$E$46*F$7:F$14)</f>
        <v>0</v>
      </c>
      <c r="J23" s="1069">
        <f t="array" aca="1" ref="J23" ca="1">SUM('Pol. Cobranças e Pagamentos'!$E$39:$E$46*G$7:G$14)</f>
        <v>0</v>
      </c>
      <c r="K23" s="1069">
        <f t="array" aca="1" ref="K23" ca="1">SUM('Pol. Cobranças e Pagamentos'!$E$39:$E$46*H$7:H$14)</f>
        <v>0</v>
      </c>
      <c r="L23" s="1069">
        <f t="array" aca="1" ref="L23" ca="1">SUM('Pol. Cobranças e Pagamentos'!$E$39:$E$46*I$7:I$14)</f>
        <v>0</v>
      </c>
      <c r="M23" s="1069">
        <f t="array" aca="1" ref="M23" ca="1">SUM('Pol. Cobranças e Pagamentos'!$E$39:$E$46*J$7:J$14)</f>
        <v>0</v>
      </c>
      <c r="N23" s="1069">
        <f t="array" aca="1" ref="N23" ca="1">SUM('Pol. Cobranças e Pagamentos'!$E$39:$E$46*K$7:K$14)</f>
        <v>0</v>
      </c>
      <c r="O23" s="1069">
        <f t="array" aca="1" ref="O23" ca="1">SUM('Pol. Cobranças e Pagamentos'!$E$39:$E$46*L$7:L$14)</f>
        <v>0</v>
      </c>
      <c r="P23" s="1069">
        <f t="array" aca="1" ref="P23" ca="1">SUM('Pol. Cobranças e Pagamentos'!$E$39:$E$46*M$7:M$14)</f>
        <v>0</v>
      </c>
      <c r="Q23" s="1069"/>
      <c r="R23" s="1069"/>
      <c r="S23" s="1069"/>
    </row>
    <row r="24" spans="1:19" s="554" customFormat="1" ht="16.149999999999999" customHeight="1">
      <c r="A24" s="2846">
        <v>120</v>
      </c>
      <c r="B24" s="1070">
        <f ca="1"/>
        <v>0</v>
      </c>
      <c r="C24" s="1070">
        <f ca="1"/>
        <v>0</v>
      </c>
      <c r="D24" s="1070">
        <f ca="1"/>
        <v>0</v>
      </c>
      <c r="E24" s="1070">
        <f t="array" aca="1" ref="E24:E26" ca="1">'Receitas e pagamentos 3'!Q24:Q26</f>
        <v>0</v>
      </c>
      <c r="F24" s="1069">
        <f t="array" aca="1" ref="F24" ca="1">SUM('Pol. Cobranças e Pagamentos'!$F$39:$F$46*B$7:B$14)</f>
        <v>0</v>
      </c>
      <c r="G24" s="1069">
        <f t="array" aca="1" ref="G24" ca="1">SUM('Pol. Cobranças e Pagamentos'!$F$39:$F$46*C$7:C$14)</f>
        <v>0</v>
      </c>
      <c r="H24" s="1069">
        <f t="array" aca="1" ref="H24" ca="1">SUM('Pol. Cobranças e Pagamentos'!$F$39:$F$46*D$7:D$14)</f>
        <v>0</v>
      </c>
      <c r="I24" s="1069">
        <f t="array" aca="1" ref="I24" ca="1">SUM('Pol. Cobranças e Pagamentos'!$F$39:$F$46*E$7:E$14)</f>
        <v>0</v>
      </c>
      <c r="J24" s="1069">
        <f t="array" aca="1" ref="J24" ca="1">SUM('Pol. Cobranças e Pagamentos'!$F$39:$F$46*F$7:F$14)</f>
        <v>0</v>
      </c>
      <c r="K24" s="1069">
        <f t="array" aca="1" ref="K24" ca="1">SUM('Pol. Cobranças e Pagamentos'!$F$39:$F$46*G$7:G$14)</f>
        <v>0</v>
      </c>
      <c r="L24" s="1069">
        <f t="array" aca="1" ref="L24" ca="1">SUM('Pol. Cobranças e Pagamentos'!$F$39:$F$46*H$7:H$14)</f>
        <v>0</v>
      </c>
      <c r="M24" s="1069">
        <f t="array" aca="1" ref="M24" ca="1">SUM('Pol. Cobranças e Pagamentos'!$F$39:$F$46*I$7:I$14)</f>
        <v>0</v>
      </c>
      <c r="N24" s="1069">
        <f t="array" aca="1" ref="N24" ca="1">SUM('Pol. Cobranças e Pagamentos'!$F$39:$F$46*J$7:J$14)</f>
        <v>0</v>
      </c>
      <c r="O24" s="1069">
        <f t="array" aca="1" ref="O24" ca="1">SUM('Pol. Cobranças e Pagamentos'!$F$39:$F$46*K$7:K$14)</f>
        <v>0</v>
      </c>
      <c r="P24" s="1069">
        <f t="array" aca="1" ref="P24" ca="1">SUM('Pol. Cobranças e Pagamentos'!$F$39:$F$46*L$7:L$14)</f>
        <v>0</v>
      </c>
      <c r="Q24" s="1069">
        <f t="array" aca="1" ref="Q24" ca="1">SUM('Pol. Cobranças e Pagamentos'!$F$39:$F$46*M$7:M$14)</f>
        <v>0</v>
      </c>
      <c r="R24" s="1069"/>
      <c r="S24" s="1069"/>
    </row>
    <row r="25" spans="1:19" s="554" customFormat="1" ht="16.149999999999999" customHeight="1">
      <c r="A25" s="2846">
        <v>150</v>
      </c>
      <c r="B25" s="1070">
        <f ca="1"/>
        <v>0</v>
      </c>
      <c r="C25" s="1070">
        <f ca="1"/>
        <v>0</v>
      </c>
      <c r="D25" s="1070">
        <f ca="1"/>
        <v>0</v>
      </c>
      <c r="E25" s="1070">
        <f ca="1"/>
        <v>0</v>
      </c>
      <c r="F25" s="1070">
        <f t="array" aca="1" ref="F25:F26" ca="1">'Receitas e pagamentos 3'!R25:R26</f>
        <v>0</v>
      </c>
      <c r="G25" s="1069">
        <f t="array" aca="1" ref="G25" ca="1">SUM('Pol. Cobranças e Pagamentos'!$G$39:$G$46*B$7:B$14)</f>
        <v>0</v>
      </c>
      <c r="H25" s="1069">
        <f t="array" aca="1" ref="H25" ca="1">SUM('Pol. Cobranças e Pagamentos'!$G$39:$G$46*C$7:C$14)</f>
        <v>0</v>
      </c>
      <c r="I25" s="1069">
        <f t="array" aca="1" ref="I25" ca="1">SUM('Pol. Cobranças e Pagamentos'!$G$39:$G$46*D$7:D$14)</f>
        <v>0</v>
      </c>
      <c r="J25" s="1069">
        <f t="array" aca="1" ref="J25" ca="1">SUM('Pol. Cobranças e Pagamentos'!$G$39:$G$46*E$7:E$14)</f>
        <v>0</v>
      </c>
      <c r="K25" s="1069">
        <f t="array" aca="1" ref="K25" ca="1">SUM('Pol. Cobranças e Pagamentos'!$G$39:$G$46*F$7:F$14)</f>
        <v>0</v>
      </c>
      <c r="L25" s="1069">
        <f t="array" aca="1" ref="L25" ca="1">SUM('Pol. Cobranças e Pagamentos'!$G$39:$G$46*G$7:G$14)</f>
        <v>0</v>
      </c>
      <c r="M25" s="1069">
        <f t="array" aca="1" ref="M25" ca="1">SUM('Pol. Cobranças e Pagamentos'!$G$39:$G$46*H$7:H$14)</f>
        <v>0</v>
      </c>
      <c r="N25" s="1069">
        <f t="array" aca="1" ref="N25" ca="1">SUM('Pol. Cobranças e Pagamentos'!$G$39:$G$46*I$7:I$14)</f>
        <v>0</v>
      </c>
      <c r="O25" s="1069">
        <f t="array" aca="1" ref="O25" ca="1">SUM('Pol. Cobranças e Pagamentos'!$G$39:$G$46*J$7:J$14)</f>
        <v>0</v>
      </c>
      <c r="P25" s="1069">
        <f t="array" aca="1" ref="P25" ca="1">SUM('Pol. Cobranças e Pagamentos'!$G$39:$G$46*K$7:K$14)</f>
        <v>0</v>
      </c>
      <c r="Q25" s="1069">
        <f t="array" aca="1" ref="Q25" ca="1">SUM('Pol. Cobranças e Pagamentos'!$G$39:$G$46*L$7:L$14)</f>
        <v>0</v>
      </c>
      <c r="R25" s="1069">
        <f t="array" aca="1" ref="R25" ca="1">SUM('Pol. Cobranças e Pagamentos'!$G$39:$G$46*M$7:M$14)</f>
        <v>0</v>
      </c>
      <c r="S25" s="1069"/>
    </row>
    <row r="26" spans="1:19" s="554" customFormat="1" ht="16.149999999999999" customHeight="1">
      <c r="A26" s="2846">
        <v>180</v>
      </c>
      <c r="B26" s="1070">
        <f ca="1"/>
        <v>0</v>
      </c>
      <c r="C26" s="1070">
        <f ca="1"/>
        <v>0</v>
      </c>
      <c r="D26" s="1070">
        <f ca="1"/>
        <v>0</v>
      </c>
      <c r="E26" s="1070">
        <f ca="1"/>
        <v>0</v>
      </c>
      <c r="F26" s="1070">
        <f ca="1"/>
        <v>0</v>
      </c>
      <c r="G26" s="1070">
        <f ca="1">'Receitas e pagamentos 3'!S26</f>
        <v>0</v>
      </c>
      <c r="H26" s="1069">
        <f t="array" aca="1" ref="H26" ca="1">SUM('Pol. Cobranças e Pagamentos'!$H$39:$H$46*B$7:B$14)</f>
        <v>0</v>
      </c>
      <c r="I26" s="1069">
        <f t="array" aca="1" ref="I26" ca="1">SUM('Pol. Cobranças e Pagamentos'!$H$39:$H$46*C$7:C$14)</f>
        <v>0</v>
      </c>
      <c r="J26" s="1069">
        <f t="array" aca="1" ref="J26" ca="1">SUM('Pol. Cobranças e Pagamentos'!$H$39:$H$46*D$7:D$14)</f>
        <v>0</v>
      </c>
      <c r="K26" s="1069">
        <f t="array" aca="1" ref="K26" ca="1">SUM('Pol. Cobranças e Pagamentos'!$H$39:$H$46*E$7:E$14)</f>
        <v>0</v>
      </c>
      <c r="L26" s="1069">
        <f t="array" aca="1" ref="L26" ca="1">SUM('Pol. Cobranças e Pagamentos'!$H$39:$H$46*F$7:F$14)</f>
        <v>0</v>
      </c>
      <c r="M26" s="1069">
        <f t="array" aca="1" ref="M26" ca="1">SUM('Pol. Cobranças e Pagamentos'!$H$39:$H$46*G$7:G$14)</f>
        <v>0</v>
      </c>
      <c r="N26" s="1069">
        <f t="array" aca="1" ref="N26" ca="1">SUM('Pol. Cobranças e Pagamentos'!$H$39:$H$46*H$7:H$14)</f>
        <v>0</v>
      </c>
      <c r="O26" s="1069">
        <f t="array" aca="1" ref="O26" ca="1">SUM('Pol. Cobranças e Pagamentos'!$H$39:$H$46*I$7:I$14)</f>
        <v>0</v>
      </c>
      <c r="P26" s="1069">
        <f t="array" aca="1" ref="P26" ca="1">SUM('Pol. Cobranças e Pagamentos'!$H$39:$H$46*J$7:J$14)</f>
        <v>0</v>
      </c>
      <c r="Q26" s="1069">
        <f t="array" aca="1" ref="Q26" ca="1">SUM('Pol. Cobranças e Pagamentos'!$H$39:$H$46*K$7:K$14)</f>
        <v>0</v>
      </c>
      <c r="R26" s="1069">
        <f t="array" aca="1" ref="R26" ca="1">SUM('Pol. Cobranças e Pagamentos'!$H$39:$H$46*L$7:L$14)</f>
        <v>0</v>
      </c>
      <c r="S26" s="1069">
        <f t="array" aca="1" ref="S26" ca="1">SUM('Pol. Cobranças e Pagamentos'!$H$39:$H$46*M$7:M$14)</f>
        <v>0</v>
      </c>
    </row>
    <row r="27" spans="1:19" s="554" customFormat="1" ht="16.149999999999999" customHeight="1">
      <c r="A27" s="2847" t="str">
        <v>Impagados</v>
      </c>
      <c r="B27" s="1084">
        <f t="shared" ref="B27:M27" ca="1" si="2">-morisidad*SUM(B20:B26)</f>
        <v>0</v>
      </c>
      <c r="C27" s="1084">
        <f t="shared" ca="1" si="2"/>
        <v>0</v>
      </c>
      <c r="D27" s="1084">
        <f t="shared" ca="1" si="2"/>
        <v>0</v>
      </c>
      <c r="E27" s="1084">
        <f t="shared" ca="1" si="2"/>
        <v>0</v>
      </c>
      <c r="F27" s="1084">
        <f t="shared" ca="1" si="2"/>
        <v>0</v>
      </c>
      <c r="G27" s="1084">
        <f t="shared" ca="1" si="2"/>
        <v>0</v>
      </c>
      <c r="H27" s="1084">
        <f t="shared" ca="1" si="2"/>
        <v>0</v>
      </c>
      <c r="I27" s="1084">
        <f t="shared" ca="1" si="2"/>
        <v>0</v>
      </c>
      <c r="J27" s="1084">
        <f t="shared" ca="1" si="2"/>
        <v>0</v>
      </c>
      <c r="K27" s="1084">
        <f t="shared" ca="1" si="2"/>
        <v>0</v>
      </c>
      <c r="L27" s="1084">
        <f t="shared" ca="1" si="2"/>
        <v>0</v>
      </c>
      <c r="M27" s="1084">
        <f t="shared" ca="1" si="2"/>
        <v>0</v>
      </c>
      <c r="N27" s="1071"/>
      <c r="O27" s="1071"/>
      <c r="P27" s="1071"/>
      <c r="Q27" s="1071"/>
      <c r="R27" s="1071"/>
      <c r="S27" s="1071"/>
    </row>
    <row r="28" spans="1:19" s="561" customFormat="1" ht="16.149999999999999" customHeight="1" thickBot="1">
      <c r="A28" s="2746" t="s">
        <v>3</v>
      </c>
      <c r="B28" s="2747">
        <f t="shared" ref="B28:S28" ca="1" si="3">SUM(B20:B27)</f>
        <v>1577.0404343958</v>
      </c>
      <c r="C28" s="2747">
        <f t="shared" ca="1" si="3"/>
        <v>1577.0404343958</v>
      </c>
      <c r="D28" s="2747">
        <f t="shared" ca="1" si="3"/>
        <v>1577.0404343958</v>
      </c>
      <c r="E28" s="2747">
        <f t="shared" ca="1" si="3"/>
        <v>1577.0404343958</v>
      </c>
      <c r="F28" s="2747">
        <f t="shared" ca="1" si="3"/>
        <v>1577.0404343958</v>
      </c>
      <c r="G28" s="2747">
        <f t="shared" ca="1" si="3"/>
        <v>1577.0404343958</v>
      </c>
      <c r="H28" s="2747">
        <f t="shared" ca="1" si="3"/>
        <v>1577.0404343958</v>
      </c>
      <c r="I28" s="2747">
        <f t="shared" ca="1" si="3"/>
        <v>1577.0404343958</v>
      </c>
      <c r="J28" s="2747">
        <f t="shared" ca="1" si="3"/>
        <v>1577.0404343958</v>
      </c>
      <c r="K28" s="2747">
        <f t="shared" ca="1" si="3"/>
        <v>1577.0404343958</v>
      </c>
      <c r="L28" s="2747">
        <f t="shared" ca="1" si="3"/>
        <v>1577.0404343958</v>
      </c>
      <c r="M28" s="2747">
        <f t="shared" ca="1" si="3"/>
        <v>1577.0404343958</v>
      </c>
      <c r="N28" s="2747">
        <f t="shared" ca="1" si="3"/>
        <v>0</v>
      </c>
      <c r="O28" s="2747">
        <f t="shared" ca="1" si="3"/>
        <v>0</v>
      </c>
      <c r="P28" s="2747">
        <f t="shared" ca="1" si="3"/>
        <v>0</v>
      </c>
      <c r="Q28" s="2747">
        <f t="shared" ca="1" si="3"/>
        <v>0</v>
      </c>
      <c r="R28" s="2747">
        <f t="shared" ca="1" si="3"/>
        <v>0</v>
      </c>
      <c r="S28" s="2747">
        <f t="shared" ca="1" si="3"/>
        <v>0</v>
      </c>
    </row>
    <row r="29" spans="1:19" s="561" customFormat="1" ht="13.5" customHeight="1" thickBot="1">
      <c r="B29" s="1072"/>
    </row>
    <row r="30" spans="1:19" s="554" customFormat="1" ht="16.149999999999999" customHeight="1" thickBot="1">
      <c r="A30" s="287"/>
      <c r="B30" s="1072"/>
      <c r="O30" s="1073"/>
      <c r="P30" s="1074"/>
      <c r="Q30" s="1074"/>
      <c r="R30" s="1086" t="str">
        <f>CONCATENATE("Cobros de ventas pendintes para el año ",Q18," (sin ",'Dados Básicos'!$A$28,")")</f>
        <v>Cobros de ventas pendintes para el año 2031 (sin IVA)</v>
      </c>
      <c r="S30" s="1075">
        <f ca="1">SUM(N28:S28)</f>
        <v>0</v>
      </c>
    </row>
    <row r="31" spans="1:19" s="554" customFormat="1" ht="16.149999999999999" customHeight="1" thickBot="1">
      <c r="A31" s="287"/>
      <c r="B31" s="1072"/>
      <c r="O31" s="1073"/>
      <c r="P31" s="1074"/>
      <c r="Q31" s="1074"/>
      <c r="R31" s="1087" t="str">
        <f>'Receitas e pagamentos 0'!R31</f>
        <v xml:space="preserve">Impagados produzidos ao longo do ano </v>
      </c>
      <c r="S31" s="1076">
        <f ca="1">-SUM(B27:M27)</f>
        <v>0</v>
      </c>
    </row>
    <row r="32" spans="1:19" s="334" customFormat="1" ht="22.5">
      <c r="A32" s="334" t="str">
        <f>'Receitas e pagamentos 0'!A32</f>
        <v>Compras e Custos variáveis (IVA incl.)</v>
      </c>
      <c r="B32" s="172"/>
      <c r="G32" s="172"/>
      <c r="H32" s="172"/>
    </row>
    <row r="33" spans="1:19" ht="7.5" customHeight="1" thickBot="1">
      <c r="P33" s="561"/>
    </row>
    <row r="34" spans="1:19" ht="15.75" thickBot="1">
      <c r="A34" s="174" t="str">
        <f>'Receitas e pagamentos 0'!A34</f>
        <v>Compras do periodo</v>
      </c>
      <c r="B34" s="2743" t="str">
        <f t="array" ref="B34:M34">meses</f>
        <v>janeiro</v>
      </c>
      <c r="C34" s="2743" t="str">
        <v>fevereiro</v>
      </c>
      <c r="D34" s="2743" t="str">
        <v>março</v>
      </c>
      <c r="E34" s="2743" t="str">
        <v>abril</v>
      </c>
      <c r="F34" s="2743" t="str">
        <v>maio</v>
      </c>
      <c r="G34" s="2743" t="str">
        <v>junho</v>
      </c>
      <c r="H34" s="2743" t="str">
        <v>julho</v>
      </c>
      <c r="I34" s="2743" t="str">
        <v>agosto</v>
      </c>
      <c r="J34" s="2743" t="str">
        <v>setembro</v>
      </c>
      <c r="K34" s="2743" t="str">
        <v>outubro</v>
      </c>
      <c r="L34" s="2743" t="str">
        <v>novembro</v>
      </c>
      <c r="M34" s="2743" t="str">
        <v>dezembro</v>
      </c>
      <c r="N34" s="2744" t="s">
        <v>3</v>
      </c>
      <c r="O34" s="561"/>
    </row>
    <row r="35" spans="1:19" ht="14.25">
      <c r="A35" s="2120" t="str">
        <f t="array" ref="A35:A42">productos</f>
        <v>produto 1</v>
      </c>
      <c r="B35" s="1065">
        <f t="array" aca="1" ref="B35:M42" ca="1">'Distr CV 4'!B46:M53+'Distr CV 4'!B59:M66</f>
        <v>220.785660815412</v>
      </c>
      <c r="C35" s="1065">
        <f ca="1"/>
        <v>220.785660815412</v>
      </c>
      <c r="D35" s="1065">
        <f ca="1"/>
        <v>220.785660815412</v>
      </c>
      <c r="E35" s="1065">
        <f ca="1"/>
        <v>220.785660815412</v>
      </c>
      <c r="F35" s="1065">
        <f ca="1"/>
        <v>220.785660815412</v>
      </c>
      <c r="G35" s="1065">
        <f ca="1"/>
        <v>220.785660815412</v>
      </c>
      <c r="H35" s="1065">
        <f ca="1"/>
        <v>220.785660815412</v>
      </c>
      <c r="I35" s="1065">
        <f ca="1"/>
        <v>220.785660815412</v>
      </c>
      <c r="J35" s="1065">
        <f ca="1"/>
        <v>220.785660815412</v>
      </c>
      <c r="K35" s="1065">
        <f ca="1"/>
        <v>220.785660815412</v>
      </c>
      <c r="L35" s="1065">
        <f ca="1"/>
        <v>220.785660815412</v>
      </c>
      <c r="M35" s="1065">
        <f ca="1"/>
        <v>220.785660815412</v>
      </c>
      <c r="N35" s="2121">
        <f t="shared" ref="N35:N42" ca="1" si="4">SUM(B35:M35)</f>
        <v>2649.4279297849439</v>
      </c>
      <c r="O35" s="561"/>
    </row>
    <row r="36" spans="1:19" ht="14.25">
      <c r="A36" s="2122" t="str">
        <v/>
      </c>
      <c r="B36" s="1065">
        <f ca="1"/>
        <v>0</v>
      </c>
      <c r="C36" s="1065">
        <f ca="1"/>
        <v>0</v>
      </c>
      <c r="D36" s="1065">
        <f ca="1"/>
        <v>0</v>
      </c>
      <c r="E36" s="1065">
        <f ca="1"/>
        <v>0</v>
      </c>
      <c r="F36" s="1065">
        <f ca="1"/>
        <v>0</v>
      </c>
      <c r="G36" s="1065">
        <f ca="1"/>
        <v>0</v>
      </c>
      <c r="H36" s="1065">
        <f ca="1"/>
        <v>0</v>
      </c>
      <c r="I36" s="1065">
        <f ca="1"/>
        <v>0</v>
      </c>
      <c r="J36" s="1065">
        <f ca="1"/>
        <v>0</v>
      </c>
      <c r="K36" s="1065">
        <f ca="1"/>
        <v>0</v>
      </c>
      <c r="L36" s="1065">
        <f ca="1"/>
        <v>0</v>
      </c>
      <c r="M36" s="1065">
        <f ca="1"/>
        <v>0</v>
      </c>
      <c r="N36" s="2121">
        <f t="shared" ca="1" si="4"/>
        <v>0</v>
      </c>
      <c r="O36" s="561"/>
    </row>
    <row r="37" spans="1:19" ht="14.25">
      <c r="A37" s="2122" t="str">
        <v/>
      </c>
      <c r="B37" s="1065">
        <f ca="1"/>
        <v>0</v>
      </c>
      <c r="C37" s="1065">
        <f ca="1"/>
        <v>0</v>
      </c>
      <c r="D37" s="1065">
        <f ca="1"/>
        <v>0</v>
      </c>
      <c r="E37" s="1065">
        <f ca="1"/>
        <v>0</v>
      </c>
      <c r="F37" s="1065">
        <f ca="1"/>
        <v>0</v>
      </c>
      <c r="G37" s="1065">
        <f ca="1"/>
        <v>0</v>
      </c>
      <c r="H37" s="1065">
        <f ca="1"/>
        <v>0</v>
      </c>
      <c r="I37" s="1065">
        <f ca="1"/>
        <v>0</v>
      </c>
      <c r="J37" s="1065">
        <f ca="1"/>
        <v>0</v>
      </c>
      <c r="K37" s="1065">
        <f ca="1"/>
        <v>0</v>
      </c>
      <c r="L37" s="1065">
        <f ca="1"/>
        <v>0</v>
      </c>
      <c r="M37" s="1065">
        <f ca="1"/>
        <v>0</v>
      </c>
      <c r="N37" s="2121">
        <f t="shared" ca="1" si="4"/>
        <v>0</v>
      </c>
      <c r="O37" s="561"/>
    </row>
    <row r="38" spans="1:19" ht="14.25">
      <c r="A38" s="2122" t="str">
        <v/>
      </c>
      <c r="B38" s="1065">
        <f ca="1"/>
        <v>0</v>
      </c>
      <c r="C38" s="1065">
        <f ca="1"/>
        <v>0</v>
      </c>
      <c r="D38" s="1065">
        <f ca="1"/>
        <v>0</v>
      </c>
      <c r="E38" s="1065">
        <f ca="1"/>
        <v>0</v>
      </c>
      <c r="F38" s="1065">
        <f ca="1"/>
        <v>0</v>
      </c>
      <c r="G38" s="1065">
        <f ca="1"/>
        <v>0</v>
      </c>
      <c r="H38" s="1065">
        <f ca="1"/>
        <v>0</v>
      </c>
      <c r="I38" s="1065">
        <f ca="1"/>
        <v>0</v>
      </c>
      <c r="J38" s="1065">
        <f ca="1"/>
        <v>0</v>
      </c>
      <c r="K38" s="1065">
        <f ca="1"/>
        <v>0</v>
      </c>
      <c r="L38" s="1065">
        <f ca="1"/>
        <v>0</v>
      </c>
      <c r="M38" s="1065">
        <f ca="1"/>
        <v>0</v>
      </c>
      <c r="N38" s="2121">
        <f t="shared" ca="1" si="4"/>
        <v>0</v>
      </c>
      <c r="O38" s="561"/>
    </row>
    <row r="39" spans="1:19" ht="14.25">
      <c r="A39" s="2122" t="str">
        <v/>
      </c>
      <c r="B39" s="1065">
        <f ca="1"/>
        <v>0</v>
      </c>
      <c r="C39" s="1065">
        <f ca="1"/>
        <v>0</v>
      </c>
      <c r="D39" s="1065">
        <f ca="1"/>
        <v>0</v>
      </c>
      <c r="E39" s="1065">
        <f ca="1"/>
        <v>0</v>
      </c>
      <c r="F39" s="1065">
        <f ca="1"/>
        <v>0</v>
      </c>
      <c r="G39" s="1065">
        <f ca="1"/>
        <v>0</v>
      </c>
      <c r="H39" s="1065">
        <f ca="1"/>
        <v>0</v>
      </c>
      <c r="I39" s="1065">
        <f ca="1"/>
        <v>0</v>
      </c>
      <c r="J39" s="1065">
        <f ca="1"/>
        <v>0</v>
      </c>
      <c r="K39" s="1065">
        <f ca="1"/>
        <v>0</v>
      </c>
      <c r="L39" s="1065">
        <f ca="1"/>
        <v>0</v>
      </c>
      <c r="M39" s="1065">
        <f ca="1"/>
        <v>0</v>
      </c>
      <c r="N39" s="2121">
        <f t="shared" ca="1" si="4"/>
        <v>0</v>
      </c>
      <c r="O39" s="561"/>
    </row>
    <row r="40" spans="1:19" ht="14.25">
      <c r="A40" s="2122" t="str">
        <v/>
      </c>
      <c r="B40" s="1065">
        <f ca="1"/>
        <v>0</v>
      </c>
      <c r="C40" s="1065">
        <f ca="1"/>
        <v>0</v>
      </c>
      <c r="D40" s="1065">
        <f ca="1"/>
        <v>0</v>
      </c>
      <c r="E40" s="1065">
        <f ca="1"/>
        <v>0</v>
      </c>
      <c r="F40" s="1065">
        <f ca="1"/>
        <v>0</v>
      </c>
      <c r="G40" s="1065">
        <f ca="1"/>
        <v>0</v>
      </c>
      <c r="H40" s="1065">
        <f ca="1"/>
        <v>0</v>
      </c>
      <c r="I40" s="1065">
        <f ca="1"/>
        <v>0</v>
      </c>
      <c r="J40" s="1065">
        <f ca="1"/>
        <v>0</v>
      </c>
      <c r="K40" s="1065">
        <f ca="1"/>
        <v>0</v>
      </c>
      <c r="L40" s="1065">
        <f ca="1"/>
        <v>0</v>
      </c>
      <c r="M40" s="1065">
        <f ca="1"/>
        <v>0</v>
      </c>
      <c r="N40" s="2121">
        <f t="shared" ca="1" si="4"/>
        <v>0</v>
      </c>
      <c r="O40" s="561"/>
    </row>
    <row r="41" spans="1:19" ht="14.25">
      <c r="A41" s="2122" t="str">
        <v/>
      </c>
      <c r="B41" s="1065">
        <f ca="1"/>
        <v>0</v>
      </c>
      <c r="C41" s="1065">
        <f ca="1"/>
        <v>0</v>
      </c>
      <c r="D41" s="1065">
        <f ca="1"/>
        <v>0</v>
      </c>
      <c r="E41" s="1065">
        <f ca="1"/>
        <v>0</v>
      </c>
      <c r="F41" s="1065">
        <f ca="1"/>
        <v>0</v>
      </c>
      <c r="G41" s="1065">
        <f ca="1"/>
        <v>0</v>
      </c>
      <c r="H41" s="1065">
        <f ca="1"/>
        <v>0</v>
      </c>
      <c r="I41" s="1065">
        <f ca="1"/>
        <v>0</v>
      </c>
      <c r="J41" s="1065">
        <f ca="1"/>
        <v>0</v>
      </c>
      <c r="K41" s="1065">
        <f ca="1"/>
        <v>0</v>
      </c>
      <c r="L41" s="1065">
        <f ca="1"/>
        <v>0</v>
      </c>
      <c r="M41" s="1065">
        <f ca="1"/>
        <v>0</v>
      </c>
      <c r="N41" s="2121">
        <f t="shared" ca="1" si="4"/>
        <v>0</v>
      </c>
      <c r="O41" s="561"/>
    </row>
    <row r="42" spans="1:19" ht="15" thickBot="1">
      <c r="A42" s="2123" t="str">
        <v/>
      </c>
      <c r="B42" s="1066">
        <f ca="1"/>
        <v>0</v>
      </c>
      <c r="C42" s="1066">
        <f ca="1"/>
        <v>0</v>
      </c>
      <c r="D42" s="1066">
        <f ca="1"/>
        <v>0</v>
      </c>
      <c r="E42" s="1066">
        <f ca="1"/>
        <v>0</v>
      </c>
      <c r="F42" s="1066">
        <f ca="1"/>
        <v>0</v>
      </c>
      <c r="G42" s="1066">
        <f ca="1"/>
        <v>0</v>
      </c>
      <c r="H42" s="1066">
        <f ca="1"/>
        <v>0</v>
      </c>
      <c r="I42" s="1066">
        <f ca="1"/>
        <v>0</v>
      </c>
      <c r="J42" s="1066">
        <f ca="1"/>
        <v>0</v>
      </c>
      <c r="K42" s="1066">
        <f ca="1"/>
        <v>0</v>
      </c>
      <c r="L42" s="1066">
        <f ca="1"/>
        <v>0</v>
      </c>
      <c r="M42" s="1066">
        <f ca="1"/>
        <v>0</v>
      </c>
      <c r="N42" s="2121">
        <f t="shared" ca="1" si="4"/>
        <v>0</v>
      </c>
      <c r="O42" s="561"/>
    </row>
    <row r="43" spans="1:19" ht="15.75" thickBot="1">
      <c r="A43" s="174" t="s">
        <v>3</v>
      </c>
      <c r="B43" s="2748">
        <f t="shared" ref="B43:N43" ca="1" si="5">SUM(B35:B42)</f>
        <v>220.785660815412</v>
      </c>
      <c r="C43" s="2748">
        <f t="shared" ca="1" si="5"/>
        <v>220.785660815412</v>
      </c>
      <c r="D43" s="2748">
        <f t="shared" ca="1" si="5"/>
        <v>220.785660815412</v>
      </c>
      <c r="E43" s="2748">
        <f t="shared" ca="1" si="5"/>
        <v>220.785660815412</v>
      </c>
      <c r="F43" s="2748">
        <f t="shared" ca="1" si="5"/>
        <v>220.785660815412</v>
      </c>
      <c r="G43" s="2748">
        <f t="shared" ca="1" si="5"/>
        <v>220.785660815412</v>
      </c>
      <c r="H43" s="2748">
        <f t="shared" ca="1" si="5"/>
        <v>220.785660815412</v>
      </c>
      <c r="I43" s="2748">
        <f t="shared" ca="1" si="5"/>
        <v>220.785660815412</v>
      </c>
      <c r="J43" s="2748">
        <f t="shared" ca="1" si="5"/>
        <v>220.785660815412</v>
      </c>
      <c r="K43" s="2748">
        <f t="shared" ca="1" si="5"/>
        <v>220.785660815412</v>
      </c>
      <c r="L43" s="2748">
        <f t="shared" ca="1" si="5"/>
        <v>220.785660815412</v>
      </c>
      <c r="M43" s="2748">
        <f t="shared" ca="1" si="5"/>
        <v>220.785660815412</v>
      </c>
      <c r="N43" s="2748">
        <f t="shared" ca="1" si="5"/>
        <v>2649.4279297849439</v>
      </c>
      <c r="O43" s="561"/>
    </row>
    <row r="44" spans="1:19">
      <c r="C44" s="561"/>
      <c r="D44" s="561"/>
      <c r="E44" s="561"/>
      <c r="F44" s="561"/>
      <c r="G44" s="561"/>
      <c r="H44" s="561"/>
      <c r="I44" s="561"/>
      <c r="J44" s="561"/>
      <c r="K44" s="561"/>
      <c r="L44" s="561"/>
      <c r="M44" s="561"/>
      <c r="N44" s="561"/>
      <c r="O44" s="561"/>
      <c r="P44" s="561"/>
    </row>
    <row r="45" spans="1:19" s="334" customFormat="1" ht="22.5">
      <c r="A45" s="334" t="str">
        <f>'Receitas e pagamentos 0'!A45</f>
        <v>Pagamentos de compras e gastos variáveis (IVA incl.)</v>
      </c>
      <c r="B45" s="172"/>
      <c r="G45" s="172"/>
      <c r="H45" s="172"/>
    </row>
    <row r="46" spans="1:19" ht="15" thickBot="1">
      <c r="A46" s="561"/>
      <c r="B46" s="1064"/>
      <c r="C46" s="561"/>
      <c r="D46" s="561"/>
      <c r="E46" s="561"/>
      <c r="F46" s="561"/>
      <c r="G46" s="561"/>
      <c r="H46" s="561"/>
      <c r="I46" s="561"/>
      <c r="J46" s="561"/>
      <c r="K46" s="561"/>
      <c r="L46" s="561"/>
      <c r="M46" s="561"/>
      <c r="N46" s="561"/>
      <c r="O46" s="561"/>
      <c r="P46" s="1067" t="str">
        <f>P18</f>
        <v>Pendente para o ano seguinte:</v>
      </c>
      <c r="Q46" s="1068" t="str">
        <f>Q18</f>
        <v>2031</v>
      </c>
    </row>
    <row r="47" spans="1:19" ht="27.75" customHeight="1" thickBot="1">
      <c r="A47" s="174" t="str">
        <f t="array" ref="A47:A54">'Receitas e pagamentos 0'!A47:A54</f>
        <v>Plazos de pago</v>
      </c>
      <c r="B47" s="2118" t="str">
        <f t="array" ref="B47:S47">B$19:S$19</f>
        <v>janeiro 
2030</v>
      </c>
      <c r="C47" s="2118" t="str">
        <v>fevereiro 
2030</v>
      </c>
      <c r="D47" s="2118" t="str">
        <v>março 
2030</v>
      </c>
      <c r="E47" s="2118" t="str">
        <v>abril 
2030</v>
      </c>
      <c r="F47" s="2118" t="str">
        <v>maio 
2030</v>
      </c>
      <c r="G47" s="2118" t="str">
        <v>junho 
2030</v>
      </c>
      <c r="H47" s="2118" t="str">
        <v>julho 
2030</v>
      </c>
      <c r="I47" s="2118" t="str">
        <v>agosto 
2030</v>
      </c>
      <c r="J47" s="2118" t="str">
        <v>setembro 
2030</v>
      </c>
      <c r="K47" s="2118" t="str">
        <v>outubro 
2030</v>
      </c>
      <c r="L47" s="2118" t="str">
        <v>novembro 
2030</v>
      </c>
      <c r="M47" s="2118" t="str">
        <v>dezembro 
2030</v>
      </c>
      <c r="N47" s="2118" t="str">
        <v>janeiro 
2031</v>
      </c>
      <c r="O47" s="2118" t="str">
        <v>fevereiro 
2031</v>
      </c>
      <c r="P47" s="2118" t="str">
        <v>março 
2031</v>
      </c>
      <c r="Q47" s="2118" t="str">
        <v>abril 
2031</v>
      </c>
      <c r="R47" s="2118" t="str">
        <v>maio 
2031</v>
      </c>
      <c r="S47" s="2118" t="str">
        <v>junho 
2031</v>
      </c>
    </row>
    <row r="48" spans="1:19" ht="14.25">
      <c r="A48" s="2119" t="str">
        <v>Contado</v>
      </c>
      <c r="B48" s="1065">
        <f t="array" aca="1" ref="B48" ca="1">SUM('Pol. Cobranças e Pagamentos'!$B$88:$B$95*B$35:B$42)</f>
        <v>220.785660815412</v>
      </c>
      <c r="C48" s="1065">
        <f t="array" aca="1" ref="C48" ca="1">SUM('Pol. Cobranças e Pagamentos'!$B$88:$B$95*C$35:C$42)</f>
        <v>220.785660815412</v>
      </c>
      <c r="D48" s="1065">
        <f t="array" aca="1" ref="D48" ca="1">SUM('Pol. Cobranças e Pagamentos'!$B$88:$B$95*D$35:D$42)</f>
        <v>220.785660815412</v>
      </c>
      <c r="E48" s="1065">
        <f t="array" aca="1" ref="E48" ca="1">SUM('Pol. Cobranças e Pagamentos'!$B$88:$B$95*E$35:E$42)</f>
        <v>220.785660815412</v>
      </c>
      <c r="F48" s="1065">
        <f t="array" aca="1" ref="F48" ca="1">SUM('Pol. Cobranças e Pagamentos'!$B$88:$B$95*F$35:F$42)</f>
        <v>220.785660815412</v>
      </c>
      <c r="G48" s="1065">
        <f t="array" aca="1" ref="G48" ca="1">SUM('Pol. Cobranças e Pagamentos'!$B$88:$B$95*G$35:G$42)</f>
        <v>220.785660815412</v>
      </c>
      <c r="H48" s="1065">
        <f t="array" aca="1" ref="H48" ca="1">SUM('Pol. Cobranças e Pagamentos'!$B$88:$B$95*H$35:H$42)</f>
        <v>220.785660815412</v>
      </c>
      <c r="I48" s="1065">
        <f t="array" aca="1" ref="I48" ca="1">SUM('Pol. Cobranças e Pagamentos'!$B$88:$B$95*I$35:I$42)</f>
        <v>220.785660815412</v>
      </c>
      <c r="J48" s="1065">
        <f t="array" aca="1" ref="J48" ca="1">SUM('Pol. Cobranças e Pagamentos'!$B$88:$B$95*J$35:J$42)</f>
        <v>220.785660815412</v>
      </c>
      <c r="K48" s="1065">
        <f t="array" aca="1" ref="K48" ca="1">SUM('Pol. Cobranças e Pagamentos'!$B$88:$B$95*K$35:K$42)</f>
        <v>220.785660815412</v>
      </c>
      <c r="L48" s="1065">
        <f t="array" aca="1" ref="L48" ca="1">SUM('Pol. Cobranças e Pagamentos'!$B$88:$B$95*L$35:L$42)</f>
        <v>220.785660815412</v>
      </c>
      <c r="M48" s="1065">
        <f t="array" aca="1" ref="M48" ca="1">SUM('Pol. Cobranças e Pagamentos'!$B$88:$B$95*M$35:M$42)</f>
        <v>220.785660815412</v>
      </c>
      <c r="N48" s="1065"/>
      <c r="O48" s="1065"/>
      <c r="P48" s="1065"/>
      <c r="Q48" s="1065"/>
      <c r="R48" s="1065"/>
      <c r="S48" s="1065"/>
    </row>
    <row r="49" spans="1:19" ht="14.25">
      <c r="A49" s="2846">
        <v>30</v>
      </c>
      <c r="B49" s="1077">
        <f t="array" aca="1" ref="B49:B54" ca="1">'Receitas e pagamentos 3'!N49:N54</f>
        <v>0</v>
      </c>
      <c r="C49" s="1065">
        <f t="array" aca="1" ref="C49" ca="1">SUM('Pol. Cobranças e Pagamentos'!$C$88:$C$95*B$35:B$42)</f>
        <v>0</v>
      </c>
      <c r="D49" s="1065">
        <f t="array" aca="1" ref="D49" ca="1">SUM('Pol. Cobranças e Pagamentos'!$C$88:$C$95*C$35:C$42)</f>
        <v>0</v>
      </c>
      <c r="E49" s="1065">
        <f t="array" aca="1" ref="E49" ca="1">SUM('Pol. Cobranças e Pagamentos'!$C$88:$C$95*D$35:D$42)</f>
        <v>0</v>
      </c>
      <c r="F49" s="1065">
        <f t="array" aca="1" ref="F49" ca="1">SUM('Pol. Cobranças e Pagamentos'!$C$88:$C$95*E$35:E$42)</f>
        <v>0</v>
      </c>
      <c r="G49" s="1065">
        <f t="array" aca="1" ref="G49" ca="1">SUM('Pol. Cobranças e Pagamentos'!$C$88:$C$95*F$35:F$42)</f>
        <v>0</v>
      </c>
      <c r="H49" s="1065">
        <f t="array" aca="1" ref="H49" ca="1">SUM('Pol. Cobranças e Pagamentos'!$C$88:$C$95*G$35:G$42)</f>
        <v>0</v>
      </c>
      <c r="I49" s="1065">
        <f t="array" aca="1" ref="I49" ca="1">SUM('Pol. Cobranças e Pagamentos'!$C$88:$C$95*H$35:H$42)</f>
        <v>0</v>
      </c>
      <c r="J49" s="1065">
        <f t="array" aca="1" ref="J49" ca="1">SUM('Pol. Cobranças e Pagamentos'!$C$88:$C$95*I$35:I$42)</f>
        <v>0</v>
      </c>
      <c r="K49" s="1065">
        <f t="array" aca="1" ref="K49" ca="1">SUM('Pol. Cobranças e Pagamentos'!$C$88:$C$95*J$35:J$42)</f>
        <v>0</v>
      </c>
      <c r="L49" s="1065">
        <f t="array" aca="1" ref="L49" ca="1">SUM('Pol. Cobranças e Pagamentos'!$C$88:$C$95*K$35:K$42)</f>
        <v>0</v>
      </c>
      <c r="M49" s="1065">
        <f t="array" aca="1" ref="M49" ca="1">SUM('Pol. Cobranças e Pagamentos'!$C$88:$C$95*L$35:L$42)</f>
        <v>0</v>
      </c>
      <c r="N49" s="1065">
        <f t="array" aca="1" ref="N49" ca="1">SUM('Pol. Cobranças e Pagamentos'!$C$88:$C$95*M$35:M$42)</f>
        <v>0</v>
      </c>
      <c r="O49" s="1065"/>
      <c r="P49" s="1065"/>
      <c r="Q49" s="1065"/>
      <c r="R49" s="1065"/>
      <c r="S49" s="1065"/>
    </row>
    <row r="50" spans="1:19" ht="14.25">
      <c r="A50" s="2846">
        <v>60</v>
      </c>
      <c r="B50" s="1077">
        <f ca="1"/>
        <v>0</v>
      </c>
      <c r="C50" s="1077">
        <f t="array" aca="1" ref="C50:C54" ca="1">'Receitas e pagamentos 3'!O50:O54</f>
        <v>0</v>
      </c>
      <c r="D50" s="1065">
        <f t="array" aca="1" ref="D50" ca="1">SUM('Pol. Cobranças e Pagamentos'!$D$88:$D$95*B$35:B$42)</f>
        <v>0</v>
      </c>
      <c r="E50" s="1065">
        <f t="array" aca="1" ref="E50" ca="1">SUM('Pol. Cobranças e Pagamentos'!$D$88:$D$95*C$35:C$42)</f>
        <v>0</v>
      </c>
      <c r="F50" s="1065">
        <f t="array" aca="1" ref="F50" ca="1">SUM('Pol. Cobranças e Pagamentos'!$D$88:$D$95*D$35:D$42)</f>
        <v>0</v>
      </c>
      <c r="G50" s="1065">
        <f t="array" aca="1" ref="G50" ca="1">SUM('Pol. Cobranças e Pagamentos'!$D$88:$D$95*E$35:E$42)</f>
        <v>0</v>
      </c>
      <c r="H50" s="1065">
        <f t="array" aca="1" ref="H50" ca="1">SUM('Pol. Cobranças e Pagamentos'!$D$88:$D$95*F$35:F$42)</f>
        <v>0</v>
      </c>
      <c r="I50" s="1065">
        <f t="array" aca="1" ref="I50" ca="1">SUM('Pol. Cobranças e Pagamentos'!$D$88:$D$95*G$35:G$42)</f>
        <v>0</v>
      </c>
      <c r="J50" s="1065">
        <f t="array" aca="1" ref="J50" ca="1">SUM('Pol. Cobranças e Pagamentos'!$D$88:$D$95*H$35:H$42)</f>
        <v>0</v>
      </c>
      <c r="K50" s="1065">
        <f t="array" aca="1" ref="K50" ca="1">SUM('Pol. Cobranças e Pagamentos'!$D$88:$D$95*I$35:I$42)</f>
        <v>0</v>
      </c>
      <c r="L50" s="1065">
        <f t="array" aca="1" ref="L50" ca="1">SUM('Pol. Cobranças e Pagamentos'!$D$88:$D$95*J$35:J$42)</f>
        <v>0</v>
      </c>
      <c r="M50" s="1065">
        <f t="array" aca="1" ref="M50" ca="1">SUM('Pol. Cobranças e Pagamentos'!$D$88:$D$95*K$35:K$42)</f>
        <v>0</v>
      </c>
      <c r="N50" s="1065">
        <f t="array" aca="1" ref="N50" ca="1">SUM('Pol. Cobranças e Pagamentos'!$D$88:$D$95*L$35:L$42)</f>
        <v>0</v>
      </c>
      <c r="O50" s="1065">
        <f t="array" aca="1" ref="O50" ca="1">SUM('Pol. Cobranças e Pagamentos'!$D$88:$D$95*M$35:M$42)</f>
        <v>0</v>
      </c>
      <c r="P50" s="1065"/>
      <c r="Q50" s="1065"/>
      <c r="R50" s="1065"/>
      <c r="S50" s="1065"/>
    </row>
    <row r="51" spans="1:19" ht="14.25">
      <c r="A51" s="2846">
        <v>90</v>
      </c>
      <c r="B51" s="1077">
        <f ca="1"/>
        <v>0</v>
      </c>
      <c r="C51" s="1077">
        <f ca="1"/>
        <v>0</v>
      </c>
      <c r="D51" s="1077">
        <f t="array" aca="1" ref="D51:D54" ca="1">'Receitas e pagamentos 3'!P51:P54</f>
        <v>0</v>
      </c>
      <c r="E51" s="1065">
        <f t="array" aca="1" ref="E51" ca="1">SUM('Pol. Cobranças e Pagamentos'!$E$88:$E$95*B$35:B$42)</f>
        <v>0</v>
      </c>
      <c r="F51" s="1065">
        <f t="array" aca="1" ref="F51" ca="1">SUM('Pol. Cobranças e Pagamentos'!$E$88:$E$95*C$35:C$42)</f>
        <v>0</v>
      </c>
      <c r="G51" s="1065">
        <f t="array" aca="1" ref="G51" ca="1">SUM('Pol. Cobranças e Pagamentos'!$E$88:$E$95*D$35:D$42)</f>
        <v>0</v>
      </c>
      <c r="H51" s="1065">
        <f t="array" aca="1" ref="H51" ca="1">SUM('Pol. Cobranças e Pagamentos'!$E$88:$E$95*E$35:E$42)</f>
        <v>0</v>
      </c>
      <c r="I51" s="1065">
        <f t="array" aca="1" ref="I51" ca="1">SUM('Pol. Cobranças e Pagamentos'!$E$88:$E$95*F$35:F$42)</f>
        <v>0</v>
      </c>
      <c r="J51" s="1065">
        <f t="array" aca="1" ref="J51" ca="1">SUM('Pol. Cobranças e Pagamentos'!$E$88:$E$95*G$35:G$42)</f>
        <v>0</v>
      </c>
      <c r="K51" s="1065">
        <f t="array" aca="1" ref="K51" ca="1">SUM('Pol. Cobranças e Pagamentos'!$E$88:$E$95*H$35:H$42)</f>
        <v>0</v>
      </c>
      <c r="L51" s="1065">
        <f t="array" aca="1" ref="L51" ca="1">SUM('Pol. Cobranças e Pagamentos'!$E$88:$E$95*I$35:I$42)</f>
        <v>0</v>
      </c>
      <c r="M51" s="1065">
        <f t="array" aca="1" ref="M51" ca="1">SUM('Pol. Cobranças e Pagamentos'!$E$88:$E$95*J$35:J$42)</f>
        <v>0</v>
      </c>
      <c r="N51" s="1065">
        <f t="array" aca="1" ref="N51" ca="1">SUM('Pol. Cobranças e Pagamentos'!$E$88:$E$95*K$35:K$42)</f>
        <v>0</v>
      </c>
      <c r="O51" s="1065">
        <f t="array" aca="1" ref="O51" ca="1">SUM('Pol. Cobranças e Pagamentos'!$E$88:$E$95*L$35:L$42)</f>
        <v>0</v>
      </c>
      <c r="P51" s="1065">
        <f t="array" aca="1" ref="P51" ca="1">SUM('Pol. Cobranças e Pagamentos'!$E$88:$E$95*M$35:M$42)</f>
        <v>0</v>
      </c>
      <c r="Q51" s="1065"/>
      <c r="R51" s="1065"/>
      <c r="S51" s="1065"/>
    </row>
    <row r="52" spans="1:19" ht="14.25">
      <c r="A52" s="2846">
        <v>120</v>
      </c>
      <c r="B52" s="1077">
        <f ca="1"/>
        <v>0</v>
      </c>
      <c r="C52" s="1077">
        <f ca="1"/>
        <v>0</v>
      </c>
      <c r="D52" s="1077">
        <f ca="1"/>
        <v>0</v>
      </c>
      <c r="E52" s="1077">
        <f t="array" aca="1" ref="E52:E54" ca="1">'Receitas e pagamentos 3'!Q52:Q54</f>
        <v>0</v>
      </c>
      <c r="F52" s="1065">
        <f t="array" aca="1" ref="F52" ca="1">SUM('Pol. Cobranças e Pagamentos'!$F$88:$F$95*B$35:B$42)</f>
        <v>0</v>
      </c>
      <c r="G52" s="1065">
        <f t="array" aca="1" ref="G52" ca="1">SUM('Pol. Cobranças e Pagamentos'!$F$88:$F$95*C$35:C$42)</f>
        <v>0</v>
      </c>
      <c r="H52" s="1065">
        <f t="array" aca="1" ref="H52" ca="1">SUM('Pol. Cobranças e Pagamentos'!$F$88:$F$95*D$35:D$42)</f>
        <v>0</v>
      </c>
      <c r="I52" s="1065">
        <f t="array" aca="1" ref="I52" ca="1">SUM('Pol. Cobranças e Pagamentos'!$F$88:$F$95*E$35:E$42)</f>
        <v>0</v>
      </c>
      <c r="J52" s="1065">
        <f t="array" aca="1" ref="J52" ca="1">SUM('Pol. Cobranças e Pagamentos'!$F$88:$F$95*F$35:F$42)</f>
        <v>0</v>
      </c>
      <c r="K52" s="1065">
        <f t="array" aca="1" ref="K52" ca="1">SUM('Pol. Cobranças e Pagamentos'!$F$88:$F$95*G$35:G$42)</f>
        <v>0</v>
      </c>
      <c r="L52" s="1065">
        <f t="array" aca="1" ref="L52" ca="1">SUM('Pol. Cobranças e Pagamentos'!$F$88:$F$95*H$35:H$42)</f>
        <v>0</v>
      </c>
      <c r="M52" s="1065">
        <f t="array" aca="1" ref="M52" ca="1">SUM('Pol. Cobranças e Pagamentos'!$F$88:$F$95*I$35:I$42)</f>
        <v>0</v>
      </c>
      <c r="N52" s="1065">
        <f t="array" aca="1" ref="N52" ca="1">SUM('Pol. Cobranças e Pagamentos'!$F$88:$F$95*J$35:J$42)</f>
        <v>0</v>
      </c>
      <c r="O52" s="1065">
        <f t="array" aca="1" ref="O52" ca="1">SUM('Pol. Cobranças e Pagamentos'!$F$88:$F$95*K$35:K$42)</f>
        <v>0</v>
      </c>
      <c r="P52" s="1065">
        <f t="array" aca="1" ref="P52" ca="1">SUM('Pol. Cobranças e Pagamentos'!$F$88:$F$95*L$35:L$42)</f>
        <v>0</v>
      </c>
      <c r="Q52" s="1065">
        <f t="array" aca="1" ref="Q52" ca="1">SUM('Pol. Cobranças e Pagamentos'!$F$88:$F$95*M$35:M$42)</f>
        <v>0</v>
      </c>
      <c r="R52" s="1065"/>
      <c r="S52" s="1065"/>
    </row>
    <row r="53" spans="1:19" ht="14.25">
      <c r="A53" s="2846">
        <v>150</v>
      </c>
      <c r="B53" s="1077">
        <f ca="1"/>
        <v>0</v>
      </c>
      <c r="C53" s="1077">
        <f ca="1"/>
        <v>0</v>
      </c>
      <c r="D53" s="1077">
        <f ca="1"/>
        <v>0</v>
      </c>
      <c r="E53" s="1077">
        <f ca="1"/>
        <v>0</v>
      </c>
      <c r="F53" s="1077">
        <f t="array" aca="1" ref="F53:F54" ca="1">'Receitas e pagamentos 3'!R53:R54</f>
        <v>0</v>
      </c>
      <c r="G53" s="1065">
        <f t="array" aca="1" ref="G53" ca="1">SUM('Pol. Cobranças e Pagamentos'!$G$88:$G$95*B$35:B$42)</f>
        <v>0</v>
      </c>
      <c r="H53" s="1065">
        <f t="array" aca="1" ref="H53" ca="1">SUM('Pol. Cobranças e Pagamentos'!$G$88:$G$95*C$35:C$42)</f>
        <v>0</v>
      </c>
      <c r="I53" s="1065">
        <f t="array" aca="1" ref="I53" ca="1">SUM('Pol. Cobranças e Pagamentos'!$G$88:$G$95*D$35:D$42)</f>
        <v>0</v>
      </c>
      <c r="J53" s="1065">
        <f t="array" aca="1" ref="J53" ca="1">SUM('Pol. Cobranças e Pagamentos'!$G$88:$G$95*E$35:E$42)</f>
        <v>0</v>
      </c>
      <c r="K53" s="1065">
        <f t="array" aca="1" ref="K53" ca="1">SUM('Pol. Cobranças e Pagamentos'!$G$88:$G$95*F$35:F$42)</f>
        <v>0</v>
      </c>
      <c r="L53" s="1065">
        <f t="array" aca="1" ref="L53" ca="1">SUM('Pol. Cobranças e Pagamentos'!$G$88:$G$95*G$35:G$42)</f>
        <v>0</v>
      </c>
      <c r="M53" s="1065">
        <f t="array" aca="1" ref="M53" ca="1">SUM('Pol. Cobranças e Pagamentos'!$G$88:$G$95*H$35:H$42)</f>
        <v>0</v>
      </c>
      <c r="N53" s="1065">
        <f t="array" aca="1" ref="N53" ca="1">SUM('Pol. Cobranças e Pagamentos'!$G$88:$G$95*I$35:I$42)</f>
        <v>0</v>
      </c>
      <c r="O53" s="1065">
        <f t="array" aca="1" ref="O53" ca="1">SUM('Pol. Cobranças e Pagamentos'!$G$88:$G$95*J$35:J$42)</f>
        <v>0</v>
      </c>
      <c r="P53" s="1065">
        <f t="array" aca="1" ref="P53" ca="1">SUM('Pol. Cobranças e Pagamentos'!$G$88:$G$95*K$35:K$42)</f>
        <v>0</v>
      </c>
      <c r="Q53" s="1065">
        <f t="array" aca="1" ref="Q53" ca="1">SUM('Pol. Cobranças e Pagamentos'!$G$88:$G$95*L$35:L$42)</f>
        <v>0</v>
      </c>
      <c r="R53" s="1065">
        <f t="array" aca="1" ref="R53" ca="1">SUM('Pol. Cobranças e Pagamentos'!$G$88:$G$95*M$35:M$42)</f>
        <v>0</v>
      </c>
      <c r="S53" s="1065"/>
    </row>
    <row r="54" spans="1:19" ht="14.25">
      <c r="A54" s="2846">
        <v>180</v>
      </c>
      <c r="B54" s="1077">
        <f ca="1"/>
        <v>0</v>
      </c>
      <c r="C54" s="1077">
        <f ca="1"/>
        <v>0</v>
      </c>
      <c r="D54" s="1077">
        <f ca="1"/>
        <v>0</v>
      </c>
      <c r="E54" s="1077">
        <f ca="1"/>
        <v>0</v>
      </c>
      <c r="F54" s="1077">
        <f ca="1"/>
        <v>0</v>
      </c>
      <c r="G54" s="1077">
        <f ca="1">'Receitas e pagamentos 3'!S54</f>
        <v>0</v>
      </c>
      <c r="H54" s="1065">
        <f t="array" aca="1" ref="H54" ca="1">SUM('Pol. Cobranças e Pagamentos'!$H$88:$H$95*B$35:B$42)</f>
        <v>0</v>
      </c>
      <c r="I54" s="1065">
        <f t="array" aca="1" ref="I54" ca="1">SUM('Pol. Cobranças e Pagamentos'!$H$88:$H$95*C$35:C$42)</f>
        <v>0</v>
      </c>
      <c r="J54" s="1065">
        <f t="array" aca="1" ref="J54" ca="1">SUM('Pol. Cobranças e Pagamentos'!$H$88:$H$95*D$35:D$42)</f>
        <v>0</v>
      </c>
      <c r="K54" s="1065">
        <f t="array" aca="1" ref="K54" ca="1">SUM('Pol. Cobranças e Pagamentos'!$H$88:$H$95*E$35:E$42)</f>
        <v>0</v>
      </c>
      <c r="L54" s="1065">
        <f t="array" aca="1" ref="L54" ca="1">SUM('Pol. Cobranças e Pagamentos'!$H$88:$H$95*F$35:F$42)</f>
        <v>0</v>
      </c>
      <c r="M54" s="1065">
        <f t="array" aca="1" ref="M54" ca="1">SUM('Pol. Cobranças e Pagamentos'!$H$88:$H$95*G$35:G$42)</f>
        <v>0</v>
      </c>
      <c r="N54" s="1065">
        <f t="array" aca="1" ref="N54" ca="1">SUM('Pol. Cobranças e Pagamentos'!$H$88:$H$95*H$35:H$42)</f>
        <v>0</v>
      </c>
      <c r="O54" s="1065">
        <f t="array" aca="1" ref="O54" ca="1">SUM('Pol. Cobranças e Pagamentos'!$H$88:$H$95*I$35:I$42)</f>
        <v>0</v>
      </c>
      <c r="P54" s="1065">
        <f t="array" aca="1" ref="P54" ca="1">SUM('Pol. Cobranças e Pagamentos'!$H$88:$H$95*J$35:J$42)</f>
        <v>0</v>
      </c>
      <c r="Q54" s="1065">
        <f t="array" aca="1" ref="Q54" ca="1">SUM('Pol. Cobranças e Pagamentos'!$H$88:$H$95*K$35:K$42)</f>
        <v>0</v>
      </c>
      <c r="R54" s="1065">
        <f t="array" aca="1" ref="R54" ca="1">SUM('Pol. Cobranças e Pagamentos'!$H$88:$H$95*L$35:L$42)</f>
        <v>0</v>
      </c>
      <c r="S54" s="1065">
        <f t="array" aca="1" ref="S54" ca="1">SUM('Pol. Cobranças e Pagamentos'!$H$88:$H$95*M$35:M$42)</f>
        <v>0</v>
      </c>
    </row>
    <row r="55" spans="1:19" ht="15" thickBot="1">
      <c r="A55" s="2749" t="s">
        <v>3</v>
      </c>
      <c r="B55" s="2750">
        <f t="shared" ref="B55:S55" ca="1" si="6">SUM(B48:B54)</f>
        <v>220.785660815412</v>
      </c>
      <c r="C55" s="2750">
        <f t="shared" ca="1" si="6"/>
        <v>220.785660815412</v>
      </c>
      <c r="D55" s="2750">
        <f t="shared" ca="1" si="6"/>
        <v>220.785660815412</v>
      </c>
      <c r="E55" s="2750">
        <f t="shared" ca="1" si="6"/>
        <v>220.785660815412</v>
      </c>
      <c r="F55" s="2750">
        <f t="shared" ca="1" si="6"/>
        <v>220.785660815412</v>
      </c>
      <c r="G55" s="2750">
        <f t="shared" ca="1" si="6"/>
        <v>220.785660815412</v>
      </c>
      <c r="H55" s="2750">
        <f t="shared" ca="1" si="6"/>
        <v>220.785660815412</v>
      </c>
      <c r="I55" s="2750">
        <f t="shared" ca="1" si="6"/>
        <v>220.785660815412</v>
      </c>
      <c r="J55" s="2750">
        <f t="shared" ca="1" si="6"/>
        <v>220.785660815412</v>
      </c>
      <c r="K55" s="2750">
        <f t="shared" ca="1" si="6"/>
        <v>220.785660815412</v>
      </c>
      <c r="L55" s="2750">
        <f t="shared" ca="1" si="6"/>
        <v>220.785660815412</v>
      </c>
      <c r="M55" s="2750">
        <f t="shared" ca="1" si="6"/>
        <v>220.785660815412</v>
      </c>
      <c r="N55" s="2750">
        <f t="shared" ca="1" si="6"/>
        <v>0</v>
      </c>
      <c r="O55" s="2750">
        <f t="shared" ca="1" si="6"/>
        <v>0</v>
      </c>
      <c r="P55" s="2750">
        <f t="shared" ca="1" si="6"/>
        <v>0</v>
      </c>
      <c r="Q55" s="2750">
        <f t="shared" ca="1" si="6"/>
        <v>0</v>
      </c>
      <c r="R55" s="2750">
        <f t="shared" ca="1" si="6"/>
        <v>0</v>
      </c>
      <c r="S55" s="2750">
        <f t="shared" ca="1" si="6"/>
        <v>0</v>
      </c>
    </row>
    <row r="56" spans="1:19" ht="13.5" thickBot="1">
      <c r="A56" s="561"/>
      <c r="B56" s="1064"/>
      <c r="C56" s="554"/>
      <c r="D56" s="554"/>
      <c r="E56" s="554"/>
      <c r="F56" s="554"/>
      <c r="G56" s="554"/>
      <c r="H56" s="554"/>
      <c r="I56" s="554"/>
      <c r="J56" s="554"/>
      <c r="K56" s="554"/>
      <c r="L56" s="554"/>
      <c r="M56" s="554"/>
      <c r="N56" s="554"/>
      <c r="O56" s="561"/>
      <c r="P56" s="554"/>
    </row>
    <row r="57" spans="1:19" ht="13.5" thickBot="1">
      <c r="N57" s="1078"/>
      <c r="O57" s="1079"/>
      <c r="P57" s="1079"/>
      <c r="Q57" s="1079"/>
      <c r="R57" s="1088" t="str">
        <f>CONCATENATE("Pagos de compras y CV pendintes para el año ",Q46," (sin ",'Dados Básicos'!A28,")")</f>
        <v>Pagos de compras y CV pendintes para el año 2031 (sin IVA)</v>
      </c>
      <c r="S57" s="1089">
        <f ca="1">SUM(N55:S55)</f>
        <v>0</v>
      </c>
    </row>
  </sheetData>
  <sheetProtection sheet="1" objects="1" scenarios="1"/>
  <phoneticPr fontId="4"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93453-411C-4F98-A788-89FBD6A9F3B7}">
  <sheetPr>
    <tabColor rgb="FFFF0000"/>
    <pageSetUpPr fitToPage="1"/>
  </sheetPr>
  <dimension ref="A2:N53"/>
  <sheetViews>
    <sheetView workbookViewId="0"/>
  </sheetViews>
  <sheetFormatPr baseColWidth="10" defaultRowHeight="15.75"/>
  <cols>
    <col min="1" max="1" width="32.25" customWidth="1"/>
  </cols>
  <sheetData>
    <row r="2" spans="1:14" ht="22.5">
      <c r="A2" s="68" t="s">
        <v>1266</v>
      </c>
    </row>
    <row r="3" spans="1:14" ht="22.5">
      <c r="A3" s="68" t="str">
        <f>'Prev.Vendas 0'!A2</f>
        <v>WWW, S.L.</v>
      </c>
    </row>
    <row r="4" spans="1:14" s="2802" customFormat="1" thickBot="1">
      <c r="A4" s="908"/>
    </row>
    <row r="5" spans="1:14" ht="35.25" customHeight="1" thickBot="1">
      <c r="A5" s="3209"/>
      <c r="B5" s="3212" t="str">
        <f t="array" ref="B5:F5">anni</f>
        <v>Ano 0:  2026</v>
      </c>
      <c r="C5" s="3210" t="str">
        <v>Ano 1:  2027</v>
      </c>
      <c r="D5" s="3212" t="str">
        <v>Ano 2:  2028</v>
      </c>
      <c r="E5" s="3210" t="str">
        <v>Ano 3:  2029</v>
      </c>
      <c r="F5" s="3212" t="str">
        <v>Ano 4:  2030</v>
      </c>
    </row>
    <row r="6" spans="1:14" ht="18.75" customHeight="1">
      <c r="A6" s="3211" t="s">
        <v>1271</v>
      </c>
      <c r="B6" s="3213">
        <f>IF(isoc&lt;&gt;0,'Dados Básicos'!H$50,'Dados Básicos'!H$51)</f>
        <v>0.23749999999999999</v>
      </c>
      <c r="C6" s="3214">
        <f>IF(isoc&lt;&gt;0,'Dados Básicos'!I$50,'Dados Básicos'!I$51)</f>
        <v>0.23749999999999999</v>
      </c>
      <c r="D6" s="3213">
        <f>IF(isoc&lt;&gt;0,'Dados Básicos'!J$50,'Dados Básicos'!J$51)</f>
        <v>0.23749999999999999</v>
      </c>
      <c r="E6" s="3214">
        <f>IF(isoc&lt;&gt;0,'Dados Básicos'!K$50,'Dados Básicos'!K$51)</f>
        <v>0.23749999999999999</v>
      </c>
      <c r="F6" s="3213">
        <f>IF(isoc&lt;&gt;0,'Dados Básicos'!L$50,'Dados Básicos'!L$51)</f>
        <v>0.23749999999999999</v>
      </c>
    </row>
    <row r="7" spans="1:14" ht="18.75" customHeight="1" thickBot="1">
      <c r="A7" s="57" t="s">
        <v>1273</v>
      </c>
      <c r="B7" s="3215">
        <f>'Dados Básicos'!H$52</f>
        <v>20</v>
      </c>
      <c r="C7" s="3216">
        <f>'Dados Básicos'!I$52</f>
        <v>20</v>
      </c>
      <c r="D7" s="3215">
        <f>'Dados Básicos'!J$52</f>
        <v>20</v>
      </c>
      <c r="E7" s="3216">
        <f>'Dados Básicos'!K$52</f>
        <v>20</v>
      </c>
      <c r="F7" s="3215">
        <f>'Dados Básicos'!L$52</f>
        <v>20</v>
      </c>
    </row>
    <row r="8" spans="1:14" ht="18.75" customHeight="1" thickBot="1">
      <c r="A8" s="57" t="s">
        <v>1278</v>
      </c>
      <c r="B8" s="3219">
        <f>'IRS Singulares'!K20</f>
        <v>1</v>
      </c>
      <c r="C8" s="3220">
        <f>'IRS Singulares'!L20</f>
        <v>1</v>
      </c>
      <c r="D8" s="3219">
        <f>'IRS Singulares'!M20</f>
        <v>1</v>
      </c>
      <c r="E8" s="3220">
        <f>'IRS Singulares'!N20</f>
        <v>1</v>
      </c>
      <c r="F8" s="3219">
        <f>'IRS Singulares'!O20</f>
        <v>1</v>
      </c>
    </row>
    <row r="9" spans="1:14">
      <c r="B9" s="36"/>
      <c r="C9" s="36"/>
      <c r="D9" s="36"/>
      <c r="E9" s="36"/>
      <c r="F9" s="36"/>
      <c r="G9" s="36"/>
      <c r="H9" s="36"/>
      <c r="I9" s="36"/>
      <c r="J9" s="36"/>
      <c r="K9" s="36"/>
      <c r="L9" s="36"/>
      <c r="M9" s="36"/>
      <c r="N9" s="36"/>
    </row>
    <row r="10" spans="1:14" ht="16.5" thickBot="1">
      <c r="A10" s="36"/>
      <c r="B10" s="36"/>
      <c r="C10" s="36"/>
      <c r="D10" s="36"/>
      <c r="E10" s="36"/>
      <c r="F10" s="36"/>
      <c r="G10" s="36"/>
      <c r="H10" s="36"/>
      <c r="I10" s="36"/>
      <c r="J10" s="36"/>
      <c r="K10" s="36"/>
      <c r="L10" s="36"/>
      <c r="M10" s="36"/>
      <c r="N10" s="36"/>
    </row>
    <row r="11" spans="1:14">
      <c r="A11" s="3207" t="str">
        <f>Parametros!B$77</f>
        <v>Ano 0:  2026</v>
      </c>
      <c r="B11" s="3188" t="str">
        <f t="array" ref="B11:M11">meses</f>
        <v>janeiro</v>
      </c>
      <c r="C11" s="3188" t="str">
        <v>fevereiro</v>
      </c>
      <c r="D11" s="3188" t="str">
        <v>março</v>
      </c>
      <c r="E11" s="3188" t="str">
        <v>abril</v>
      </c>
      <c r="F11" s="3188" t="str">
        <v>maio</v>
      </c>
      <c r="G11" s="3188" t="str">
        <v>junho</v>
      </c>
      <c r="H11" s="3188" t="str">
        <v>julho</v>
      </c>
      <c r="I11" s="3188" t="str">
        <v>agosto</v>
      </c>
      <c r="J11" s="3188" t="str">
        <v>setembro</v>
      </c>
      <c r="K11" s="3188" t="str">
        <v>outubro</v>
      </c>
      <c r="L11" s="3188" t="str">
        <v>novembro</v>
      </c>
      <c r="M11" s="3188" t="str">
        <v>dezembro</v>
      </c>
      <c r="N11" s="3189" t="str">
        <f>'Ret IRS'!$N$8</f>
        <v>Totais</v>
      </c>
    </row>
    <row r="12" spans="1:14">
      <c r="A12" s="2177" t="s">
        <v>1267</v>
      </c>
      <c r="B12" s="82">
        <f ca="1">'PyG 0'!B5</f>
        <v>200</v>
      </c>
      <c r="C12" s="82">
        <f ca="1">'PyG 0'!C5</f>
        <v>272.72727272727275</v>
      </c>
      <c r="D12" s="82">
        <f ca="1">'PyG 0'!D5</f>
        <v>345.4545454545455</v>
      </c>
      <c r="E12" s="82">
        <f ca="1">'PyG 0'!E5</f>
        <v>418.18181818181819</v>
      </c>
      <c r="F12" s="82">
        <f ca="1">'PyG 0'!F5</f>
        <v>490.90909090909093</v>
      </c>
      <c r="G12" s="82">
        <f ca="1">'PyG 0'!G5</f>
        <v>563.63636363636363</v>
      </c>
      <c r="H12" s="82">
        <f ca="1">'PyG 0'!H5</f>
        <v>636.36363636363637</v>
      </c>
      <c r="I12" s="82">
        <f ca="1">'PyG 0'!I5</f>
        <v>709.09090909090901</v>
      </c>
      <c r="J12" s="82">
        <f ca="1">'PyG 0'!J5</f>
        <v>781.81818181818187</v>
      </c>
      <c r="K12" s="82">
        <f ca="1">'PyG 0'!K5</f>
        <v>854.5454545454545</v>
      </c>
      <c r="L12" s="82">
        <f ca="1">'PyG 0'!L5</f>
        <v>927.27272727272725</v>
      </c>
      <c r="M12" s="82">
        <f ca="1">'PyG 0'!M5</f>
        <v>1000</v>
      </c>
      <c r="N12" s="1111">
        <f ca="1">SUM(B12:M12)</f>
        <v>7199.9999999999991</v>
      </c>
    </row>
    <row r="13" spans="1:14">
      <c r="A13" s="2177" t="s">
        <v>1268</v>
      </c>
      <c r="B13" s="82">
        <f>+'Ret IRS'!B10</f>
        <v>0</v>
      </c>
      <c r="C13" s="82">
        <f>+'Ret IRS'!C10</f>
        <v>0</v>
      </c>
      <c r="D13" s="82">
        <f>+'Ret IRS'!D10</f>
        <v>0</v>
      </c>
      <c r="E13" s="82">
        <f>+'Ret IRS'!E10</f>
        <v>0</v>
      </c>
      <c r="F13" s="82">
        <f>+'Ret IRS'!F10</f>
        <v>0</v>
      </c>
      <c r="G13" s="82">
        <f>+'Ret IRS'!G10</f>
        <v>0</v>
      </c>
      <c r="H13" s="82">
        <f>+'Ret IRS'!H10</f>
        <v>0</v>
      </c>
      <c r="I13" s="82">
        <f>+'Ret IRS'!I10</f>
        <v>0</v>
      </c>
      <c r="J13" s="82">
        <f>+'Ret IRS'!J10</f>
        <v>0</v>
      </c>
      <c r="K13" s="82">
        <f>+'Ret IRS'!K10</f>
        <v>0</v>
      </c>
      <c r="L13" s="82">
        <f>+'Ret IRS'!L10</f>
        <v>0</v>
      </c>
      <c r="M13" s="82">
        <f>+'Ret IRS'!M10</f>
        <v>0</v>
      </c>
      <c r="N13" s="1111">
        <f>SUM(B13:M13)</f>
        <v>0</v>
      </c>
    </row>
    <row r="14" spans="1:14">
      <c r="A14" s="2177" t="s">
        <v>1270</v>
      </c>
      <c r="B14" s="3217">
        <f t="shared" ref="B14:M14" ca="1" si="0">B12-B13</f>
        <v>200</v>
      </c>
      <c r="C14" s="3217">
        <f t="shared" ca="1" si="0"/>
        <v>272.72727272727275</v>
      </c>
      <c r="D14" s="3217">
        <f t="shared" ca="1" si="0"/>
        <v>345.4545454545455</v>
      </c>
      <c r="E14" s="3217">
        <f t="shared" ca="1" si="0"/>
        <v>418.18181818181819</v>
      </c>
      <c r="F14" s="3217">
        <f t="shared" ca="1" si="0"/>
        <v>490.90909090909093</v>
      </c>
      <c r="G14" s="3217">
        <f t="shared" ca="1" si="0"/>
        <v>563.63636363636363</v>
      </c>
      <c r="H14" s="3217">
        <f t="shared" ca="1" si="0"/>
        <v>636.36363636363637</v>
      </c>
      <c r="I14" s="3217">
        <f t="shared" ca="1" si="0"/>
        <v>709.09090909090901</v>
      </c>
      <c r="J14" s="3217">
        <f t="shared" ca="1" si="0"/>
        <v>781.81818181818187</v>
      </c>
      <c r="K14" s="3217">
        <f t="shared" ca="1" si="0"/>
        <v>854.5454545454545</v>
      </c>
      <c r="L14" s="3217">
        <f t="shared" ca="1" si="0"/>
        <v>927.27272727272725</v>
      </c>
      <c r="M14" s="3217">
        <f t="shared" ca="1" si="0"/>
        <v>1000</v>
      </c>
      <c r="N14" s="1111">
        <f ca="1">SUM(B14:M14)</f>
        <v>7199.9999999999991</v>
      </c>
    </row>
    <row r="15" spans="1:14" ht="16.5" thickBot="1">
      <c r="A15" s="3194" t="s">
        <v>1269</v>
      </c>
      <c r="B15" s="3218"/>
      <c r="C15" s="3218"/>
      <c r="D15" s="3218">
        <f ca="1">MAX(SUM(B14:D14),0)/$B$8</f>
        <v>818.18181818181824</v>
      </c>
      <c r="E15" s="3218"/>
      <c r="F15" s="3218"/>
      <c r="G15" s="3218">
        <f ca="1">MAX(SUM(E14:G14),0)/$B$8</f>
        <v>1472.7272727272727</v>
      </c>
      <c r="H15" s="3218"/>
      <c r="I15" s="3218"/>
      <c r="J15" s="3218">
        <f ca="1">MAX(SUM(H14:J14),0)/$B$8</f>
        <v>2127.2727272727275</v>
      </c>
      <c r="K15" s="3218"/>
      <c r="L15" s="3218"/>
      <c r="M15" s="3218">
        <f ca="1">MAX(SUM(K14:M14),0)/$B$8</f>
        <v>2781.818181818182</v>
      </c>
      <c r="N15" s="142">
        <f ca="1">SUM(B15:M15)</f>
        <v>7200</v>
      </c>
    </row>
    <row r="16" spans="1:14" ht="16.5" thickBot="1"/>
    <row r="17" spans="1:14" ht="16.5" thickBot="1">
      <c r="A17" s="2611" t="str">
        <f>"Contribuções para o "&amp;A11</f>
        <v>Contribuções para o Ano 0:  2026</v>
      </c>
      <c r="B17" s="3190">
        <f>IF(COLUMN()&lt;mes0+1,0,$B$7)</f>
        <v>20</v>
      </c>
      <c r="C17" s="3190">
        <f>IF(COLUMN()&lt;mes0+1,0,$B$7)</f>
        <v>20</v>
      </c>
      <c r="D17" s="3190">
        <f>IF(COLUMN()&lt;mes0+1,0,$B$7)</f>
        <v>20</v>
      </c>
      <c r="E17" s="3190">
        <f ca="1">IF(COLUMN()&lt;mes0+1,0,MAX($D15*$B$6,$B$7))</f>
        <v>194.31818181818181</v>
      </c>
      <c r="F17" s="3190">
        <f ca="1">IF(COLUMN()&lt;mes0+1,0,MAX($D15*$B$6,$B$7))</f>
        <v>194.31818181818181</v>
      </c>
      <c r="G17" s="3190">
        <f ca="1">IF(COLUMN()&lt;mes0+1,0,MAX($D15*$B$6,$B$7))</f>
        <v>194.31818181818181</v>
      </c>
      <c r="H17" s="3190">
        <f ca="1">IF(COLUMN()&lt;mes0+1,0,MAX($G15*$B$6/3,$B$7))</f>
        <v>116.59090909090908</v>
      </c>
      <c r="I17" s="3190">
        <f ca="1">IF(COLUMN()&lt;mes0+1,0,MAX($G15*$B$6/3,$B$7))</f>
        <v>116.59090909090908</v>
      </c>
      <c r="J17" s="3190">
        <f ca="1">IF(COLUMN()&lt;mes0+1,0,MAX($G15*$B$6/3,$B$7))</f>
        <v>116.59090909090908</v>
      </c>
      <c r="K17" s="3190">
        <f ca="1">IF(COLUMN()&lt;mes0+1,0,MAX($J15*$B$6/3,$B$7,$B$7))</f>
        <v>168.40909090909091</v>
      </c>
      <c r="L17" s="3190">
        <f ca="1">IF(COLUMN()&lt;mes0+1,0,MAX($J15*$B$6/3,$B$7,$B$7))</f>
        <v>168.40909090909091</v>
      </c>
      <c r="M17" s="3190">
        <f ca="1">IF(COLUMN()&lt;mes0+1,0,MAX($J15*$B$6/3,$B$7,$B$7))</f>
        <v>168.40909090909091</v>
      </c>
      <c r="N17" s="3191">
        <f ca="1">SUM(B17:M17)</f>
        <v>1497.9545454545457</v>
      </c>
    </row>
    <row r="18" spans="1:14">
      <c r="A18" s="3221"/>
    </row>
    <row r="19" spans="1:14" ht="16.5" thickBot="1">
      <c r="A19" s="36"/>
      <c r="B19" s="36"/>
      <c r="C19" s="36"/>
      <c r="D19" s="36"/>
      <c r="E19" s="36"/>
      <c r="F19" s="36"/>
      <c r="G19" s="36"/>
      <c r="H19" s="36"/>
      <c r="I19" s="36"/>
      <c r="J19" s="36"/>
      <c r="K19" s="36"/>
      <c r="L19" s="36"/>
      <c r="M19" s="36"/>
      <c r="N19" s="36"/>
    </row>
    <row r="20" spans="1:14">
      <c r="A20" s="3207" t="str">
        <f>+'Ret IRS'!E16</f>
        <v>Ano 1:  2027</v>
      </c>
      <c r="B20" s="3188" t="str">
        <f t="array" ref="B20:M20">meses</f>
        <v>janeiro</v>
      </c>
      <c r="C20" s="3188" t="str">
        <v>fevereiro</v>
      </c>
      <c r="D20" s="3188" t="str">
        <v>março</v>
      </c>
      <c r="E20" s="3188" t="str">
        <v>abril</v>
      </c>
      <c r="F20" s="3188" t="str">
        <v>maio</v>
      </c>
      <c r="G20" s="3188" t="str">
        <v>junho</v>
      </c>
      <c r="H20" s="3188" t="str">
        <v>julho</v>
      </c>
      <c r="I20" s="3188" t="str">
        <v>agosto</v>
      </c>
      <c r="J20" s="3188" t="str">
        <v>setembro</v>
      </c>
      <c r="K20" s="3188" t="str">
        <v>outubro</v>
      </c>
      <c r="L20" s="3188" t="str">
        <v>novembro</v>
      </c>
      <c r="M20" s="3188" t="str">
        <v>dezembro</v>
      </c>
      <c r="N20" s="3189" t="str">
        <f>'Ret IRS'!$N$8</f>
        <v>Totais</v>
      </c>
    </row>
    <row r="21" spans="1:14">
      <c r="A21" s="2177" t="s">
        <v>1267</v>
      </c>
      <c r="B21" s="82">
        <f ca="1">'PyG 1'!B5</f>
        <v>1030</v>
      </c>
      <c r="C21" s="82">
        <f ca="1">'PyG 1'!C5</f>
        <v>1030</v>
      </c>
      <c r="D21" s="82">
        <f ca="1">'PyG 1'!D5</f>
        <v>1030</v>
      </c>
      <c r="E21" s="82">
        <f ca="1">'PyG 1'!E5</f>
        <v>1030</v>
      </c>
      <c r="F21" s="82">
        <f ca="1">'PyG 1'!F5</f>
        <v>1030</v>
      </c>
      <c r="G21" s="82">
        <f ca="1">'PyG 1'!G5</f>
        <v>1030</v>
      </c>
      <c r="H21" s="82">
        <f ca="1">'PyG 1'!H5</f>
        <v>1030</v>
      </c>
      <c r="I21" s="82">
        <f ca="1">'PyG 1'!I5</f>
        <v>1030</v>
      </c>
      <c r="J21" s="82">
        <f ca="1">'PyG 1'!J5</f>
        <v>1030</v>
      </c>
      <c r="K21" s="82">
        <f ca="1">'PyG 1'!K5</f>
        <v>1030</v>
      </c>
      <c r="L21" s="82">
        <f ca="1">'PyG 1'!L5</f>
        <v>1030</v>
      </c>
      <c r="M21" s="82">
        <f ca="1">'PyG 1'!M5</f>
        <v>1030</v>
      </c>
      <c r="N21" s="1111">
        <f ca="1">SUM(B21:M21)</f>
        <v>12360</v>
      </c>
    </row>
    <row r="22" spans="1:14">
      <c r="A22" s="2177" t="s">
        <v>1268</v>
      </c>
      <c r="B22" s="82">
        <f>+'Ret IRS'!B19</f>
        <v>0</v>
      </c>
      <c r="C22" s="82">
        <f>+'Ret IRS'!C19</f>
        <v>0</v>
      </c>
      <c r="D22" s="82">
        <f>+'Ret IRS'!D19</f>
        <v>0</v>
      </c>
      <c r="E22" s="82">
        <f>+'Ret IRS'!E19</f>
        <v>0</v>
      </c>
      <c r="F22" s="82">
        <f>+'Ret IRS'!F19</f>
        <v>0</v>
      </c>
      <c r="G22" s="82">
        <f>+'Ret IRS'!G19</f>
        <v>0</v>
      </c>
      <c r="H22" s="82">
        <f>+'Ret IRS'!H19</f>
        <v>0</v>
      </c>
      <c r="I22" s="82">
        <f>+'Ret IRS'!I19</f>
        <v>0</v>
      </c>
      <c r="J22" s="82">
        <f>+'Ret IRS'!J19</f>
        <v>0</v>
      </c>
      <c r="K22" s="82">
        <f>+'Ret IRS'!K19</f>
        <v>0</v>
      </c>
      <c r="L22" s="82">
        <f>+'Ret IRS'!L19</f>
        <v>0</v>
      </c>
      <c r="M22" s="82">
        <f>+'Ret IRS'!M19</f>
        <v>0</v>
      </c>
      <c r="N22" s="1111">
        <f>SUM(B22:M22)</f>
        <v>0</v>
      </c>
    </row>
    <row r="23" spans="1:14">
      <c r="A23" s="2177" t="s">
        <v>1270</v>
      </c>
      <c r="B23" s="82">
        <f t="shared" ref="B23:M23" ca="1" si="1">B21-B22</f>
        <v>1030</v>
      </c>
      <c r="C23" s="82">
        <f t="shared" ca="1" si="1"/>
        <v>1030</v>
      </c>
      <c r="D23" s="82">
        <f t="shared" ca="1" si="1"/>
        <v>1030</v>
      </c>
      <c r="E23" s="82">
        <f t="shared" ca="1" si="1"/>
        <v>1030</v>
      </c>
      <c r="F23" s="82">
        <f t="shared" ca="1" si="1"/>
        <v>1030</v>
      </c>
      <c r="G23" s="82">
        <f t="shared" ca="1" si="1"/>
        <v>1030</v>
      </c>
      <c r="H23" s="82">
        <f t="shared" ca="1" si="1"/>
        <v>1030</v>
      </c>
      <c r="I23" s="82">
        <f t="shared" ca="1" si="1"/>
        <v>1030</v>
      </c>
      <c r="J23" s="82">
        <f t="shared" ca="1" si="1"/>
        <v>1030</v>
      </c>
      <c r="K23" s="82">
        <f t="shared" ca="1" si="1"/>
        <v>1030</v>
      </c>
      <c r="L23" s="82">
        <f t="shared" ca="1" si="1"/>
        <v>1030</v>
      </c>
      <c r="M23" s="82">
        <f t="shared" ca="1" si="1"/>
        <v>1030</v>
      </c>
      <c r="N23" s="1111">
        <f ca="1">SUM(B23:M23)</f>
        <v>12360</v>
      </c>
    </row>
    <row r="24" spans="1:14" ht="16.5" thickBot="1">
      <c r="A24" s="3194" t="s">
        <v>1269</v>
      </c>
      <c r="B24" s="578"/>
      <c r="C24" s="578"/>
      <c r="D24" s="3218">
        <f ca="1">MAX(SUM(B23:D23),0)/$C$8</f>
        <v>3090</v>
      </c>
      <c r="E24" s="578"/>
      <c r="F24" s="578"/>
      <c r="G24" s="3218">
        <f ca="1">MAX(SUM(E23:G23),0)/$C$8</f>
        <v>3090</v>
      </c>
      <c r="H24" s="578"/>
      <c r="I24" s="578"/>
      <c r="J24" s="3218">
        <f ca="1">MAX(SUM(H23:J23),0)/$C$8</f>
        <v>3090</v>
      </c>
      <c r="K24" s="578"/>
      <c r="L24" s="578"/>
      <c r="M24" s="3218">
        <f ca="1">MAX(SUM(K23:M23),0)/$C$8</f>
        <v>3090</v>
      </c>
      <c r="N24" s="142">
        <f ca="1">SUM(B24:M24)</f>
        <v>12360</v>
      </c>
    </row>
    <row r="25" spans="1:14" ht="16.5" thickBot="1">
      <c r="A25" s="3192"/>
      <c r="B25" s="123"/>
      <c r="C25" s="123"/>
      <c r="D25" s="123"/>
      <c r="E25" s="123"/>
      <c r="F25" s="123"/>
      <c r="G25" s="123"/>
      <c r="H25" s="123"/>
      <c r="I25" s="123"/>
      <c r="J25" s="123"/>
      <c r="K25" s="123"/>
      <c r="L25" s="123"/>
      <c r="M25" s="123"/>
      <c r="N25" s="3193"/>
    </row>
    <row r="26" spans="1:14" ht="16.5" thickBot="1">
      <c r="A26" s="2611" t="str">
        <f>"Contribuções para o "&amp;A20</f>
        <v>Contribuções para o Ano 1:  2027</v>
      </c>
      <c r="B26" s="3190">
        <f t="shared" ref="B26:D26" ca="1" si="2">MAX($M15*$C$6/3,$C$7)</f>
        <v>220.22727272727275</v>
      </c>
      <c r="C26" s="3190">
        <f t="shared" ca="1" si="2"/>
        <v>220.22727272727275</v>
      </c>
      <c r="D26" s="3190">
        <f t="shared" ca="1" si="2"/>
        <v>220.22727272727275</v>
      </c>
      <c r="E26" s="3190">
        <f t="shared" ref="E26:G26" ca="1" si="3">MAX($D24*$C$6/3,$C$7)</f>
        <v>244.625</v>
      </c>
      <c r="F26" s="3190">
        <f t="shared" ca="1" si="3"/>
        <v>244.625</v>
      </c>
      <c r="G26" s="3190">
        <f t="shared" ca="1" si="3"/>
        <v>244.625</v>
      </c>
      <c r="H26" s="3190">
        <f t="array" aca="1" ref="H26:J26" ca="1">MAX($G24*$C$6/3,$C$7)</f>
        <v>244.625</v>
      </c>
      <c r="I26" s="3190">
        <f ca="1"/>
        <v>244.625</v>
      </c>
      <c r="J26" s="3190">
        <f ca="1"/>
        <v>244.625</v>
      </c>
      <c r="K26" s="3190">
        <f t="shared" ref="K26:M26" ca="1" si="4">MAX($J24*$C$6/3,$C$7)</f>
        <v>244.625</v>
      </c>
      <c r="L26" s="3190">
        <f t="shared" ca="1" si="4"/>
        <v>244.625</v>
      </c>
      <c r="M26" s="3190">
        <f t="shared" ca="1" si="4"/>
        <v>244.625</v>
      </c>
      <c r="N26" s="3191">
        <f ca="1">SUM(B26:M26)</f>
        <v>2862.306818181818</v>
      </c>
    </row>
    <row r="27" spans="1:14">
      <c r="A27" s="3192"/>
    </row>
    <row r="28" spans="1:14" ht="16.5" thickBot="1">
      <c r="A28" s="36"/>
      <c r="B28" s="36"/>
      <c r="C28" s="36"/>
      <c r="D28" s="36"/>
      <c r="E28" s="36"/>
      <c r="F28" s="36"/>
      <c r="G28" s="36"/>
      <c r="H28" s="36"/>
      <c r="I28" s="36"/>
      <c r="J28" s="36"/>
      <c r="K28" s="36"/>
      <c r="L28" s="36"/>
      <c r="M28" s="36"/>
      <c r="N28" s="36"/>
    </row>
    <row r="29" spans="1:14">
      <c r="A29" s="3207" t="str">
        <f>+'Ret IRS'!E25</f>
        <v>Ano 2:  2028</v>
      </c>
      <c r="B29" s="3188" t="str">
        <f t="array" ref="B29:M29">meses</f>
        <v>janeiro</v>
      </c>
      <c r="C29" s="3188" t="str">
        <v>fevereiro</v>
      </c>
      <c r="D29" s="3188" t="str">
        <v>março</v>
      </c>
      <c r="E29" s="3188" t="str">
        <v>abril</v>
      </c>
      <c r="F29" s="3188" t="str">
        <v>maio</v>
      </c>
      <c r="G29" s="3188" t="str">
        <v>junho</v>
      </c>
      <c r="H29" s="3188" t="str">
        <v>julho</v>
      </c>
      <c r="I29" s="3188" t="str">
        <v>agosto</v>
      </c>
      <c r="J29" s="3188" t="str">
        <v>setembro</v>
      </c>
      <c r="K29" s="3188" t="str">
        <v>outubro</v>
      </c>
      <c r="L29" s="3188" t="str">
        <v>novembro</v>
      </c>
      <c r="M29" s="3188" t="str">
        <v>dezembro</v>
      </c>
      <c r="N29" s="3189" t="str">
        <f>'Ret IRS'!$N$8</f>
        <v>Totais</v>
      </c>
    </row>
    <row r="30" spans="1:14">
      <c r="A30" s="2177" t="s">
        <v>1267</v>
      </c>
      <c r="B30" s="82">
        <f ca="1">'PyG 2'!B5</f>
        <v>1113.9449999999999</v>
      </c>
      <c r="C30" s="82">
        <f ca="1">'PyG 2'!C5</f>
        <v>1113.9449999999999</v>
      </c>
      <c r="D30" s="82">
        <f ca="1">'PyG 2'!D5</f>
        <v>1113.9449999999999</v>
      </c>
      <c r="E30" s="82">
        <f ca="1">'PyG 2'!E5</f>
        <v>1113.9449999999999</v>
      </c>
      <c r="F30" s="82">
        <f ca="1">'PyG 2'!F5</f>
        <v>1113.9449999999999</v>
      </c>
      <c r="G30" s="82">
        <f ca="1">'PyG 2'!G5</f>
        <v>1113.9449999999999</v>
      </c>
      <c r="H30" s="82">
        <f ca="1">'PyG 2'!H5</f>
        <v>1113.9449999999999</v>
      </c>
      <c r="I30" s="82">
        <f ca="1">'PyG 2'!I5</f>
        <v>1113.9449999999999</v>
      </c>
      <c r="J30" s="82">
        <f ca="1">'PyG 2'!J5</f>
        <v>1113.9449999999999</v>
      </c>
      <c r="K30" s="82">
        <f ca="1">'PyG 2'!K5</f>
        <v>1113.9449999999999</v>
      </c>
      <c r="L30" s="82">
        <f ca="1">'PyG 2'!L5</f>
        <v>1113.9449999999999</v>
      </c>
      <c r="M30" s="82">
        <f ca="1">'PyG 2'!M5</f>
        <v>1113.9449999999999</v>
      </c>
      <c r="N30" s="1111">
        <f ca="1">SUM(B30:M30)</f>
        <v>13367.339999999998</v>
      </c>
    </row>
    <row r="31" spans="1:14">
      <c r="A31" s="2177" t="s">
        <v>1268</v>
      </c>
      <c r="B31" s="82">
        <f>+'Ret IRS'!B28</f>
        <v>0</v>
      </c>
      <c r="C31" s="82">
        <f>+'Ret IRS'!C28</f>
        <v>0</v>
      </c>
      <c r="D31" s="82">
        <f>+'Ret IRS'!D28</f>
        <v>0</v>
      </c>
      <c r="E31" s="82">
        <f>+'Ret IRS'!E28</f>
        <v>0</v>
      </c>
      <c r="F31" s="82">
        <f>+'Ret IRS'!F28</f>
        <v>0</v>
      </c>
      <c r="G31" s="82">
        <f>+'Ret IRS'!G28</f>
        <v>0</v>
      </c>
      <c r="H31" s="82">
        <f>+'Ret IRS'!H28</f>
        <v>0</v>
      </c>
      <c r="I31" s="82">
        <f>+'Ret IRS'!I28</f>
        <v>0</v>
      </c>
      <c r="J31" s="82">
        <f>+'Ret IRS'!J28</f>
        <v>0</v>
      </c>
      <c r="K31" s="82">
        <f>+'Ret IRS'!K28</f>
        <v>0</v>
      </c>
      <c r="L31" s="82">
        <f>+'Ret IRS'!L28</f>
        <v>0</v>
      </c>
      <c r="M31" s="82">
        <f>+'Ret IRS'!M28</f>
        <v>0</v>
      </c>
      <c r="N31" s="1111">
        <f>SUM(B31:M31)</f>
        <v>0</v>
      </c>
    </row>
    <row r="32" spans="1:14">
      <c r="A32" s="2177" t="s">
        <v>1270</v>
      </c>
      <c r="B32" s="82">
        <f t="shared" ref="B32:M32" ca="1" si="5">B30-B31</f>
        <v>1113.9449999999999</v>
      </c>
      <c r="C32" s="82">
        <f t="shared" ca="1" si="5"/>
        <v>1113.9449999999999</v>
      </c>
      <c r="D32" s="82">
        <f t="shared" ca="1" si="5"/>
        <v>1113.9449999999999</v>
      </c>
      <c r="E32" s="82">
        <f t="shared" ca="1" si="5"/>
        <v>1113.9449999999999</v>
      </c>
      <c r="F32" s="82">
        <f t="shared" ca="1" si="5"/>
        <v>1113.9449999999999</v>
      </c>
      <c r="G32" s="82">
        <f t="shared" ca="1" si="5"/>
        <v>1113.9449999999999</v>
      </c>
      <c r="H32" s="82">
        <f t="shared" ca="1" si="5"/>
        <v>1113.9449999999999</v>
      </c>
      <c r="I32" s="82">
        <f t="shared" ca="1" si="5"/>
        <v>1113.9449999999999</v>
      </c>
      <c r="J32" s="82">
        <f t="shared" ca="1" si="5"/>
        <v>1113.9449999999999</v>
      </c>
      <c r="K32" s="82">
        <f t="shared" ca="1" si="5"/>
        <v>1113.9449999999999</v>
      </c>
      <c r="L32" s="82">
        <f t="shared" ca="1" si="5"/>
        <v>1113.9449999999999</v>
      </c>
      <c r="M32" s="82">
        <f t="shared" ca="1" si="5"/>
        <v>1113.9449999999999</v>
      </c>
      <c r="N32" s="1111">
        <f ca="1">SUM(B32:M32)</f>
        <v>13367.339999999998</v>
      </c>
    </row>
    <row r="33" spans="1:14" ht="16.5" thickBot="1">
      <c r="A33" s="3194" t="s">
        <v>1269</v>
      </c>
      <c r="B33" s="578"/>
      <c r="C33" s="578"/>
      <c r="D33" s="3218">
        <f ca="1">MAX(SUM(B32:D32),0)/$D$8</f>
        <v>3341.835</v>
      </c>
      <c r="E33" s="578"/>
      <c r="F33" s="578"/>
      <c r="G33" s="3218">
        <f ca="1">MAX(SUM(E32:G32),0)/$D$8</f>
        <v>3341.835</v>
      </c>
      <c r="H33" s="578"/>
      <c r="I33" s="578"/>
      <c r="J33" s="3218">
        <f ca="1">MAX(SUM(H32:J32),0)/$D$8</f>
        <v>3341.835</v>
      </c>
      <c r="K33" s="578"/>
      <c r="L33" s="578"/>
      <c r="M33" s="3218">
        <f ca="1">MAX(SUM(K32:M32),0)/$D$8</f>
        <v>3341.835</v>
      </c>
      <c r="N33" s="142">
        <f ca="1">SUM(B33:M33)</f>
        <v>13367.34</v>
      </c>
    </row>
    <row r="34" spans="1:14" ht="16.5" thickBot="1">
      <c r="A34" s="3192"/>
      <c r="B34" s="123"/>
      <c r="C34" s="123"/>
      <c r="D34" s="123"/>
      <c r="E34" s="123"/>
      <c r="F34" s="123"/>
      <c r="G34" s="123"/>
      <c r="H34" s="123"/>
      <c r="I34" s="123"/>
      <c r="J34" s="123"/>
      <c r="K34" s="123"/>
      <c r="L34" s="123"/>
      <c r="M34" s="123"/>
      <c r="N34" s="3193"/>
    </row>
    <row r="35" spans="1:14" ht="16.5" thickBot="1">
      <c r="A35" s="2611" t="str">
        <f>"Contribuções para o "&amp;A29</f>
        <v>Contribuções para o Ano 2:  2028</v>
      </c>
      <c r="B35" s="3190">
        <f t="shared" ref="B35:D35" ca="1" si="6">MAX($M24*$D$6/3,$D$7)</f>
        <v>244.625</v>
      </c>
      <c r="C35" s="3190">
        <f t="shared" ca="1" si="6"/>
        <v>244.625</v>
      </c>
      <c r="D35" s="3190">
        <f t="shared" ca="1" si="6"/>
        <v>244.625</v>
      </c>
      <c r="E35" s="3190">
        <f t="shared" ref="E35:G35" ca="1" si="7">MAX($D33*$D$6/3,$D$7)</f>
        <v>264.5619375</v>
      </c>
      <c r="F35" s="3190">
        <f t="shared" ca="1" si="7"/>
        <v>264.5619375</v>
      </c>
      <c r="G35" s="3190">
        <f t="shared" ca="1" si="7"/>
        <v>264.5619375</v>
      </c>
      <c r="H35" s="3190">
        <f t="shared" ref="H35:J35" ca="1" si="8">MAX($G33*$D$6/3,$D$7)</f>
        <v>264.5619375</v>
      </c>
      <c r="I35" s="3190">
        <f t="shared" ca="1" si="8"/>
        <v>264.5619375</v>
      </c>
      <c r="J35" s="3190">
        <f t="shared" ca="1" si="8"/>
        <v>264.5619375</v>
      </c>
      <c r="K35" s="3190">
        <f t="shared" ref="K35:M35" ca="1" si="9">MAX($J33*$D$6/3,$D$7)</f>
        <v>264.5619375</v>
      </c>
      <c r="L35" s="3190">
        <f t="shared" ca="1" si="9"/>
        <v>264.5619375</v>
      </c>
      <c r="M35" s="3190">
        <f t="shared" ca="1" si="9"/>
        <v>264.5619375</v>
      </c>
      <c r="N35" s="3191">
        <f ca="1">SUM(B35:M35)</f>
        <v>3114.9324375000006</v>
      </c>
    </row>
    <row r="36" spans="1:14">
      <c r="A36" s="3192"/>
    </row>
    <row r="37" spans="1:14" ht="16.5" thickBot="1">
      <c r="A37" s="36"/>
      <c r="B37" s="36"/>
      <c r="C37" s="36"/>
      <c r="D37" s="36"/>
      <c r="E37" s="36"/>
      <c r="F37" s="36"/>
      <c r="G37" s="36"/>
      <c r="H37" s="36"/>
      <c r="I37" s="36"/>
      <c r="J37" s="36"/>
      <c r="K37" s="36"/>
      <c r="L37" s="36"/>
      <c r="M37" s="36"/>
      <c r="N37" s="36"/>
    </row>
    <row r="38" spans="1:14">
      <c r="A38" s="3207" t="str">
        <f>+'Ret IRS'!E34</f>
        <v>Ano 3:  2029</v>
      </c>
      <c r="B38" s="3188" t="str">
        <f t="array" ref="B38:M38">meses</f>
        <v>janeiro</v>
      </c>
      <c r="C38" s="3188" t="str">
        <v>fevereiro</v>
      </c>
      <c r="D38" s="3188" t="str">
        <v>março</v>
      </c>
      <c r="E38" s="3188" t="str">
        <v>abril</v>
      </c>
      <c r="F38" s="3188" t="str">
        <v>maio</v>
      </c>
      <c r="G38" s="3188" t="str">
        <v>junho</v>
      </c>
      <c r="H38" s="3188" t="str">
        <v>julho</v>
      </c>
      <c r="I38" s="3188" t="str">
        <v>agosto</v>
      </c>
      <c r="J38" s="3188" t="str">
        <v>setembro</v>
      </c>
      <c r="K38" s="3188" t="str">
        <v>outubro</v>
      </c>
      <c r="L38" s="3188" t="str">
        <v>novembro</v>
      </c>
      <c r="M38" s="3188" t="str">
        <v>dezembro</v>
      </c>
      <c r="N38" s="3189" t="str">
        <f>'Ret IRS'!$N$8</f>
        <v>Totais</v>
      </c>
    </row>
    <row r="39" spans="1:14">
      <c r="A39" s="2177" t="s">
        <v>1267</v>
      </c>
      <c r="B39" s="82">
        <f ca="1">'PyG 3'!B5</f>
        <v>1205.277881</v>
      </c>
      <c r="C39" s="82">
        <f ca="1">'PyG 3'!C5</f>
        <v>1205.277881</v>
      </c>
      <c r="D39" s="82">
        <f ca="1">'PyG 3'!D5</f>
        <v>1205.277881</v>
      </c>
      <c r="E39" s="82">
        <f ca="1">'PyG 3'!E5</f>
        <v>1205.277881</v>
      </c>
      <c r="F39" s="82">
        <f ca="1">'PyG 3'!F5</f>
        <v>1205.277881</v>
      </c>
      <c r="G39" s="82">
        <f ca="1">'PyG 3'!G5</f>
        <v>1205.277881</v>
      </c>
      <c r="H39" s="82">
        <f ca="1">'PyG 3'!H5</f>
        <v>1205.277881</v>
      </c>
      <c r="I39" s="82">
        <f ca="1">'PyG 3'!I5</f>
        <v>1205.277881</v>
      </c>
      <c r="J39" s="82">
        <f ca="1">'PyG 3'!J5</f>
        <v>1205.277881</v>
      </c>
      <c r="K39" s="82">
        <f ca="1">'PyG 3'!K5</f>
        <v>1205.277881</v>
      </c>
      <c r="L39" s="82">
        <f ca="1">'PyG 3'!L5</f>
        <v>1205.277881</v>
      </c>
      <c r="M39" s="82">
        <f ca="1">'PyG 3'!M5</f>
        <v>1205.277881</v>
      </c>
      <c r="N39" s="1111">
        <f ca="1">SUM(B39:M39)</f>
        <v>14463.334572</v>
      </c>
    </row>
    <row r="40" spans="1:14">
      <c r="A40" s="2177" t="s">
        <v>1268</v>
      </c>
      <c r="B40" s="82">
        <f>+'Ret IRS'!B37</f>
        <v>0</v>
      </c>
      <c r="C40" s="82">
        <f>+'Ret IRS'!C37</f>
        <v>0</v>
      </c>
      <c r="D40" s="82">
        <f>+'Ret IRS'!D37</f>
        <v>0</v>
      </c>
      <c r="E40" s="82">
        <f>+'Ret IRS'!E37</f>
        <v>0</v>
      </c>
      <c r="F40" s="82">
        <f>+'Ret IRS'!F37</f>
        <v>0</v>
      </c>
      <c r="G40" s="82">
        <f>+'Ret IRS'!G37</f>
        <v>0</v>
      </c>
      <c r="H40" s="82">
        <f>+'Ret IRS'!H37</f>
        <v>0</v>
      </c>
      <c r="I40" s="82">
        <f>+'Ret IRS'!I37</f>
        <v>0</v>
      </c>
      <c r="J40" s="82">
        <f>+'Ret IRS'!J37</f>
        <v>0</v>
      </c>
      <c r="K40" s="82">
        <f>+'Ret IRS'!K37</f>
        <v>0</v>
      </c>
      <c r="L40" s="82">
        <f>+'Ret IRS'!L37</f>
        <v>0</v>
      </c>
      <c r="M40" s="82">
        <f>+'Ret IRS'!M37</f>
        <v>0</v>
      </c>
      <c r="N40" s="1111">
        <f>SUM(B40:M40)</f>
        <v>0</v>
      </c>
    </row>
    <row r="41" spans="1:14">
      <c r="A41" s="2177" t="s">
        <v>1270</v>
      </c>
      <c r="B41" s="82">
        <f t="shared" ref="B41:M41" ca="1" si="10">B39-B40</f>
        <v>1205.277881</v>
      </c>
      <c r="C41" s="82">
        <f t="shared" ca="1" si="10"/>
        <v>1205.277881</v>
      </c>
      <c r="D41" s="82">
        <f t="shared" ca="1" si="10"/>
        <v>1205.277881</v>
      </c>
      <c r="E41" s="82">
        <f t="shared" ca="1" si="10"/>
        <v>1205.277881</v>
      </c>
      <c r="F41" s="82">
        <f t="shared" ca="1" si="10"/>
        <v>1205.277881</v>
      </c>
      <c r="G41" s="82">
        <f t="shared" ca="1" si="10"/>
        <v>1205.277881</v>
      </c>
      <c r="H41" s="82">
        <f t="shared" ca="1" si="10"/>
        <v>1205.277881</v>
      </c>
      <c r="I41" s="82">
        <f t="shared" ca="1" si="10"/>
        <v>1205.277881</v>
      </c>
      <c r="J41" s="82">
        <f t="shared" ca="1" si="10"/>
        <v>1205.277881</v>
      </c>
      <c r="K41" s="82">
        <f t="shared" ca="1" si="10"/>
        <v>1205.277881</v>
      </c>
      <c r="L41" s="82">
        <f t="shared" ca="1" si="10"/>
        <v>1205.277881</v>
      </c>
      <c r="M41" s="82">
        <f t="shared" ca="1" si="10"/>
        <v>1205.277881</v>
      </c>
      <c r="N41" s="1111">
        <f ca="1">SUM(B41:M41)</f>
        <v>14463.334572</v>
      </c>
    </row>
    <row r="42" spans="1:14" ht="16.5" thickBot="1">
      <c r="A42" s="3194" t="s">
        <v>1269</v>
      </c>
      <c r="B42" s="578"/>
      <c r="C42" s="578"/>
      <c r="D42" s="3218">
        <f ca="1">MAX(SUM(B41:D41),0)/$D$8</f>
        <v>3615.8336429999999</v>
      </c>
      <c r="E42" s="578"/>
      <c r="F42" s="578"/>
      <c r="G42" s="3218">
        <f ca="1">MAX(SUM(E41:G41),0)/$D$8</f>
        <v>3615.8336429999999</v>
      </c>
      <c r="H42" s="578"/>
      <c r="I42" s="578"/>
      <c r="J42" s="3218">
        <f ca="1">MAX(SUM(H41:J41),0)/$D$8</f>
        <v>3615.8336429999999</v>
      </c>
      <c r="K42" s="578"/>
      <c r="L42" s="578"/>
      <c r="M42" s="3218">
        <f ca="1">MAX(SUM(K41:M41),0)/$D$8</f>
        <v>3615.8336429999999</v>
      </c>
      <c r="N42" s="142">
        <f ca="1">SUM(B42:M42)</f>
        <v>14463.334572</v>
      </c>
    </row>
    <row r="43" spans="1:14" ht="16.5" thickBot="1"/>
    <row r="44" spans="1:14" ht="16.5" thickBot="1">
      <c r="A44" s="2611" t="str">
        <f>"Contribuções para o "&amp;A38</f>
        <v>Contribuções para o Ano 3:  2029</v>
      </c>
      <c r="B44" s="3190">
        <f t="shared" ref="B44:D44" ca="1" si="11">MAX($M33*$E$6/3,$E$7)</f>
        <v>264.5619375</v>
      </c>
      <c r="C44" s="3190">
        <f t="shared" ca="1" si="11"/>
        <v>264.5619375</v>
      </c>
      <c r="D44" s="3190">
        <f t="shared" ca="1" si="11"/>
        <v>264.5619375</v>
      </c>
      <c r="E44" s="3190">
        <f t="shared" ref="E44:G44" ca="1" si="12">MAX($D42*$E$6/3,$E$7)</f>
        <v>286.25349673749997</v>
      </c>
      <c r="F44" s="3190">
        <f t="shared" ca="1" si="12"/>
        <v>286.25349673749997</v>
      </c>
      <c r="G44" s="3190">
        <f t="shared" ca="1" si="12"/>
        <v>286.25349673749997</v>
      </c>
      <c r="H44" s="3190">
        <f t="shared" ref="H44:J44" ca="1" si="13">MAX($G42*$E$6/3,$E$7)</f>
        <v>286.25349673749997</v>
      </c>
      <c r="I44" s="3190">
        <f t="shared" ca="1" si="13"/>
        <v>286.25349673749997</v>
      </c>
      <c r="J44" s="3190">
        <f t="shared" ca="1" si="13"/>
        <v>286.25349673749997</v>
      </c>
      <c r="K44" s="3190">
        <f t="shared" ref="K44:M44" ca="1" si="14">MAX($J42*$E$6/3,$E$7)</f>
        <v>286.25349673749997</v>
      </c>
      <c r="L44" s="3190">
        <f t="shared" ca="1" si="14"/>
        <v>286.25349673749997</v>
      </c>
      <c r="M44" s="3190">
        <f t="shared" ca="1" si="14"/>
        <v>286.25349673749997</v>
      </c>
      <c r="N44" s="3191">
        <f ca="1">SUM(B44:M44)</f>
        <v>3369.9672831374996</v>
      </c>
    </row>
    <row r="45" spans="1:14">
      <c r="A45" s="3192"/>
    </row>
    <row r="46" spans="1:14" ht="16.5" thickBot="1">
      <c r="A46" s="36"/>
      <c r="B46" s="36"/>
      <c r="C46" s="36"/>
      <c r="D46" s="36"/>
      <c r="E46" s="36"/>
      <c r="F46" s="36"/>
      <c r="G46" s="36"/>
      <c r="H46" s="36"/>
      <c r="I46" s="36"/>
      <c r="J46" s="36"/>
      <c r="K46" s="36"/>
      <c r="L46" s="36"/>
      <c r="M46" s="36"/>
      <c r="N46" s="36"/>
    </row>
    <row r="47" spans="1:14">
      <c r="A47" s="3207" t="str">
        <f>+'Ret IRS'!E43</f>
        <v>Ano 4:  2030</v>
      </c>
      <c r="B47" s="3188" t="str">
        <f t="array" ref="B47:M47">meses</f>
        <v>janeiro</v>
      </c>
      <c r="C47" s="3188" t="str">
        <v>fevereiro</v>
      </c>
      <c r="D47" s="3188" t="str">
        <v>março</v>
      </c>
      <c r="E47" s="3188" t="str">
        <v>abril</v>
      </c>
      <c r="F47" s="3188" t="str">
        <v>maio</v>
      </c>
      <c r="G47" s="3188" t="str">
        <v>junho</v>
      </c>
      <c r="H47" s="3188" t="str">
        <v>julho</v>
      </c>
      <c r="I47" s="3188" t="str">
        <v>agosto</v>
      </c>
      <c r="J47" s="3188" t="str">
        <v>setembro</v>
      </c>
      <c r="K47" s="3188" t="str">
        <v>outubro</v>
      </c>
      <c r="L47" s="3188" t="str">
        <v>novembro</v>
      </c>
      <c r="M47" s="3188" t="str">
        <v>dezembro</v>
      </c>
      <c r="N47" s="3189" t="str">
        <f>'Ret IRS'!$N$8</f>
        <v>Totais</v>
      </c>
    </row>
    <row r="48" spans="1:14">
      <c r="A48" s="2177" t="s">
        <v>1267</v>
      </c>
      <c r="B48" s="82">
        <f ca="1">'PyG 4'!B5</f>
        <v>1303.3392019800001</v>
      </c>
      <c r="C48" s="82">
        <f ca="1">'PyG 4'!C5</f>
        <v>1303.3392019800001</v>
      </c>
      <c r="D48" s="82">
        <f ca="1">'PyG 4'!D5</f>
        <v>1303.3392019800001</v>
      </c>
      <c r="E48" s="82">
        <f ca="1">'PyG 4'!E5</f>
        <v>1303.3392019800001</v>
      </c>
      <c r="F48" s="82">
        <f ca="1">'PyG 4'!F5</f>
        <v>1303.3392019800001</v>
      </c>
      <c r="G48" s="82">
        <f ca="1">'PyG 4'!G5</f>
        <v>1303.3392019800001</v>
      </c>
      <c r="H48" s="82">
        <f ca="1">'PyG 4'!H5</f>
        <v>1303.3392019800001</v>
      </c>
      <c r="I48" s="82">
        <f ca="1">'PyG 4'!I5</f>
        <v>1303.3392019800001</v>
      </c>
      <c r="J48" s="82">
        <f ca="1">'PyG 4'!J5</f>
        <v>1303.3392019800001</v>
      </c>
      <c r="K48" s="82">
        <f ca="1">'PyG 4'!K5</f>
        <v>1303.3392019800001</v>
      </c>
      <c r="L48" s="82">
        <f ca="1">'PyG 4'!L5</f>
        <v>1303.3392019800001</v>
      </c>
      <c r="M48" s="82">
        <f ca="1">'PyG 4'!M5</f>
        <v>1303.3392019800001</v>
      </c>
      <c r="N48" s="1111">
        <f ca="1">SUM(B48:M48)</f>
        <v>15640.070423759998</v>
      </c>
    </row>
    <row r="49" spans="1:14">
      <c r="A49" s="2177" t="s">
        <v>1268</v>
      </c>
      <c r="B49" s="82">
        <f>'Ret IRS'!B46</f>
        <v>0</v>
      </c>
      <c r="C49" s="82">
        <f>'Ret IRS'!C46</f>
        <v>0</v>
      </c>
      <c r="D49" s="82">
        <f>'Ret IRS'!D46</f>
        <v>0</v>
      </c>
      <c r="E49" s="82">
        <f>'Ret IRS'!E46</f>
        <v>0</v>
      </c>
      <c r="F49" s="82">
        <f>'Ret IRS'!F46</f>
        <v>0</v>
      </c>
      <c r="G49" s="82">
        <f>'Ret IRS'!G46</f>
        <v>0</v>
      </c>
      <c r="H49" s="82">
        <f>'Ret IRS'!H46</f>
        <v>0</v>
      </c>
      <c r="I49" s="82">
        <f>'Ret IRS'!I46</f>
        <v>0</v>
      </c>
      <c r="J49" s="82">
        <f>'Ret IRS'!J46</f>
        <v>0</v>
      </c>
      <c r="K49" s="82">
        <f>'Ret IRS'!K46</f>
        <v>0</v>
      </c>
      <c r="L49" s="82">
        <f>'Ret IRS'!L46</f>
        <v>0</v>
      </c>
      <c r="M49" s="82">
        <f>'Ret IRS'!M46</f>
        <v>0</v>
      </c>
      <c r="N49" s="1111">
        <f>SUM(B49:M49)</f>
        <v>0</v>
      </c>
    </row>
    <row r="50" spans="1:14">
      <c r="A50" s="2177" t="s">
        <v>1270</v>
      </c>
      <c r="B50" s="82">
        <f t="shared" ref="B50:M50" ca="1" si="15">B48-B49</f>
        <v>1303.3392019800001</v>
      </c>
      <c r="C50" s="82">
        <f t="shared" ca="1" si="15"/>
        <v>1303.3392019800001</v>
      </c>
      <c r="D50" s="82">
        <f t="shared" ca="1" si="15"/>
        <v>1303.3392019800001</v>
      </c>
      <c r="E50" s="82">
        <f t="shared" ca="1" si="15"/>
        <v>1303.3392019800001</v>
      </c>
      <c r="F50" s="82">
        <f t="shared" ca="1" si="15"/>
        <v>1303.3392019800001</v>
      </c>
      <c r="G50" s="82">
        <f t="shared" ca="1" si="15"/>
        <v>1303.3392019800001</v>
      </c>
      <c r="H50" s="82">
        <f t="shared" ca="1" si="15"/>
        <v>1303.3392019800001</v>
      </c>
      <c r="I50" s="82">
        <f t="shared" ca="1" si="15"/>
        <v>1303.3392019800001</v>
      </c>
      <c r="J50" s="82">
        <f t="shared" ca="1" si="15"/>
        <v>1303.3392019800001</v>
      </c>
      <c r="K50" s="82">
        <f t="shared" ca="1" si="15"/>
        <v>1303.3392019800001</v>
      </c>
      <c r="L50" s="82">
        <f t="shared" ca="1" si="15"/>
        <v>1303.3392019800001</v>
      </c>
      <c r="M50" s="82">
        <f t="shared" ca="1" si="15"/>
        <v>1303.3392019800001</v>
      </c>
      <c r="N50" s="1111">
        <f ca="1">SUM(B50:M50)</f>
        <v>15640.070423759998</v>
      </c>
    </row>
    <row r="51" spans="1:14" ht="16.5" thickBot="1">
      <c r="A51" s="3194" t="s">
        <v>1269</v>
      </c>
      <c r="B51" s="578"/>
      <c r="C51" s="578"/>
      <c r="D51" s="3218">
        <f ca="1">MAX(SUM(B50:D50),0)/$F$8</f>
        <v>3910.0176059400001</v>
      </c>
      <c r="E51" s="578"/>
      <c r="F51" s="578"/>
      <c r="G51" s="3218">
        <f ca="1">MAX(SUM(E50:G50),0)/$F$8</f>
        <v>3910.0176059400001</v>
      </c>
      <c r="H51" s="578"/>
      <c r="I51" s="578"/>
      <c r="J51" s="3218">
        <f ca="1">MAX(SUM(H50:J50),0)/$F$8</f>
        <v>3910.0176059400001</v>
      </c>
      <c r="K51" s="578"/>
      <c r="L51" s="578"/>
      <c r="M51" s="3218">
        <f ca="1">MAX(SUM(K50:M50),0)/$F$8</f>
        <v>3910.0176059400001</v>
      </c>
      <c r="N51" s="142">
        <f ca="1">SUM(B51:M51)</f>
        <v>15640.07042376</v>
      </c>
    </row>
    <row r="52" spans="1:14" ht="16.5" thickBot="1"/>
    <row r="53" spans="1:14" ht="16.5" thickBot="1">
      <c r="A53" s="2611" t="str">
        <f>"Contribuções para o "&amp;A47</f>
        <v>Contribuções para o Ano 4:  2030</v>
      </c>
      <c r="B53" s="3190">
        <f ca="1">MAX($M42*$F$6/3,$F$7)</f>
        <v>286.25349673749997</v>
      </c>
      <c r="C53" s="3190">
        <f ca="1">MAX($M42*$F$6/3,$F$7)</f>
        <v>286.25349673749997</v>
      </c>
      <c r="D53" s="3190">
        <f ca="1">MAX($M42*$F$6/3,$F$7)</f>
        <v>286.25349673749997</v>
      </c>
      <c r="E53" s="3190">
        <f ca="1">MAX($D51*$F$6/3,$F$7)</f>
        <v>309.54306047025</v>
      </c>
      <c r="F53" s="3190">
        <f ca="1">MAX($D51*$F$6/3,$F$7)</f>
        <v>309.54306047025</v>
      </c>
      <c r="G53" s="3190">
        <f ca="1">MAX($D51*$F$6/3,$F$7)</f>
        <v>309.54306047025</v>
      </c>
      <c r="H53" s="3190">
        <f ca="1">MAX($G51*$F$6/3,$F$7)</f>
        <v>309.54306047025</v>
      </c>
      <c r="I53" s="3190">
        <f ca="1">MAX($G51*$F$6/3,$F$7)</f>
        <v>309.54306047025</v>
      </c>
      <c r="J53" s="3190">
        <f ca="1">MAX($G51*$F$6/3,$F$7)</f>
        <v>309.54306047025</v>
      </c>
      <c r="K53" s="3190">
        <f ca="1">MAX($J51*$F$6/3,$F$7)</f>
        <v>309.54306047025</v>
      </c>
      <c r="L53" s="3190">
        <f ca="1">MAX($J51*$F$6/3,$F$7)</f>
        <v>309.54306047025</v>
      </c>
      <c r="M53" s="3190">
        <f ca="1">MAX($J51*$F$6/3,$F$7)</f>
        <v>309.54306047025</v>
      </c>
      <c r="N53" s="3191">
        <f ca="1">SUM(B53:M53)</f>
        <v>3644.6480344447509</v>
      </c>
    </row>
  </sheetData>
  <sheetProtection sheet="1" objects="1" scenarios="1"/>
  <conditionalFormatting sqref="B12:M15 B17:M17 D24 G24 J24 D33 G33 J33 M33 D42 G42 J42 M42 D51 G51 J51">
    <cfRule type="expression" dxfId="20" priority="4">
      <formula>COLUMN(B$11)&lt;mes0+1</formula>
    </cfRule>
  </conditionalFormatting>
  <conditionalFormatting sqref="M24">
    <cfRule type="expression" dxfId="19" priority="3">
      <formula>COLUMN(M$11)&lt;mes0+1</formula>
    </cfRule>
  </conditionalFormatting>
  <conditionalFormatting sqref="M51">
    <cfRule type="expression" dxfId="18" priority="1">
      <formula>COLUMN(M$11)&lt;mes0+1</formula>
    </cfRule>
  </conditionalFormatting>
  <pageMargins left="0.70866141732283472" right="0.70866141732283472" top="0.45" bottom="0.47" header="0.31496062992125984" footer="0.31496062992125984"/>
  <pageSetup paperSize="9" scale="65" orientation="landscape"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282">
    <tabColor indexed="43"/>
    <pageSetUpPr fitToPage="1"/>
  </sheetPr>
  <dimension ref="A1:O49"/>
  <sheetViews>
    <sheetView workbookViewId="0"/>
  </sheetViews>
  <sheetFormatPr baseColWidth="10" defaultColWidth="11" defaultRowHeight="15"/>
  <cols>
    <col min="1" max="1" width="30.875" style="36" customWidth="1"/>
    <col min="2" max="2" width="13.5" style="36" customWidth="1"/>
    <col min="3" max="4" width="11" style="36"/>
    <col min="5" max="5" width="12.625" style="36" customWidth="1"/>
    <col min="6" max="6" width="14.125" style="36" bestFit="1" customWidth="1"/>
    <col min="7" max="7" width="11" style="36"/>
    <col min="8" max="8" width="12" style="36" customWidth="1"/>
    <col min="9" max="10" width="11" style="36"/>
    <col min="11" max="11" width="12" style="36" customWidth="1"/>
    <col min="12" max="13" width="11" style="36"/>
    <col min="14" max="14" width="11.75" style="36" bestFit="1" customWidth="1"/>
    <col min="15" max="16" width="8.625" style="36" customWidth="1"/>
    <col min="17" max="17" width="9.875" style="36" customWidth="1"/>
    <col min="18" max="19" width="8.625" style="36" customWidth="1"/>
    <col min="20" max="16384" width="11" style="36"/>
  </cols>
  <sheetData>
    <row r="1" spans="1:14" s="99" customFormat="1" ht="22.5">
      <c r="A1" s="68" t="str">
        <f>'Dados Básicos'!$I$43&amp;" Profisionais e Trabalhadores independentes"</f>
        <v>I.R.S. Profisionais e Trabalhadores independentes</v>
      </c>
      <c r="H1" s="1107" t="str">
        <f>IF(irpf=0,CONCATENATE("Forma Jurídica: ",'Dados Básicos'!B24),"")</f>
        <v>Forma Jurídica: Sociedade Responsabilidade Limitada  ( S.R.L. )</v>
      </c>
    </row>
    <row r="2" spans="1:14" s="68" customFormat="1" ht="22.5">
      <c r="A2" s="68" t="str">
        <f>CONCATENATE("Previsões de retenções e pagamentos por conta do "&amp;'Dados Básicos'!$I$43&amp;" (",Parametros!$H$11,")")</f>
        <v>Previsões de retenções e pagamentos por conta do I.R.S. (€)</v>
      </c>
      <c r="H2" s="1107" t="str">
        <f>IF($H$1="","","Não sujeto ao IRS Singulares")</f>
        <v>Não sujeto ao IRS Singulares</v>
      </c>
    </row>
    <row r="3" spans="1:14" s="68" customFormat="1" ht="22.5">
      <c r="A3" s="68" t="str">
        <f>'Prev.Vendas 0'!A2</f>
        <v>WWW, S.L.</v>
      </c>
      <c r="H3" s="1107" t="str">
        <f>IF(H1="","","TRIBUTAÇÕ EM IRC Coletivas")</f>
        <v>TRIBUTAÇÕ EM IRC Coletivas</v>
      </c>
    </row>
    <row r="4" spans="1:14" s="99" customFormat="1" ht="22.5"/>
    <row r="5" spans="1:14" s="99" customFormat="1" ht="22.5">
      <c r="A5" s="1566" t="str">
        <f>IF(B5=0,"",'Dados Básicos'!F28)</f>
        <v/>
      </c>
      <c r="B5" s="1597">
        <f>irpf</f>
        <v>0</v>
      </c>
      <c r="C5" s="1598"/>
      <c r="D5" s="1599" t="str">
        <f>IF(ret_irpf=0,"",CONCATENATE(TEXT('Dados Básicos'!I29,"#%")," de retención sobre el ",TEXT('Dados Básicos'!I30,"#%")," de la facturación."))</f>
        <v/>
      </c>
      <c r="E5" s="1598"/>
    </row>
    <row r="6" spans="1:14" s="99" customFormat="1" ht="22.5">
      <c r="A6" s="49"/>
    </row>
    <row r="7" spans="1:14" s="99" customFormat="1" ht="23.25" thickBot="1">
      <c r="A7" s="68" t="str">
        <f>"Retenções e pagamentos por conta do "&amp;'Dados Básicos'!$I$43</f>
        <v>Retenções e pagamentos por conta do I.R.S.</v>
      </c>
      <c r="E7" s="532" t="str">
        <f>Parametros!B$77</f>
        <v>Ano 0:  2026</v>
      </c>
      <c r="F7" s="241"/>
    </row>
    <row r="8" spans="1:14">
      <c r="A8" s="1595"/>
      <c r="B8" s="1109" t="str">
        <f t="array" ref="B8:M8">meses</f>
        <v>janeiro</v>
      </c>
      <c r="C8" s="1109" t="str">
        <v>fevereiro</v>
      </c>
      <c r="D8" s="1109" t="str">
        <v>março</v>
      </c>
      <c r="E8" s="1109" t="str">
        <v>abril</v>
      </c>
      <c r="F8" s="1109" t="str">
        <v>maio</v>
      </c>
      <c r="G8" s="1109" t="str">
        <v>junho</v>
      </c>
      <c r="H8" s="1109" t="str">
        <v>julho</v>
      </c>
      <c r="I8" s="1109" t="str">
        <v>agosto</v>
      </c>
      <c r="J8" s="1109" t="str">
        <v>setembro</v>
      </c>
      <c r="K8" s="1109" t="str">
        <v>outubro</v>
      </c>
      <c r="L8" s="1109" t="str">
        <v>novembro</v>
      </c>
      <c r="M8" s="1109" t="str">
        <v>dezembro</v>
      </c>
      <c r="N8" s="1110" t="s">
        <v>612</v>
      </c>
    </row>
    <row r="9" spans="1:14" ht="16.5" customHeight="1">
      <c r="A9" s="2177" t="str">
        <f>"Retenções "&amp;'Dados Básicos'!$I$43</f>
        <v>Retenções I.R.S.</v>
      </c>
      <c r="B9" s="82">
        <f ca="1">'Prev.Vendas 0'!B25*ret_irpf+'Investimentos AC'!G21</f>
        <v>0</v>
      </c>
      <c r="C9" s="82">
        <f ca="1">'Prev.Vendas 0'!C25*ret_irpf</f>
        <v>0</v>
      </c>
      <c r="D9" s="82">
        <f ca="1">'Prev.Vendas 0'!D25*ret_irpf</f>
        <v>0</v>
      </c>
      <c r="E9" s="82">
        <f ca="1">'Prev.Vendas 0'!E25*ret_irpf</f>
        <v>0</v>
      </c>
      <c r="F9" s="82">
        <f ca="1">'Prev.Vendas 0'!F25*ret_irpf</f>
        <v>0</v>
      </c>
      <c r="G9" s="82">
        <f ca="1">'Prev.Vendas 0'!G25*ret_irpf</f>
        <v>0</v>
      </c>
      <c r="H9" s="82">
        <f ca="1">'Prev.Vendas 0'!H25*ret_irpf</f>
        <v>0</v>
      </c>
      <c r="I9" s="82">
        <f ca="1">'Prev.Vendas 0'!I25*ret_irpf</f>
        <v>0</v>
      </c>
      <c r="J9" s="82">
        <f ca="1">'Prev.Vendas 0'!J25*ret_irpf</f>
        <v>0</v>
      </c>
      <c r="K9" s="82">
        <f ca="1">'Prev.Vendas 0'!K25*ret_irpf</f>
        <v>0</v>
      </c>
      <c r="L9" s="82">
        <f ca="1">'Prev.Vendas 0'!L25*ret_irpf</f>
        <v>0</v>
      </c>
      <c r="M9" s="82">
        <f ca="1">'Prev.Vendas 0'!M25*ret_irpf</f>
        <v>0</v>
      </c>
      <c r="N9" s="1111">
        <f ca="1">SUM(B9:M9)</f>
        <v>0</v>
      </c>
    </row>
    <row r="10" spans="1:14" ht="16.5" customHeight="1">
      <c r="A10" s="2177" t="s">
        <v>844</v>
      </c>
      <c r="B10" s="82">
        <f>IF($B$5=0,0,'Distr CV 0'!B28+'G.F. 0'!B58-'G.F. 0'!B7+'Despesas Financeiras'!C19-'Despesas Financeiras'!C87+'PyG 0'!B22)</f>
        <v>0</v>
      </c>
      <c r="C10" s="82">
        <f>IF($B$5=0,0,'Distr CV 0'!C28+'G.F. 0'!C58-'G.F. 0'!C7+'Despesas Financeiras'!D19-'Despesas Financeiras'!D87+'PyG 0'!C22)</f>
        <v>0</v>
      </c>
      <c r="D10" s="82">
        <f>IF($B$5=0,0,'Distr CV 0'!D28+'G.F. 0'!D58-'G.F. 0'!D7+'Despesas Financeiras'!E19-'Despesas Financeiras'!E87+'PyG 0'!D22)</f>
        <v>0</v>
      </c>
      <c r="E10" s="82">
        <f>IF($B$5=0,0,'Distr CV 0'!E28+'G.F. 0'!E58-'G.F. 0'!E7+'Despesas Financeiras'!F19-'Despesas Financeiras'!F87+'PyG 0'!E22)</f>
        <v>0</v>
      </c>
      <c r="F10" s="82">
        <f>IF($B$5=0,0,'Distr CV 0'!F28+'G.F. 0'!F58-'G.F. 0'!F7+'Despesas Financeiras'!G19-'Despesas Financeiras'!G87+'PyG 0'!F22)</f>
        <v>0</v>
      </c>
      <c r="G10" s="82">
        <f>IF($B$5=0,0,'Distr CV 0'!G28+'G.F. 0'!G58-'G.F. 0'!G7+'Despesas Financeiras'!H19-'Despesas Financeiras'!H87+'PyG 0'!G22)</f>
        <v>0</v>
      </c>
      <c r="H10" s="82">
        <f>IF($B$5=0,0,'Distr CV 0'!H28+'G.F. 0'!H58-'G.F. 0'!H7+'Despesas Financeiras'!I19-'Despesas Financeiras'!I87+'PyG 0'!H22)</f>
        <v>0</v>
      </c>
      <c r="I10" s="82">
        <f>IF($B$5=0,0,'Distr CV 0'!I28+'G.F. 0'!I58-'G.F. 0'!I7+'Despesas Financeiras'!J19-'Despesas Financeiras'!J87+'PyG 0'!I22)</f>
        <v>0</v>
      </c>
      <c r="J10" s="82">
        <f>IF($B$5=0,0,'Distr CV 0'!J28+'G.F. 0'!J58-'G.F. 0'!J7+'Despesas Financeiras'!K19-'Despesas Financeiras'!K87+'PyG 0'!J22)</f>
        <v>0</v>
      </c>
      <c r="K10" s="82">
        <f>IF($B$5=0,0,'Distr CV 0'!K28+'G.F. 0'!K58-'G.F. 0'!K7+'Despesas Financeiras'!L19-'Despesas Financeiras'!L87+'PyG 0'!K22)</f>
        <v>0</v>
      </c>
      <c r="L10" s="82">
        <f>IF($B$5=0,0,'Distr CV 0'!L28+'G.F. 0'!L58-'G.F. 0'!L7+'Despesas Financeiras'!M19-'Despesas Financeiras'!M87+'PyG 0'!L22)</f>
        <v>0</v>
      </c>
      <c r="M10" s="82">
        <f>IF($B$5=0,0,'Distr CV 0'!M28+'G.F. 0'!M58-'G.F. 0'!M7+'Despesas Financeiras'!N19-'Despesas Financeiras'!N87+'PyG 0'!M22)</f>
        <v>0</v>
      </c>
      <c r="N10" s="1111">
        <f>SUM(B10:M10)</f>
        <v>0</v>
      </c>
    </row>
    <row r="11" spans="1:14" ht="18.75" customHeight="1">
      <c r="A11" s="2177" t="str">
        <f>"Quotas "&amp;'Dados Básicos'!$I$43</f>
        <v>Quotas I.R.S.</v>
      </c>
      <c r="B11" s="1104">
        <v>0</v>
      </c>
      <c r="C11" s="1104">
        <v>0</v>
      </c>
      <c r="D11" s="1104">
        <v>0</v>
      </c>
      <c r="E11" s="1104">
        <f ca="1">$B$5*(SUM('Prev.Vendas 0'!B25:D25)-SUM(B10:D10))</f>
        <v>0</v>
      </c>
      <c r="F11" s="1104">
        <v>0</v>
      </c>
      <c r="G11" s="1104">
        <v>0</v>
      </c>
      <c r="H11" s="1104">
        <f ca="1">$B$5*(SUM('Prev.Vendas 0'!$B25:G25)-SUM($B10:G10))</f>
        <v>0</v>
      </c>
      <c r="I11" s="1104">
        <v>0</v>
      </c>
      <c r="J11" s="1104">
        <v>0</v>
      </c>
      <c r="K11" s="1104">
        <f ca="1">$B$5*(SUM('Prev.Vendas 0'!$B25:J25)-SUM($B10:J10))</f>
        <v>0</v>
      </c>
      <c r="L11" s="1104">
        <v>0</v>
      </c>
      <c r="M11" s="1104">
        <v>0</v>
      </c>
      <c r="N11" s="1111">
        <f ca="1">$B$5*(SUM('Prev.Vendas 0'!$B25:M25)-SUM($B10:M10))</f>
        <v>0</v>
      </c>
    </row>
    <row r="12" spans="1:14">
      <c r="A12" s="1596"/>
      <c r="B12" s="1105"/>
      <c r="C12" s="1105"/>
      <c r="D12" s="1105"/>
      <c r="E12" s="1105"/>
      <c r="F12" s="1105"/>
      <c r="G12" s="1105"/>
      <c r="H12" s="1105"/>
      <c r="I12" s="1105"/>
      <c r="J12" s="1105"/>
      <c r="K12" s="1105"/>
      <c r="L12" s="1105"/>
      <c r="M12" s="1105"/>
      <c r="N12" s="1112"/>
    </row>
    <row r="13" spans="1:14" ht="19.5" customHeight="1" thickBot="1">
      <c r="A13" s="2848" t="s">
        <v>845</v>
      </c>
      <c r="B13" s="1114">
        <v>0</v>
      </c>
      <c r="C13" s="1115"/>
      <c r="D13" s="1115"/>
      <c r="E13" s="1115">
        <f ca="1">MAX(E11-SUM($B9:D9)-SUM($C13:D13),0)</f>
        <v>0</v>
      </c>
      <c r="F13" s="1115"/>
      <c r="G13" s="1115"/>
      <c r="H13" s="1115">
        <f ca="1">MAX(H11-SUM($B9:G9)-SUM($C13:G13),0)</f>
        <v>0</v>
      </c>
      <c r="I13" s="1115"/>
      <c r="J13" s="1115"/>
      <c r="K13" s="1115">
        <f ca="1">MAX(K11-SUM($B9:J9)-SUM($C13:J13),0)</f>
        <v>0</v>
      </c>
      <c r="L13" s="1115"/>
      <c r="M13" s="1115"/>
      <c r="N13" s="1872">
        <f ca="1">MAX(N11-SUM($B9:M9)-SUM($C13:M13),0)</f>
        <v>0</v>
      </c>
    </row>
    <row r="16" spans="1:14" ht="23.25" thickBot="1">
      <c r="A16" s="68" t="str">
        <f>A7</f>
        <v>Retenções e pagamentos por conta do I.R.S.</v>
      </c>
      <c r="E16" s="532" t="str">
        <f>Parametros!C$77</f>
        <v>Ano 1:  2027</v>
      </c>
      <c r="F16" s="241"/>
    </row>
    <row r="17" spans="1:15">
      <c r="A17" s="1108"/>
      <c r="B17" s="1109" t="str">
        <f t="array" ref="B17:M17">meses</f>
        <v>janeiro</v>
      </c>
      <c r="C17" s="1109" t="str">
        <v>fevereiro</v>
      </c>
      <c r="D17" s="1109" t="str">
        <v>março</v>
      </c>
      <c r="E17" s="1109" t="str">
        <v>abril</v>
      </c>
      <c r="F17" s="1109" t="str">
        <v>maio</v>
      </c>
      <c r="G17" s="1109" t="str">
        <v>junho</v>
      </c>
      <c r="H17" s="1109" t="str">
        <v>julho</v>
      </c>
      <c r="I17" s="1109" t="str">
        <v>agosto</v>
      </c>
      <c r="J17" s="1109" t="str">
        <v>setembro</v>
      </c>
      <c r="K17" s="1109" t="str">
        <v>outubro</v>
      </c>
      <c r="L17" s="1109" t="str">
        <v>novembro</v>
      </c>
      <c r="M17" s="1109" t="str">
        <v>dezembro</v>
      </c>
      <c r="N17" s="1110" t="str">
        <f>$N$8</f>
        <v>Totais</v>
      </c>
    </row>
    <row r="18" spans="1:15">
      <c r="A18" s="2177" t="str">
        <f t="array" ref="A18:A20">$A$9:$A$11</f>
        <v>Retenções I.R.S.</v>
      </c>
      <c r="B18" s="82">
        <f ca="1">'Prev.Vendas 1'!B25*ret_irpf</f>
        <v>0</v>
      </c>
      <c r="C18" s="82">
        <f ca="1">'Prev.Vendas 1'!C25*ret_irpf</f>
        <v>0</v>
      </c>
      <c r="D18" s="82">
        <f ca="1">'Prev.Vendas 1'!D25*ret_irpf</f>
        <v>0</v>
      </c>
      <c r="E18" s="82">
        <f ca="1">'Prev.Vendas 1'!E25*ret_irpf</f>
        <v>0</v>
      </c>
      <c r="F18" s="82">
        <f ca="1">'Prev.Vendas 1'!F25*ret_irpf</f>
        <v>0</v>
      </c>
      <c r="G18" s="82">
        <f ca="1">'Prev.Vendas 1'!G25*ret_irpf</f>
        <v>0</v>
      </c>
      <c r="H18" s="82">
        <f ca="1">'Prev.Vendas 1'!H25*ret_irpf</f>
        <v>0</v>
      </c>
      <c r="I18" s="82">
        <f ca="1">'Prev.Vendas 1'!I25*ret_irpf</f>
        <v>0</v>
      </c>
      <c r="J18" s="82">
        <f ca="1">'Prev.Vendas 1'!J25*ret_irpf</f>
        <v>0</v>
      </c>
      <c r="K18" s="82">
        <f ca="1">'Prev.Vendas 1'!K25*ret_irpf</f>
        <v>0</v>
      </c>
      <c r="L18" s="82">
        <f ca="1">'Prev.Vendas 1'!L25*ret_irpf</f>
        <v>0</v>
      </c>
      <c r="M18" s="82">
        <f ca="1">'Prev.Vendas 1'!M25*ret_irpf</f>
        <v>0</v>
      </c>
      <c r="N18" s="1111">
        <f ca="1">SUM(B18:M18)</f>
        <v>0</v>
      </c>
    </row>
    <row r="19" spans="1:15">
      <c r="A19" s="2177" t="str">
        <v>Gastos Deducíveis</v>
      </c>
      <c r="B19" s="82">
        <f>IF($B$5=0,0,'G.F. 1'!B58-'G.F. 1'!B7+'Distr CV 1'!B28+'Despesas Financeiras'!C34-'Despesas Financeiras'!C92+'PyG 1'!B22)</f>
        <v>0</v>
      </c>
      <c r="C19" s="82">
        <f>IF($B$5=0,0,'G.F. 1'!C58-'G.F. 1'!C7+'Distr CV 1'!C28+'Despesas Financeiras'!D34-'Despesas Financeiras'!D92+'PyG 1'!C22)</f>
        <v>0</v>
      </c>
      <c r="D19" s="82">
        <f>IF($B$5=0,0,'G.F. 1'!D58-'G.F. 1'!D7+'Distr CV 1'!D28+'Despesas Financeiras'!E34-'Despesas Financeiras'!E92+'PyG 1'!D22)</f>
        <v>0</v>
      </c>
      <c r="E19" s="82">
        <f>IF($B$5=0,0,'G.F. 1'!E58-'G.F. 1'!E7+'Distr CV 1'!E28+'Despesas Financeiras'!F34-'Despesas Financeiras'!F92+'PyG 1'!E22)</f>
        <v>0</v>
      </c>
      <c r="F19" s="82">
        <f>IF($B$5=0,0,'G.F. 1'!F58-'G.F. 1'!F7+'Distr CV 1'!F28+'Despesas Financeiras'!G34-'Despesas Financeiras'!G92+'PyG 1'!F22)</f>
        <v>0</v>
      </c>
      <c r="G19" s="82">
        <f>IF($B$5=0,0,'G.F. 1'!G58-'G.F. 1'!G7+'Distr CV 1'!G28+'Despesas Financeiras'!H34-'Despesas Financeiras'!H92+'PyG 1'!G22)</f>
        <v>0</v>
      </c>
      <c r="H19" s="82">
        <f>IF($B$5=0,0,'G.F. 1'!H58-'G.F. 1'!H7+'Distr CV 1'!H28+'Despesas Financeiras'!I34-'Despesas Financeiras'!I92+'PyG 1'!H22)</f>
        <v>0</v>
      </c>
      <c r="I19" s="82">
        <f>IF($B$5=0,0,'G.F. 1'!I58-'G.F. 1'!I7+'Distr CV 1'!I28+'Despesas Financeiras'!J34-'Despesas Financeiras'!J92+'PyG 1'!I22)</f>
        <v>0</v>
      </c>
      <c r="J19" s="82">
        <f>IF($B$5=0,0,'G.F. 1'!J58-'G.F. 1'!J7+'Distr CV 1'!J28+'Despesas Financeiras'!K34-'Despesas Financeiras'!K92+'PyG 1'!J22)</f>
        <v>0</v>
      </c>
      <c r="K19" s="82">
        <f>IF($B$5=0,0,'G.F. 1'!K58-'G.F. 1'!K7+'Distr CV 1'!K28+'Despesas Financeiras'!L34-'Despesas Financeiras'!L92+'PyG 1'!K22)</f>
        <v>0</v>
      </c>
      <c r="L19" s="82">
        <f>IF($B$5=0,0,'G.F. 1'!L58-'G.F. 1'!L7+'Distr CV 1'!L28+'Despesas Financeiras'!M34-'Despesas Financeiras'!M92+'PyG 1'!L22)</f>
        <v>0</v>
      </c>
      <c r="M19" s="82">
        <f>IF($B$5=0,0,'G.F. 1'!M58-'G.F. 1'!M7+'Distr CV 1'!M28+'Despesas Financeiras'!N34-'Despesas Financeiras'!N92+'PyG 1'!M22)</f>
        <v>0</v>
      </c>
      <c r="N19" s="1111">
        <f>SUM(B19:M19)</f>
        <v>0</v>
      </c>
    </row>
    <row r="20" spans="1:15">
      <c r="A20" s="2177" t="str">
        <v>Quotas I.R.S.</v>
      </c>
      <c r="B20" s="1104">
        <v>0</v>
      </c>
      <c r="C20" s="1104">
        <v>0</v>
      </c>
      <c r="D20" s="1104">
        <v>0</v>
      </c>
      <c r="E20" s="1104">
        <f ca="1">$B$5*(SUM('Prev.Vendas 1'!B25:D25)-SUM(B19:D19))</f>
        <v>0</v>
      </c>
      <c r="F20" s="1104">
        <v>0</v>
      </c>
      <c r="G20" s="1104">
        <v>0</v>
      </c>
      <c r="H20" s="1104">
        <f ca="1">$B$5*(SUM('Prev.Vendas 1'!$B25:G25)-SUM($B19:G19))</f>
        <v>0</v>
      </c>
      <c r="I20" s="1104">
        <v>0</v>
      </c>
      <c r="J20" s="1104">
        <v>0</v>
      </c>
      <c r="K20" s="1104">
        <f ca="1">$B$5*(SUM('Prev.Vendas 1'!$B25:J25)-SUM($B19:J19))</f>
        <v>0</v>
      </c>
      <c r="L20" s="1104">
        <v>0</v>
      </c>
      <c r="M20" s="1104">
        <v>0</v>
      </c>
      <c r="N20" s="1111">
        <f ca="1">$B$5*(SUM('Prev.Vendas 1'!$B25:M25)-N19)</f>
        <v>0</v>
      </c>
      <c r="O20" s="73"/>
    </row>
    <row r="21" spans="1:15">
      <c r="A21" s="1596"/>
      <c r="B21" s="1105"/>
      <c r="C21" s="1105"/>
      <c r="D21" s="1105"/>
      <c r="E21" s="1105"/>
      <c r="F21" s="1105"/>
      <c r="G21" s="1105"/>
      <c r="H21" s="1105"/>
      <c r="I21" s="1105"/>
      <c r="J21" s="1105"/>
      <c r="K21" s="1105"/>
      <c r="L21" s="1105"/>
      <c r="M21" s="1105"/>
      <c r="N21" s="1112"/>
    </row>
    <row r="22" spans="1:15" ht="19.5" customHeight="1" thickBot="1">
      <c r="A22" s="2848" t="str">
        <f t="array" ref="A22">$A$13</f>
        <v>Liquidações Trimestrais</v>
      </c>
      <c r="B22" s="1114">
        <f ca="1">N13</f>
        <v>0</v>
      </c>
      <c r="C22" s="1115"/>
      <c r="D22" s="1115"/>
      <c r="E22" s="1115">
        <f ca="1">MAX(E20-SUM($B18:D18)-SUM($C22:D22),0)</f>
        <v>0</v>
      </c>
      <c r="F22" s="1115"/>
      <c r="G22" s="1115"/>
      <c r="H22" s="1115">
        <f ca="1">MAX(H20-SUM($B18:G18)-SUM($C22:G22),0)</f>
        <v>0</v>
      </c>
      <c r="I22" s="1115"/>
      <c r="J22" s="1115"/>
      <c r="K22" s="1115">
        <f ca="1">MAX(K20-SUM($B18:J18)-SUM($C22:J22),0)</f>
        <v>0</v>
      </c>
      <c r="L22" s="1115"/>
      <c r="M22" s="1115"/>
      <c r="N22" s="1872">
        <f ca="1">MAX(N20-SUM($B18:M18)-SUM($C22:M22),0)</f>
        <v>0</v>
      </c>
    </row>
    <row r="25" spans="1:15" ht="23.25" thickBot="1">
      <c r="A25" s="68" t="str">
        <f>A7</f>
        <v>Retenções e pagamentos por conta do I.R.S.</v>
      </c>
      <c r="E25" s="532" t="str">
        <f>Parametros!D$77</f>
        <v>Ano 2:  2028</v>
      </c>
      <c r="F25" s="241"/>
    </row>
    <row r="26" spans="1:15">
      <c r="A26" s="1108"/>
      <c r="B26" s="1109" t="str">
        <f t="array" ref="B26:M26">meses</f>
        <v>janeiro</v>
      </c>
      <c r="C26" s="1109" t="str">
        <v>fevereiro</v>
      </c>
      <c r="D26" s="1109" t="str">
        <v>março</v>
      </c>
      <c r="E26" s="1109" t="str">
        <v>abril</v>
      </c>
      <c r="F26" s="1109" t="str">
        <v>maio</v>
      </c>
      <c r="G26" s="1109" t="str">
        <v>junho</v>
      </c>
      <c r="H26" s="1109" t="str">
        <v>julho</v>
      </c>
      <c r="I26" s="1109" t="str">
        <v>agosto</v>
      </c>
      <c r="J26" s="1109" t="str">
        <v>setembro</v>
      </c>
      <c r="K26" s="1109" t="str">
        <v>outubro</v>
      </c>
      <c r="L26" s="1109" t="str">
        <v>novembro</v>
      </c>
      <c r="M26" s="1109" t="str">
        <v>dezembro</v>
      </c>
      <c r="N26" s="1110" t="str">
        <f>$N$8</f>
        <v>Totais</v>
      </c>
    </row>
    <row r="27" spans="1:15">
      <c r="A27" s="2177" t="str">
        <f t="array" ref="A27:A29">$A$9:$A$11</f>
        <v>Retenções I.R.S.</v>
      </c>
      <c r="B27" s="82">
        <f ca="1">'Prev.Vendas 2'!B25*ret_irpf</f>
        <v>0</v>
      </c>
      <c r="C27" s="82">
        <f ca="1">'Prev.Vendas 2'!C25*ret_irpf</f>
        <v>0</v>
      </c>
      <c r="D27" s="82">
        <f ca="1">'Prev.Vendas 2'!D25*ret_irpf</f>
        <v>0</v>
      </c>
      <c r="E27" s="82">
        <f ca="1">'Prev.Vendas 2'!E25*ret_irpf</f>
        <v>0</v>
      </c>
      <c r="F27" s="82">
        <f ca="1">'Prev.Vendas 2'!F25*ret_irpf</f>
        <v>0</v>
      </c>
      <c r="G27" s="82">
        <f ca="1">'Prev.Vendas 2'!G25*ret_irpf</f>
        <v>0</v>
      </c>
      <c r="H27" s="82">
        <f ca="1">'Prev.Vendas 2'!H25*ret_irpf</f>
        <v>0</v>
      </c>
      <c r="I27" s="82">
        <f ca="1">'Prev.Vendas 2'!I25*ret_irpf</f>
        <v>0</v>
      </c>
      <c r="J27" s="82">
        <f ca="1">'Prev.Vendas 2'!J25*ret_irpf</f>
        <v>0</v>
      </c>
      <c r="K27" s="82">
        <f ca="1">'Prev.Vendas 2'!K25*ret_irpf</f>
        <v>0</v>
      </c>
      <c r="L27" s="82">
        <f ca="1">'Prev.Vendas 2'!L25*ret_irpf</f>
        <v>0</v>
      </c>
      <c r="M27" s="82">
        <f ca="1">'Prev.Vendas 2'!M25*ret_irpf</f>
        <v>0</v>
      </c>
      <c r="N27" s="1111">
        <f ca="1">SUM(B27:M27)</f>
        <v>0</v>
      </c>
    </row>
    <row r="28" spans="1:15">
      <c r="A28" s="2177" t="str">
        <v>Gastos Deducíveis</v>
      </c>
      <c r="B28" s="82">
        <f>IF($B$5=0,0,'G.F. 2'!B58+'Distr CV 2'!B28-'G.F. 2'!B7+'Despesas Financeiras'!C49-'Despesas Financeiras'!C97+'PyG 2'!B22)</f>
        <v>0</v>
      </c>
      <c r="C28" s="82">
        <f>IF($B$5=0,0,'G.F. 2'!C58+'Distr CV 2'!C28-'G.F. 2'!C7+'Despesas Financeiras'!D49-'Despesas Financeiras'!D97+'PyG 2'!C22)</f>
        <v>0</v>
      </c>
      <c r="D28" s="82">
        <f>IF($B$5=0,0,'G.F. 2'!D58+'Distr CV 2'!D28-'G.F. 2'!D7+'Despesas Financeiras'!E49-'Despesas Financeiras'!E97+'PyG 2'!D22)</f>
        <v>0</v>
      </c>
      <c r="E28" s="82">
        <f>IF($B$5=0,0,'G.F. 2'!E58+'Distr CV 2'!E28-'G.F. 2'!E7+'Despesas Financeiras'!F49-'Despesas Financeiras'!F97+'PyG 2'!E22)</f>
        <v>0</v>
      </c>
      <c r="F28" s="82">
        <f>IF($B$5=0,0,'G.F. 2'!F58+'Distr CV 2'!F28-'G.F. 2'!F7+'Despesas Financeiras'!G49-'Despesas Financeiras'!G97+'PyG 2'!F22)</f>
        <v>0</v>
      </c>
      <c r="G28" s="82">
        <f>IF($B$5=0,0,'G.F. 2'!G58+'Distr CV 2'!G28-'G.F. 2'!G7+'Despesas Financeiras'!H49-'Despesas Financeiras'!H97+'PyG 2'!G22)</f>
        <v>0</v>
      </c>
      <c r="H28" s="82">
        <f>IF($B$5=0,0,'G.F. 2'!H58+'Distr CV 2'!H28-'G.F. 2'!H7+'Despesas Financeiras'!I49-'Despesas Financeiras'!I97+'PyG 2'!H22)</f>
        <v>0</v>
      </c>
      <c r="I28" s="82">
        <f>IF($B$5=0,0,'G.F. 2'!I58+'Distr CV 2'!I28-'G.F. 2'!I7+'Despesas Financeiras'!J49-'Despesas Financeiras'!J97+'PyG 2'!I22)</f>
        <v>0</v>
      </c>
      <c r="J28" s="82">
        <f>IF($B$5=0,0,'G.F. 2'!J58+'Distr CV 2'!J28-'G.F. 2'!J7+'Despesas Financeiras'!K49-'Despesas Financeiras'!K97+'PyG 2'!J22)</f>
        <v>0</v>
      </c>
      <c r="K28" s="82">
        <f>IF($B$5=0,0,'G.F. 2'!K58+'Distr CV 2'!K28-'G.F. 2'!K7+'Despesas Financeiras'!L49-'Despesas Financeiras'!L97+'PyG 2'!K22)</f>
        <v>0</v>
      </c>
      <c r="L28" s="82">
        <f>IF($B$5=0,0,'G.F. 2'!L58+'Distr CV 2'!L28-'G.F. 2'!L7+'Despesas Financeiras'!M49-'Despesas Financeiras'!M97+'PyG 2'!L22)</f>
        <v>0</v>
      </c>
      <c r="M28" s="82">
        <f>IF($B$5=0,0,'G.F. 2'!M58+'Distr CV 2'!M28-'G.F. 2'!M7+'Despesas Financeiras'!N49-'Despesas Financeiras'!N97+'PyG 2'!M22)</f>
        <v>0</v>
      </c>
      <c r="N28" s="1111">
        <f>SUM(B28:M28)</f>
        <v>0</v>
      </c>
    </row>
    <row r="29" spans="1:15">
      <c r="A29" s="2177" t="str">
        <v>Quotas I.R.S.</v>
      </c>
      <c r="B29" s="1104">
        <v>0</v>
      </c>
      <c r="C29" s="1104">
        <v>0</v>
      </c>
      <c r="D29" s="1104">
        <v>0</v>
      </c>
      <c r="E29" s="1104">
        <f ca="1">$B$5*(SUM('Prev.Vendas 2'!$B25:D25)-SUM(B28:D28))</f>
        <v>0</v>
      </c>
      <c r="F29" s="1104">
        <v>0</v>
      </c>
      <c r="G29" s="1104">
        <v>0</v>
      </c>
      <c r="H29" s="1104">
        <f ca="1">$B$5*(SUM('Prev.Vendas 2'!$B25:G25)-SUM($B28:G28))</f>
        <v>0</v>
      </c>
      <c r="I29" s="1104">
        <v>0</v>
      </c>
      <c r="J29" s="1104">
        <v>0</v>
      </c>
      <c r="K29" s="1104">
        <f ca="1">$B$5*(SUM('Prev.Vendas 2'!$B25:J25)-SUM($B28:J28))</f>
        <v>0</v>
      </c>
      <c r="L29" s="1104">
        <v>0</v>
      </c>
      <c r="M29" s="1104">
        <v>0</v>
      </c>
      <c r="N29" s="1111">
        <f ca="1">$B$5*(SUM('Prev.Vendas 2'!$B25:M25)-N28)</f>
        <v>0</v>
      </c>
    </row>
    <row r="30" spans="1:15">
      <c r="A30" s="1596"/>
      <c r="B30" s="1105"/>
      <c r="C30" s="1105"/>
      <c r="D30" s="1105"/>
      <c r="E30" s="1105"/>
      <c r="F30" s="1105"/>
      <c r="G30" s="1105"/>
      <c r="H30" s="1105"/>
      <c r="I30" s="1105"/>
      <c r="J30" s="1105"/>
      <c r="K30" s="1105"/>
      <c r="L30" s="1105"/>
      <c r="M30" s="1105"/>
      <c r="N30" s="1112"/>
    </row>
    <row r="31" spans="1:15" ht="19.5" customHeight="1" thickBot="1">
      <c r="A31" s="2848" t="s">
        <v>48</v>
      </c>
      <c r="B31" s="1114">
        <f ca="1">N22</f>
        <v>0</v>
      </c>
      <c r="C31" s="1115"/>
      <c r="D31" s="1115"/>
      <c r="E31" s="1115">
        <f ca="1">MAX(E29-SUM($B27:D27)-SUM($C31:D31),0)</f>
        <v>0</v>
      </c>
      <c r="F31" s="1115"/>
      <c r="G31" s="1115"/>
      <c r="H31" s="1115">
        <f ca="1">MAX(H29-SUM($B27:G27)-SUM($C31:G31),0)</f>
        <v>0</v>
      </c>
      <c r="I31" s="1115"/>
      <c r="J31" s="1115"/>
      <c r="K31" s="1115">
        <f ca="1">MAX(K29-SUM($B27:J27)-SUM($C31:J31),0)</f>
        <v>0</v>
      </c>
      <c r="L31" s="1115"/>
      <c r="M31" s="1115"/>
      <c r="N31" s="1872">
        <f ca="1">MAX(N29-SUM($B27:M27)-SUM($C31:M31),0)</f>
        <v>0</v>
      </c>
    </row>
    <row r="33" spans="1:14">
      <c r="M33" s="1106"/>
    </row>
    <row r="34" spans="1:14" ht="23.25" thickBot="1">
      <c r="A34" s="68" t="str">
        <f>A16</f>
        <v>Retenções e pagamentos por conta do I.R.S.</v>
      </c>
      <c r="E34" s="532" t="str">
        <f>Parametros!E$77</f>
        <v>Ano 3:  2029</v>
      </c>
      <c r="F34" s="241"/>
    </row>
    <row r="35" spans="1:14">
      <c r="A35" s="1108"/>
      <c r="B35" s="1109" t="str">
        <f t="array" ref="B35:M35">meses</f>
        <v>janeiro</v>
      </c>
      <c r="C35" s="1109" t="str">
        <v>fevereiro</v>
      </c>
      <c r="D35" s="1109" t="str">
        <v>março</v>
      </c>
      <c r="E35" s="1109" t="str">
        <v>abril</v>
      </c>
      <c r="F35" s="1109" t="str">
        <v>maio</v>
      </c>
      <c r="G35" s="1109" t="str">
        <v>junho</v>
      </c>
      <c r="H35" s="1109" t="str">
        <v>julho</v>
      </c>
      <c r="I35" s="1109" t="str">
        <v>agosto</v>
      </c>
      <c r="J35" s="1109" t="str">
        <v>setembro</v>
      </c>
      <c r="K35" s="1109" t="str">
        <v>outubro</v>
      </c>
      <c r="L35" s="1109" t="str">
        <v>novembro</v>
      </c>
      <c r="M35" s="1109" t="str">
        <v>dezembro</v>
      </c>
      <c r="N35" s="1110" t="str">
        <f>$N$8</f>
        <v>Totais</v>
      </c>
    </row>
    <row r="36" spans="1:14">
      <c r="A36" s="2177" t="str">
        <f t="array" ref="A36:A38">$A$9:$A$11</f>
        <v>Retenções I.R.S.</v>
      </c>
      <c r="B36" s="82">
        <f ca="1">'Prev.Vendas 3'!B25*ret_irpf</f>
        <v>0</v>
      </c>
      <c r="C36" s="82">
        <f ca="1">'Prev.Vendas 3'!C25*ret_irpf</f>
        <v>0</v>
      </c>
      <c r="D36" s="82">
        <f ca="1">'Prev.Vendas 3'!D25*ret_irpf</f>
        <v>0</v>
      </c>
      <c r="E36" s="82">
        <f ca="1">'Prev.Vendas 3'!E25*ret_irpf</f>
        <v>0</v>
      </c>
      <c r="F36" s="82">
        <f ca="1">'Prev.Vendas 3'!F25*ret_irpf</f>
        <v>0</v>
      </c>
      <c r="G36" s="82">
        <f ca="1">'Prev.Vendas 3'!G25*ret_irpf</f>
        <v>0</v>
      </c>
      <c r="H36" s="82">
        <f ca="1">'Prev.Vendas 3'!H25*ret_irpf</f>
        <v>0</v>
      </c>
      <c r="I36" s="82">
        <f ca="1">'Prev.Vendas 3'!I25*ret_irpf</f>
        <v>0</v>
      </c>
      <c r="J36" s="82">
        <f ca="1">'Prev.Vendas 3'!J25*ret_irpf</f>
        <v>0</v>
      </c>
      <c r="K36" s="82">
        <f ca="1">'Prev.Vendas 3'!K25*ret_irpf</f>
        <v>0</v>
      </c>
      <c r="L36" s="82">
        <f ca="1">'Prev.Vendas 3'!L25*ret_irpf</f>
        <v>0</v>
      </c>
      <c r="M36" s="82">
        <f ca="1">'Prev.Vendas 3'!M25*ret_irpf</f>
        <v>0</v>
      </c>
      <c r="N36" s="1111">
        <f ca="1">SUM(B36:M36)</f>
        <v>0</v>
      </c>
    </row>
    <row r="37" spans="1:14">
      <c r="A37" s="2177" t="str">
        <v>Gastos Deducíveis</v>
      </c>
      <c r="B37" s="82">
        <f>IF($B$5=0,0,'G.F. 3'!B58+'Distr CV 3'!B28-'G.F. 3'!B7+'Despesas Financeiras'!C64-'Despesas Financeiras'!C102+'PyG 3'!B22)</f>
        <v>0</v>
      </c>
      <c r="C37" s="82">
        <f>IF($B$5=0,0,'G.F. 3'!C58+'Distr CV 3'!C28-'G.F. 3'!C7+'Despesas Financeiras'!D64-'Despesas Financeiras'!D102+'PyG 3'!C22)</f>
        <v>0</v>
      </c>
      <c r="D37" s="82">
        <f>IF($B$5=0,0,'G.F. 3'!D58+'Distr CV 3'!D28-'G.F. 3'!D7+'Despesas Financeiras'!E64-'Despesas Financeiras'!E102+'PyG 3'!D22)</f>
        <v>0</v>
      </c>
      <c r="E37" s="82">
        <f>IF($B$5=0,0,'G.F. 3'!E58+'Distr CV 3'!E28-'G.F. 3'!E7+'Despesas Financeiras'!F64-'Despesas Financeiras'!F102+'PyG 3'!E22)</f>
        <v>0</v>
      </c>
      <c r="F37" s="82">
        <f>IF($B$5=0,0,'G.F. 3'!F58+'Distr CV 3'!F28-'G.F. 3'!F7+'Despesas Financeiras'!G64-'Despesas Financeiras'!G102+'PyG 3'!F22)</f>
        <v>0</v>
      </c>
      <c r="G37" s="82">
        <f>IF($B$5=0,0,'G.F. 3'!G58+'Distr CV 3'!G28-'G.F. 3'!G7+'Despesas Financeiras'!H64-'Despesas Financeiras'!H102+'PyG 3'!G22)</f>
        <v>0</v>
      </c>
      <c r="H37" s="82">
        <f>IF($B$5=0,0,'G.F. 3'!H58+'Distr CV 3'!H28-'G.F. 3'!H7+'Despesas Financeiras'!I64-'Despesas Financeiras'!I102+'PyG 3'!H22)</f>
        <v>0</v>
      </c>
      <c r="I37" s="82">
        <f>IF($B$5=0,0,'G.F. 3'!I58+'Distr CV 3'!I28-'G.F. 3'!I7+'Despesas Financeiras'!J64-'Despesas Financeiras'!J102+'PyG 3'!I22)</f>
        <v>0</v>
      </c>
      <c r="J37" s="82">
        <f>IF($B$5=0,0,'G.F. 3'!J58+'Distr CV 3'!J28-'G.F. 3'!J7+'Despesas Financeiras'!K64-'Despesas Financeiras'!K102+'PyG 3'!J22)</f>
        <v>0</v>
      </c>
      <c r="K37" s="82">
        <f>IF($B$5=0,0,'G.F. 3'!K58+'Distr CV 3'!K28-'G.F. 3'!K7+'Despesas Financeiras'!L64-'Despesas Financeiras'!L102+'PyG 3'!K22)</f>
        <v>0</v>
      </c>
      <c r="L37" s="82">
        <f>IF($B$5=0,0,'G.F. 3'!L58+'Distr CV 3'!L28-'G.F. 3'!L7+'Despesas Financeiras'!M64-'Despesas Financeiras'!M102+'PyG 3'!L22)</f>
        <v>0</v>
      </c>
      <c r="M37" s="82">
        <f>IF($B$5=0,0,'G.F. 3'!M58+'Distr CV 3'!M28-'G.F. 3'!M7+'Despesas Financeiras'!N64-'Despesas Financeiras'!N102+'PyG 3'!M22)</f>
        <v>0</v>
      </c>
      <c r="N37" s="1111">
        <f>SUM(B37:M37)</f>
        <v>0</v>
      </c>
    </row>
    <row r="38" spans="1:14">
      <c r="A38" s="2177" t="str">
        <v>Quotas I.R.S.</v>
      </c>
      <c r="B38" s="1104">
        <v>0</v>
      </c>
      <c r="C38" s="1104">
        <v>0</v>
      </c>
      <c r="D38" s="1104">
        <v>0</v>
      </c>
      <c r="E38" s="1104">
        <f ca="1">$B$5*(SUM('Prev.Vendas 3'!$B25:D25)-SUM($B37:D37))</f>
        <v>0</v>
      </c>
      <c r="F38" s="1104">
        <v>0</v>
      </c>
      <c r="G38" s="1104">
        <v>0</v>
      </c>
      <c r="H38" s="1104">
        <f ca="1">$B$5*(SUM('Prev.Vendas 3'!$B25:G25)-SUM($B37:G37))</f>
        <v>0</v>
      </c>
      <c r="I38" s="1104">
        <v>0</v>
      </c>
      <c r="J38" s="1104">
        <v>0</v>
      </c>
      <c r="K38" s="1104">
        <f ca="1">$B$5*(SUM('Prev.Vendas 3'!$B25:J25)-SUM($B37:J37))</f>
        <v>0</v>
      </c>
      <c r="L38" s="1104">
        <v>0</v>
      </c>
      <c r="M38" s="1104">
        <v>0</v>
      </c>
      <c r="N38" s="1111">
        <f ca="1">$B$5*(SUM('Prev.Vendas 3'!$B25:M25)-N37)</f>
        <v>0</v>
      </c>
    </row>
    <row r="39" spans="1:14">
      <c r="A39" s="1596"/>
      <c r="B39" s="1105"/>
      <c r="C39" s="1105"/>
      <c r="D39" s="1105"/>
      <c r="E39" s="1105"/>
      <c r="F39" s="1105"/>
      <c r="G39" s="1105"/>
      <c r="H39" s="1105"/>
      <c r="I39" s="1105"/>
      <c r="J39" s="1105"/>
      <c r="K39" s="1105"/>
      <c r="L39" s="1105"/>
      <c r="M39" s="1105"/>
      <c r="N39" s="1112"/>
    </row>
    <row r="40" spans="1:14" ht="19.5" customHeight="1" thickBot="1">
      <c r="A40" s="2848" t="s">
        <v>48</v>
      </c>
      <c r="B40" s="1114">
        <f ca="1">N31</f>
        <v>0</v>
      </c>
      <c r="C40" s="1115"/>
      <c r="D40" s="1115"/>
      <c r="E40" s="1115">
        <f ca="1">MAX(E38-SUM($B36:D36)-SUM($C40:D40),0)</f>
        <v>0</v>
      </c>
      <c r="F40" s="1115"/>
      <c r="G40" s="1115"/>
      <c r="H40" s="1115">
        <f ca="1">MAX(H38-SUM($B36:G36)-SUM($C40:G40),0)</f>
        <v>0</v>
      </c>
      <c r="I40" s="1115"/>
      <c r="J40" s="1115"/>
      <c r="K40" s="1115">
        <f ca="1">MAX(K38-SUM($B36:J36)-SUM($C40:J40),0)</f>
        <v>0</v>
      </c>
      <c r="L40" s="1115"/>
      <c r="M40" s="1115"/>
      <c r="N40" s="1872">
        <f ca="1">MAX(N38-SUM($B36:M36)-SUM($C40:M40),0)</f>
        <v>0</v>
      </c>
    </row>
    <row r="43" spans="1:14" ht="23.25" thickBot="1">
      <c r="A43" s="68" t="str">
        <f>A25</f>
        <v>Retenções e pagamentos por conta do I.R.S.</v>
      </c>
      <c r="E43" s="532" t="str">
        <f>Parametros!F$77</f>
        <v>Ano 4:  2030</v>
      </c>
      <c r="F43" s="241"/>
    </row>
    <row r="44" spans="1:14">
      <c r="A44" s="1108"/>
      <c r="B44" s="1109" t="str">
        <f t="array" ref="B44:M44">meses</f>
        <v>janeiro</v>
      </c>
      <c r="C44" s="1109" t="str">
        <v>fevereiro</v>
      </c>
      <c r="D44" s="1109" t="str">
        <v>março</v>
      </c>
      <c r="E44" s="1109" t="str">
        <v>abril</v>
      </c>
      <c r="F44" s="1109" t="str">
        <v>maio</v>
      </c>
      <c r="G44" s="1109" t="str">
        <v>junho</v>
      </c>
      <c r="H44" s="1109" t="str">
        <v>julho</v>
      </c>
      <c r="I44" s="1109" t="str">
        <v>agosto</v>
      </c>
      <c r="J44" s="1109" t="str">
        <v>setembro</v>
      </c>
      <c r="K44" s="1109" t="str">
        <v>outubro</v>
      </c>
      <c r="L44" s="1109" t="str">
        <v>novembro</v>
      </c>
      <c r="M44" s="1109" t="str">
        <v>dezembro</v>
      </c>
      <c r="N44" s="1110" t="str">
        <f>$N$8</f>
        <v>Totais</v>
      </c>
    </row>
    <row r="45" spans="1:14">
      <c r="A45" s="2177" t="str">
        <f t="array" ref="A45:A47">$A$9:$A$11</f>
        <v>Retenções I.R.S.</v>
      </c>
      <c r="B45" s="82">
        <f ca="1">'Prev.Vendas 4'!B25*ret_irpf</f>
        <v>0</v>
      </c>
      <c r="C45" s="82">
        <f ca="1">'Prev.Vendas 4'!C25*ret_irpf</f>
        <v>0</v>
      </c>
      <c r="D45" s="82">
        <f ca="1">'Prev.Vendas 4'!D25*ret_irpf</f>
        <v>0</v>
      </c>
      <c r="E45" s="82">
        <f ca="1">'Prev.Vendas 4'!E25*ret_irpf</f>
        <v>0</v>
      </c>
      <c r="F45" s="82">
        <f ca="1">'Prev.Vendas 4'!F25*ret_irpf</f>
        <v>0</v>
      </c>
      <c r="G45" s="82">
        <f ca="1">'Prev.Vendas 4'!G25*ret_irpf</f>
        <v>0</v>
      </c>
      <c r="H45" s="82">
        <f ca="1">'Prev.Vendas 4'!H25*ret_irpf</f>
        <v>0</v>
      </c>
      <c r="I45" s="82">
        <f ca="1">'Prev.Vendas 4'!I25*ret_irpf</f>
        <v>0</v>
      </c>
      <c r="J45" s="82">
        <f ca="1">'Prev.Vendas 4'!J25*ret_irpf</f>
        <v>0</v>
      </c>
      <c r="K45" s="82">
        <f ca="1">'Prev.Vendas 4'!K25*ret_irpf</f>
        <v>0</v>
      </c>
      <c r="L45" s="82">
        <f ca="1">'Prev.Vendas 4'!L25*ret_irpf</f>
        <v>0</v>
      </c>
      <c r="M45" s="82">
        <f ca="1">'Prev.Vendas 4'!M25*ret_irpf</f>
        <v>0</v>
      </c>
      <c r="N45" s="1111">
        <f ca="1">SUM(B45:M45)</f>
        <v>0</v>
      </c>
    </row>
    <row r="46" spans="1:14">
      <c r="A46" s="2177" t="str">
        <v>Gastos Deducíveis</v>
      </c>
      <c r="B46" s="82">
        <f>IF($B$5=0,0,'G.F. 4'!B58+'Distr CV 4'!B28-'G.F. 4'!B7+'Despesas Financeiras'!C79-'Despesas Financeiras'!C107+'PyG 4'!B22)</f>
        <v>0</v>
      </c>
      <c r="C46" s="82">
        <f>IF($B$5=0,0,'G.F. 4'!C58+'Distr CV 4'!C28-'G.F. 4'!C7+'Despesas Financeiras'!D79-'Despesas Financeiras'!D107+'PyG 4'!C22)</f>
        <v>0</v>
      </c>
      <c r="D46" s="82">
        <f>IF($B$5=0,0,'G.F. 4'!D58+'Distr CV 4'!D28-'G.F. 4'!D7+'Despesas Financeiras'!E79-'Despesas Financeiras'!E107+'PyG 4'!D22)</f>
        <v>0</v>
      </c>
      <c r="E46" s="82">
        <f>IF($B$5=0,0,'G.F. 4'!E58+'Distr CV 4'!E28-'G.F. 4'!E7+'Despesas Financeiras'!F79-'Despesas Financeiras'!F107+'PyG 4'!E22)</f>
        <v>0</v>
      </c>
      <c r="F46" s="82">
        <f>IF($B$5=0,0,'G.F. 4'!F58+'Distr CV 4'!F28-'G.F. 4'!F7+'Despesas Financeiras'!G79-'Despesas Financeiras'!G107+'PyG 4'!F22)</f>
        <v>0</v>
      </c>
      <c r="G46" s="82">
        <f>IF($B$5=0,0,'G.F. 4'!G58+'Distr CV 4'!G28-'G.F. 4'!G7+'Despesas Financeiras'!H79-'Despesas Financeiras'!H107+'PyG 4'!G22)</f>
        <v>0</v>
      </c>
      <c r="H46" s="82">
        <f>IF($B$5=0,0,'G.F. 4'!H58+'Distr CV 4'!H28-'G.F. 4'!H7+'Despesas Financeiras'!I79-'Despesas Financeiras'!I107+'PyG 4'!H22)</f>
        <v>0</v>
      </c>
      <c r="I46" s="82">
        <f>IF($B$5=0,0,'G.F. 4'!I58+'Distr CV 4'!I28-'G.F. 4'!I7+'Despesas Financeiras'!J79-'Despesas Financeiras'!J107+'PyG 4'!I22)</f>
        <v>0</v>
      </c>
      <c r="J46" s="82">
        <f>IF($B$5=0,0,'G.F. 4'!J58+'Distr CV 4'!J28-'G.F. 4'!J7+'Despesas Financeiras'!K79-'Despesas Financeiras'!K107+'PyG 4'!J22)</f>
        <v>0</v>
      </c>
      <c r="K46" s="82">
        <f>IF($B$5=0,0,'G.F. 4'!K58+'Distr CV 4'!K28-'G.F. 4'!K7+'Despesas Financeiras'!L79-'Despesas Financeiras'!L107+'PyG 4'!K22)</f>
        <v>0</v>
      </c>
      <c r="L46" s="82">
        <f>IF($B$5=0,0,'G.F. 4'!L58+'Distr CV 4'!L28-'G.F. 4'!L7+'Despesas Financeiras'!M79-'Despesas Financeiras'!M107+'PyG 4'!L22)</f>
        <v>0</v>
      </c>
      <c r="M46" s="82">
        <f>IF($B$5=0,0,'G.F. 4'!M58+'Distr CV 4'!M28-'G.F. 4'!M7+'Despesas Financeiras'!N79-'Despesas Financeiras'!N107+'PyG 4'!M22)</f>
        <v>0</v>
      </c>
      <c r="N46" s="1111">
        <f>SUM(B46:M46)</f>
        <v>0</v>
      </c>
    </row>
    <row r="47" spans="1:14">
      <c r="A47" s="2177" t="str">
        <v>Quotas I.R.S.</v>
      </c>
      <c r="B47" s="1104">
        <v>0</v>
      </c>
      <c r="C47" s="1104">
        <v>0</v>
      </c>
      <c r="D47" s="1104">
        <v>0</v>
      </c>
      <c r="E47" s="1104">
        <f ca="1">$B$5*(SUM('Prev.Vendas 4'!$B25:D25)-SUM($B46:D46))</f>
        <v>0</v>
      </c>
      <c r="F47" s="1104">
        <v>0</v>
      </c>
      <c r="G47" s="1104">
        <v>0</v>
      </c>
      <c r="H47" s="1104">
        <f ca="1">$B$5*(SUM('Prev.Vendas 4'!$B25:G25)-SUM($B46:G46))</f>
        <v>0</v>
      </c>
      <c r="I47" s="1104">
        <v>0</v>
      </c>
      <c r="J47" s="1104">
        <v>0</v>
      </c>
      <c r="K47" s="1104">
        <f ca="1">$B$5*(SUM('Prev.Vendas 4'!$B25:J25)-SUM($B46:J46))</f>
        <v>0</v>
      </c>
      <c r="L47" s="1104">
        <v>0</v>
      </c>
      <c r="M47" s="1104">
        <v>0</v>
      </c>
      <c r="N47" s="1111">
        <f ca="1">$B$5*(SUM('Prev.Vendas 4'!$B25:M25)-N46)</f>
        <v>0</v>
      </c>
    </row>
    <row r="48" spans="1:14">
      <c r="A48" s="1596"/>
      <c r="B48" s="1105"/>
      <c r="C48" s="1105"/>
      <c r="D48" s="1105"/>
      <c r="E48" s="1105"/>
      <c r="F48" s="1105"/>
      <c r="G48" s="1105"/>
      <c r="H48" s="1105"/>
      <c r="I48" s="1105"/>
      <c r="J48" s="1105"/>
      <c r="K48" s="1105"/>
      <c r="L48" s="1105"/>
      <c r="M48" s="1105"/>
      <c r="N48" s="1112"/>
    </row>
    <row r="49" spans="1:14" ht="19.5" customHeight="1" thickBot="1">
      <c r="A49" s="2848" t="s">
        <v>48</v>
      </c>
      <c r="B49" s="1114">
        <f ca="1">N40</f>
        <v>0</v>
      </c>
      <c r="C49" s="1115"/>
      <c r="D49" s="1115"/>
      <c r="E49" s="1115">
        <f ca="1">MAX(E47-SUM($B45:D45)-SUM($C49:D49),0)</f>
        <v>0</v>
      </c>
      <c r="F49" s="1115"/>
      <c r="G49" s="1115"/>
      <c r="H49" s="1115">
        <f ca="1">MAX(H47-SUM($B45:G45)-SUM($C49:G49),0)</f>
        <v>0</v>
      </c>
      <c r="I49" s="1115"/>
      <c r="J49" s="1115"/>
      <c r="K49" s="1115">
        <f ca="1">MAX(K47-SUM($B45:J45)-SUM($C49:J49),0)</f>
        <v>0</v>
      </c>
      <c r="L49" s="1115"/>
      <c r="M49" s="1115"/>
      <c r="N49" s="1872">
        <f ca="1">MAX(N47-SUM($B45:M45)-SUM($C49:M49),0)</f>
        <v>0</v>
      </c>
    </row>
  </sheetData>
  <sheetProtection sheet="1" objects="1" scenarios="1"/>
  <phoneticPr fontId="4" type="noConversion"/>
  <conditionalFormatting sqref="B5">
    <cfRule type="cellIs" dxfId="17" priority="2" stopIfTrue="1" operator="equal">
      <formula>0</formula>
    </cfRule>
  </conditionalFormatting>
  <conditionalFormatting sqref="B9:M11">
    <cfRule type="expression" dxfId="16" priority="1" stopIfTrue="1">
      <formula>COLUMN(B$8)&lt;=mes0</formula>
    </cfRule>
  </conditionalFormatting>
  <printOptions horizontalCentered="1"/>
  <pageMargins left="0.57999999999999996" right="0.75" top="0.46" bottom="1" header="0" footer="0"/>
  <pageSetup paperSize="9" scale="59" orientation="landscape" horizontalDpi="300" r:id="rId1"/>
  <headerFooter alignWithMargins="0"/>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3">
    <tabColor indexed="42"/>
    <pageSetUpPr fitToPage="1"/>
  </sheetPr>
  <dimension ref="A1:O60"/>
  <sheetViews>
    <sheetView workbookViewId="0"/>
  </sheetViews>
  <sheetFormatPr baseColWidth="10" defaultColWidth="11" defaultRowHeight="15"/>
  <cols>
    <col min="1" max="1" width="31.375" style="36" customWidth="1"/>
    <col min="2" max="2" width="11.125" style="36" bestFit="1" customWidth="1"/>
    <col min="3" max="3" width="11.625" style="36" customWidth="1"/>
    <col min="4" max="9" width="11.125" style="36" bestFit="1" customWidth="1"/>
    <col min="10" max="10" width="11.75" style="36" bestFit="1" customWidth="1"/>
    <col min="11" max="13" width="11.125" style="36" bestFit="1" customWidth="1"/>
    <col min="14" max="14" width="12" style="36" bestFit="1" customWidth="1"/>
    <col min="15" max="15" width="9.25" style="36" customWidth="1"/>
    <col min="16" max="16384" width="11" style="36"/>
  </cols>
  <sheetData>
    <row r="1" spans="1:15" s="99" customFormat="1" ht="22.5">
      <c r="A1" s="68" t="s">
        <v>846</v>
      </c>
      <c r="B1" s="68"/>
      <c r="C1" s="68"/>
      <c r="D1" s="68"/>
      <c r="E1" s="532" t="str">
        <f>Parametros!B$77</f>
        <v>Ano 0:  2026</v>
      </c>
      <c r="F1" s="68"/>
    </row>
    <row r="2" spans="1:15" s="99" customFormat="1" ht="22.5">
      <c r="A2" s="68" t="str">
        <f>'Dados Básicos'!B9</f>
        <v>WWW, S.L.</v>
      </c>
      <c r="B2" s="68"/>
      <c r="C2" s="68"/>
      <c r="D2" s="68"/>
      <c r="E2" s="68"/>
      <c r="F2" s="68"/>
      <c r="G2" s="68"/>
    </row>
    <row r="3" spans="1:15" ht="15.75" thickBot="1">
      <c r="B3" s="62"/>
      <c r="C3" s="62"/>
      <c r="D3" s="62"/>
      <c r="E3" s="62"/>
      <c r="F3" s="62"/>
      <c r="G3" s="62"/>
    </row>
    <row r="4" spans="1:15" ht="15.75" thickBot="1">
      <c r="A4" s="104" t="s">
        <v>847</v>
      </c>
      <c r="B4" s="164" t="str">
        <f t="array" ref="B4:M4">meses</f>
        <v>janeiro</v>
      </c>
      <c r="C4" s="165" t="str">
        <v>fevereiro</v>
      </c>
      <c r="D4" s="165" t="str">
        <v>março</v>
      </c>
      <c r="E4" s="165" t="str">
        <v>abril</v>
      </c>
      <c r="F4" s="165" t="str">
        <v>maio</v>
      </c>
      <c r="G4" s="165" t="str">
        <v>junho</v>
      </c>
      <c r="H4" s="165" t="str">
        <v>julho</v>
      </c>
      <c r="I4" s="165" t="str">
        <v>agosto</v>
      </c>
      <c r="J4" s="165" t="str">
        <v>setembro</v>
      </c>
      <c r="K4" s="165" t="str">
        <v>outubro</v>
      </c>
      <c r="L4" s="165" t="str">
        <v>novembro</v>
      </c>
      <c r="M4" s="166" t="str">
        <v>dezembro</v>
      </c>
      <c r="N4" s="105" t="s">
        <v>612</v>
      </c>
      <c r="O4" s="105" t="s">
        <v>6</v>
      </c>
    </row>
    <row r="5" spans="1:15" ht="15.75" thickBot="1">
      <c r="A5" s="106"/>
      <c r="B5" s="115"/>
      <c r="C5" s="116"/>
      <c r="D5" s="116"/>
      <c r="E5" s="116"/>
      <c r="F5" s="116"/>
      <c r="G5" s="116"/>
      <c r="H5" s="116"/>
      <c r="I5" s="116"/>
      <c r="J5" s="116"/>
      <c r="K5" s="116"/>
      <c r="L5" s="116"/>
      <c r="M5" s="117"/>
      <c r="N5" s="118"/>
      <c r="O5" s="119"/>
    </row>
    <row r="6" spans="1:15">
      <c r="A6" s="137" t="s">
        <v>848</v>
      </c>
      <c r="B6" s="74"/>
      <c r="C6" s="75"/>
      <c r="D6" s="75"/>
      <c r="E6" s="75"/>
      <c r="F6" s="75"/>
      <c r="G6" s="75"/>
      <c r="H6" s="75"/>
      <c r="I6" s="75"/>
      <c r="J6" s="75"/>
      <c r="K6" s="75"/>
      <c r="L6" s="75"/>
      <c r="M6" s="76"/>
      <c r="N6" s="77"/>
      <c r="O6" s="107"/>
    </row>
    <row r="7" spans="1:15">
      <c r="A7" s="109" t="str">
        <f t="array" ref="A7:A14">catlaborales</f>
        <v>Emprsários em nome individual</v>
      </c>
      <c r="B7" s="78">
        <f>IF(COLUMN(B$4)&lt;=mes0+'RR.HH.'!$D$33,0,
       IF(COLUMN(B$4)&lt;=mes0+'RR.HH.'!$D$33+'RR.HH.'!$D$34, 'RR.HH.'!$B19*'Quadro Pessoal'!C9/('RR.HH.'!$D$34)*(COLUMN(B$4)-'RR.HH.'!$D$33-mes0),
             'RR.HH.'!$B19*'Quadro Pessoal'!C9))</f>
        <v>1200</v>
      </c>
      <c r="C7" s="79">
        <f>IF(COLUMN(C$4)&lt;=mes0+'RR.HH.'!$D$33,0,
       IF(COLUMN(C$4)&lt;=mes0+'RR.HH.'!$D$33+'RR.HH.'!$D$34, 'RR.HH.'!$B19*'Quadro Pessoal'!D9/('RR.HH.'!$D$34)*(COLUMN(C$4)-'RR.HH.'!$D$33-mes0),
             'RR.HH.'!$B19*'Quadro Pessoal'!D9))</f>
        <v>1200</v>
      </c>
      <c r="D7" s="79">
        <f>IF(COLUMN(D$4)&lt;=mes0+'RR.HH.'!$D$33,0,
       IF(COLUMN(D$4)&lt;=mes0+'RR.HH.'!$D$33+'RR.HH.'!$D$34, 'RR.HH.'!$B19*'Quadro Pessoal'!E9/('RR.HH.'!$D$34)*(COLUMN(D$4)-'RR.HH.'!$D$33-mes0),
             'RR.HH.'!$B19*'Quadro Pessoal'!E9))</f>
        <v>1200</v>
      </c>
      <c r="E7" s="79">
        <f>IF(COLUMN(E$4)&lt;=mes0+'RR.HH.'!$D$33,0,
       IF(COLUMN(E$4)&lt;=mes0+'RR.HH.'!$D$33+'RR.HH.'!$D$34, 'RR.HH.'!$B19*'Quadro Pessoal'!F9/('RR.HH.'!$D$34)*(COLUMN(E$4)-'RR.HH.'!$D$33-mes0),
             'RR.HH.'!$B19*'Quadro Pessoal'!F9))</f>
        <v>1200</v>
      </c>
      <c r="F7" s="79">
        <f>IF(COLUMN(F$4)&lt;=mes0+'RR.HH.'!$D$33,0,
       IF(COLUMN(F$4)&lt;=mes0+'RR.HH.'!$D$33+'RR.HH.'!$D$34, 'RR.HH.'!$B19*'Quadro Pessoal'!G9/('RR.HH.'!$D$34)*(COLUMN(F$4)-'RR.HH.'!$D$33-mes0),
             'RR.HH.'!$B19*'Quadro Pessoal'!G9))</f>
        <v>1200</v>
      </c>
      <c r="G7" s="79">
        <f>IF(COLUMN(G$4)&lt;=mes0+'RR.HH.'!$D$33,0,
       IF(COLUMN(G$4)&lt;=mes0+'RR.HH.'!$D$33+'RR.HH.'!$D$34, 'RR.HH.'!$B19*'Quadro Pessoal'!H9/('RR.HH.'!$D$34)*(COLUMN(G$4)-'RR.HH.'!$D$33-mes0),
             'RR.HH.'!$B19*'Quadro Pessoal'!H9))</f>
        <v>1200</v>
      </c>
      <c r="H7" s="79">
        <f>IF(COLUMN(H$4)&lt;=mes0+'RR.HH.'!$D$33,0,
       IF(COLUMN(H$4)&lt;=mes0+'RR.HH.'!$D$33+'RR.HH.'!$D$34, 'RR.HH.'!$B19*'Quadro Pessoal'!I9/('RR.HH.'!$D$34)*(COLUMN(H$4)-'RR.HH.'!$D$33-mes0),
             'RR.HH.'!$B19*'Quadro Pessoal'!I9))</f>
        <v>1200</v>
      </c>
      <c r="I7" s="79">
        <f>IF(COLUMN(I$4)&lt;=mes0+'RR.HH.'!$D$33,0,
       IF(COLUMN(I$4)&lt;=mes0+'RR.HH.'!$D$33+'RR.HH.'!$D$34, 'RR.HH.'!$B19*'Quadro Pessoal'!J9/('RR.HH.'!$D$34)*(COLUMN(I$4)-'RR.HH.'!$D$33-mes0),
             'RR.HH.'!$B19*'Quadro Pessoal'!J9))</f>
        <v>1200</v>
      </c>
      <c r="J7" s="79">
        <f>IF(COLUMN(J$4)&lt;=mes0+'RR.HH.'!$D$33,0,
       IF(COLUMN(J$4)&lt;=mes0+'RR.HH.'!$D$33+'RR.HH.'!$D$34, 'RR.HH.'!$B19*'Quadro Pessoal'!K9/('RR.HH.'!$D$34)*(COLUMN(J$4)-'RR.HH.'!$D$33-mes0),
             'RR.HH.'!$B19*'Quadro Pessoal'!K9))</f>
        <v>1200</v>
      </c>
      <c r="K7" s="79">
        <f>IF(COLUMN(K$4)&lt;=mes0+'RR.HH.'!$D$33,0,
       IF(COLUMN(K$4)&lt;=mes0+'RR.HH.'!$D$33+'RR.HH.'!$D$34, 'RR.HH.'!$B19*'Quadro Pessoal'!L9/('RR.HH.'!$D$34)*(COLUMN(K$4)-'RR.HH.'!$D$33-mes0),
             'RR.HH.'!$B19*'Quadro Pessoal'!L9))</f>
        <v>1200</v>
      </c>
      <c r="L7" s="79">
        <f>IF(COLUMN(L$4)&lt;=mes0+'RR.HH.'!$D$33,0,
       IF(COLUMN(L$4)&lt;=mes0+'RR.HH.'!$D$33+'RR.HH.'!$D$34, 'RR.HH.'!$B19*'Quadro Pessoal'!M9/('RR.HH.'!$D$34)*(COLUMN(L$4)-'RR.HH.'!$D$33-mes0),
             'RR.HH.'!$B19*'Quadro Pessoal'!M9))</f>
        <v>1200</v>
      </c>
      <c r="M7" s="80">
        <f>IF(COLUMN(M$4)&lt;=mes0+'RR.HH.'!$D$33,0,
       IF(COLUMN(M$4)&lt;=mes0+'RR.HH.'!$D$33+'RR.HH.'!$D$34, 'RR.HH.'!$B19*'Quadro Pessoal'!N9/('RR.HH.'!$D$34)*(COLUMN(M$4)-'RR.HH.'!$D$33-mes0),
             'RR.HH.'!$B19*'Quadro Pessoal'!N9))</f>
        <v>1200</v>
      </c>
      <c r="N7" s="98">
        <f t="shared" ref="N7:N14" si="0">SUM(B7:M7)</f>
        <v>14400</v>
      </c>
      <c r="O7" s="108">
        <f t="array" ref="O7:O15" ca="1">N7:N15/$N$27</f>
        <v>0.90577690097353858</v>
      </c>
    </row>
    <row r="8" spans="1:15">
      <c r="A8" s="109" t="str">
        <v>Outros trab. Independentes</v>
      </c>
      <c r="B8" s="78">
        <f>IF(COLUMN(B$4)&lt;=mes0+'RR.HH.'!$D$33,0,
       IF(COLUMN(B$4)&lt;=mes0+'RR.HH.'!$D$33+'RR.HH.'!$D$34, 'RR.HH.'!$B20*'Quadro Pessoal'!C10/('RR.HH.'!$D$34)*(COLUMN(B$4)-'RR.HH.'!$D$33-mes0),
             'RR.HH.'!$B20*'Quadro Pessoal'!C10))</f>
        <v>0</v>
      </c>
      <c r="C8" s="79">
        <f>IF(COLUMN(C$4)&lt;=mes0+'RR.HH.'!$D$33,0,
       IF(COLUMN(C$4)&lt;=mes0+'RR.HH.'!$D$33+'RR.HH.'!$D$34, 'RR.HH.'!$B20*'Quadro Pessoal'!D10/('RR.HH.'!$D$34)*(COLUMN(C$4)-'RR.HH.'!$D$33-mes0),
             'RR.HH.'!$B20*'Quadro Pessoal'!D10))</f>
        <v>0</v>
      </c>
      <c r="D8" s="79">
        <f>IF(COLUMN(D$4)&lt;=mes0+'RR.HH.'!$D$33,0,
       IF(COLUMN(D$4)&lt;=mes0+'RR.HH.'!$D$33+'RR.HH.'!$D$34, 'RR.HH.'!$B20*'Quadro Pessoal'!E10/('RR.HH.'!$D$34)*(COLUMN(D$4)-'RR.HH.'!$D$33-mes0),
             'RR.HH.'!$B20*'Quadro Pessoal'!E10))</f>
        <v>0</v>
      </c>
      <c r="E8" s="79">
        <f>IF(COLUMN(E$4)&lt;=mes0+'RR.HH.'!$D$33,0,
       IF(COLUMN(E$4)&lt;=mes0+'RR.HH.'!$D$33+'RR.HH.'!$D$34, 'RR.HH.'!$B20*'Quadro Pessoal'!F10/('RR.HH.'!$D$34)*(COLUMN(E$4)-'RR.HH.'!$D$33-mes0),
             'RR.HH.'!$B20*'Quadro Pessoal'!F10))</f>
        <v>0</v>
      </c>
      <c r="F8" s="79">
        <f>IF(COLUMN(F$4)&lt;=mes0+'RR.HH.'!$D$33,0,
       IF(COLUMN(F$4)&lt;=mes0+'RR.HH.'!$D$33+'RR.HH.'!$D$34, 'RR.HH.'!$B20*'Quadro Pessoal'!G10/('RR.HH.'!$D$34)*(COLUMN(F$4)-'RR.HH.'!$D$33-mes0),
             'RR.HH.'!$B20*'Quadro Pessoal'!G10))</f>
        <v>0</v>
      </c>
      <c r="G8" s="79">
        <f>IF(COLUMN(G$4)&lt;=mes0+'RR.HH.'!$D$33,0,
       IF(COLUMN(G$4)&lt;=mes0+'RR.HH.'!$D$33+'RR.HH.'!$D$34, 'RR.HH.'!$B20*'Quadro Pessoal'!H10/('RR.HH.'!$D$34)*(COLUMN(G$4)-'RR.HH.'!$D$33-mes0),
             'RR.HH.'!$B20*'Quadro Pessoal'!H10))</f>
        <v>0</v>
      </c>
      <c r="H8" s="79">
        <f>IF(COLUMN(H$4)&lt;=mes0+'RR.HH.'!$D$33,0,
       IF(COLUMN(H$4)&lt;=mes0+'RR.HH.'!$D$33+'RR.HH.'!$D$34, 'RR.HH.'!$B20*'Quadro Pessoal'!I10/('RR.HH.'!$D$34)*(COLUMN(H$4)-'RR.HH.'!$D$33-mes0),
             'RR.HH.'!$B20*'Quadro Pessoal'!I10))</f>
        <v>0</v>
      </c>
      <c r="I8" s="79">
        <f>IF(COLUMN(I$4)&lt;=mes0+'RR.HH.'!$D$33,0,
       IF(COLUMN(I$4)&lt;=mes0+'RR.HH.'!$D$33+'RR.HH.'!$D$34, 'RR.HH.'!$B20*'Quadro Pessoal'!J10/('RR.HH.'!$D$34)*(COLUMN(I$4)-'RR.HH.'!$D$33-mes0),
             'RR.HH.'!$B20*'Quadro Pessoal'!J10))</f>
        <v>0</v>
      </c>
      <c r="J8" s="79">
        <f>IF(COLUMN(J$4)&lt;=mes0+'RR.HH.'!$D$33,0,
       IF(COLUMN(J$4)&lt;=mes0+'RR.HH.'!$D$33+'RR.HH.'!$D$34, 'RR.HH.'!$B20*'Quadro Pessoal'!K10/('RR.HH.'!$D$34)*(COLUMN(J$4)-'RR.HH.'!$D$33-mes0),
             'RR.HH.'!$B20*'Quadro Pessoal'!K10))</f>
        <v>0</v>
      </c>
      <c r="K8" s="79">
        <f>IF(COLUMN(K$4)&lt;=mes0+'RR.HH.'!$D$33,0,
       IF(COLUMN(K$4)&lt;=mes0+'RR.HH.'!$D$33+'RR.HH.'!$D$34, 'RR.HH.'!$B20*'Quadro Pessoal'!L10/('RR.HH.'!$D$34)*(COLUMN(K$4)-'RR.HH.'!$D$33-mes0),
             'RR.HH.'!$B20*'Quadro Pessoal'!L10))</f>
        <v>0</v>
      </c>
      <c r="L8" s="79">
        <f>IF(COLUMN(L$4)&lt;=mes0+'RR.HH.'!$D$33,0,
       IF(COLUMN(L$4)&lt;=mes0+'RR.HH.'!$D$33+'RR.HH.'!$D$34, 'RR.HH.'!$B20*'Quadro Pessoal'!M10/('RR.HH.'!$D$34)*(COLUMN(L$4)-'RR.HH.'!$D$33-mes0),
             'RR.HH.'!$B20*'Quadro Pessoal'!M10))</f>
        <v>0</v>
      </c>
      <c r="M8" s="80">
        <f>IF(COLUMN(M$4)&lt;=mes0+'RR.HH.'!$D$33,0,
       IF(COLUMN(M$4)&lt;=mes0+'RR.HH.'!$D$33+'RR.HH.'!$D$34, 'RR.HH.'!$B20*'Quadro Pessoal'!N10/('RR.HH.'!$D$34)*(COLUMN(M$4)-'RR.HH.'!$D$33-mes0),
             'RR.HH.'!$B20*'Quadro Pessoal'!N10))</f>
        <v>0</v>
      </c>
      <c r="N8" s="98">
        <f t="shared" si="0"/>
        <v>0</v>
      </c>
      <c r="O8" s="108">
        <f ca="1"/>
        <v>0</v>
      </c>
    </row>
    <row r="9" spans="1:15">
      <c r="A9" s="109" t="str">
        <v>Empregados</v>
      </c>
      <c r="B9" s="78">
        <f t="array" ref="B9:M14">IF(COLUMN(B$4:M$4)&lt;=mes0,0,'RR.HH.'!$B21:$B27*'Quadro Pessoal'!C11:N17)</f>
        <v>0</v>
      </c>
      <c r="C9" s="79">
        <v>0</v>
      </c>
      <c r="D9" s="79">
        <v>0</v>
      </c>
      <c r="E9" s="79">
        <v>0</v>
      </c>
      <c r="F9" s="79">
        <v>0</v>
      </c>
      <c r="G9" s="79">
        <v>0</v>
      </c>
      <c r="H9" s="79">
        <v>0</v>
      </c>
      <c r="I9" s="79">
        <v>0</v>
      </c>
      <c r="J9" s="79">
        <v>0</v>
      </c>
      <c r="K9" s="79">
        <v>0</v>
      </c>
      <c r="L9" s="79">
        <v>0</v>
      </c>
      <c r="M9" s="80">
        <v>0</v>
      </c>
      <c r="N9" s="98">
        <f t="shared" si="0"/>
        <v>0</v>
      </c>
      <c r="O9" s="108">
        <f ca="1"/>
        <v>0</v>
      </c>
    </row>
    <row r="10" spans="1:15">
      <c r="A10" s="109" t="str">
        <v/>
      </c>
      <c r="B10" s="78">
        <v>0</v>
      </c>
      <c r="C10" s="79">
        <v>0</v>
      </c>
      <c r="D10" s="79">
        <v>0</v>
      </c>
      <c r="E10" s="79">
        <v>0</v>
      </c>
      <c r="F10" s="79">
        <v>0</v>
      </c>
      <c r="G10" s="79">
        <v>0</v>
      </c>
      <c r="H10" s="79">
        <v>0</v>
      </c>
      <c r="I10" s="79">
        <v>0</v>
      </c>
      <c r="J10" s="79">
        <v>0</v>
      </c>
      <c r="K10" s="79">
        <v>0</v>
      </c>
      <c r="L10" s="79">
        <v>0</v>
      </c>
      <c r="M10" s="80">
        <v>0</v>
      </c>
      <c r="N10" s="98">
        <f t="shared" si="0"/>
        <v>0</v>
      </c>
      <c r="O10" s="108">
        <f ca="1"/>
        <v>0</v>
      </c>
    </row>
    <row r="11" spans="1:15">
      <c r="A11" s="109" t="str">
        <v/>
      </c>
      <c r="B11" s="78">
        <v>0</v>
      </c>
      <c r="C11" s="79">
        <v>0</v>
      </c>
      <c r="D11" s="79">
        <v>0</v>
      </c>
      <c r="E11" s="79">
        <v>0</v>
      </c>
      <c r="F11" s="79">
        <v>0</v>
      </c>
      <c r="G11" s="79">
        <v>0</v>
      </c>
      <c r="H11" s="79">
        <v>0</v>
      </c>
      <c r="I11" s="79">
        <v>0</v>
      </c>
      <c r="J11" s="79">
        <v>0</v>
      </c>
      <c r="K11" s="79">
        <v>0</v>
      </c>
      <c r="L11" s="79">
        <v>0</v>
      </c>
      <c r="M11" s="80">
        <v>0</v>
      </c>
      <c r="N11" s="98">
        <f t="shared" si="0"/>
        <v>0</v>
      </c>
      <c r="O11" s="108">
        <f ca="1"/>
        <v>0</v>
      </c>
    </row>
    <row r="12" spans="1:15">
      <c r="A12" s="109" t="str">
        <v/>
      </c>
      <c r="B12" s="78">
        <v>0</v>
      </c>
      <c r="C12" s="79">
        <v>0</v>
      </c>
      <c r="D12" s="79">
        <v>0</v>
      </c>
      <c r="E12" s="79">
        <v>0</v>
      </c>
      <c r="F12" s="79">
        <v>0</v>
      </c>
      <c r="G12" s="79">
        <v>0</v>
      </c>
      <c r="H12" s="79">
        <v>0</v>
      </c>
      <c r="I12" s="79">
        <v>0</v>
      </c>
      <c r="J12" s="79">
        <v>0</v>
      </c>
      <c r="K12" s="79">
        <v>0</v>
      </c>
      <c r="L12" s="79">
        <v>0</v>
      </c>
      <c r="M12" s="80">
        <v>0</v>
      </c>
      <c r="N12" s="98">
        <f t="shared" si="0"/>
        <v>0</v>
      </c>
      <c r="O12" s="108">
        <f ca="1"/>
        <v>0</v>
      </c>
    </row>
    <row r="13" spans="1:15">
      <c r="A13" s="109" t="str">
        <v/>
      </c>
      <c r="B13" s="78">
        <v>0</v>
      </c>
      <c r="C13" s="79">
        <v>0</v>
      </c>
      <c r="D13" s="79">
        <v>0</v>
      </c>
      <c r="E13" s="79">
        <v>0</v>
      </c>
      <c r="F13" s="79">
        <v>0</v>
      </c>
      <c r="G13" s="79">
        <v>0</v>
      </c>
      <c r="H13" s="79">
        <v>0</v>
      </c>
      <c r="I13" s="79">
        <v>0</v>
      </c>
      <c r="J13" s="79">
        <v>0</v>
      </c>
      <c r="K13" s="79">
        <v>0</v>
      </c>
      <c r="L13" s="79">
        <v>0</v>
      </c>
      <c r="M13" s="80">
        <v>0</v>
      </c>
      <c r="N13" s="98">
        <f t="shared" si="0"/>
        <v>0</v>
      </c>
      <c r="O13" s="108">
        <f ca="1"/>
        <v>0</v>
      </c>
    </row>
    <row r="14" spans="1:15">
      <c r="A14" s="109" t="str">
        <v/>
      </c>
      <c r="B14" s="78">
        <v>0</v>
      </c>
      <c r="C14" s="79">
        <v>0</v>
      </c>
      <c r="D14" s="79">
        <v>0</v>
      </c>
      <c r="E14" s="79">
        <v>0</v>
      </c>
      <c r="F14" s="79">
        <v>0</v>
      </c>
      <c r="G14" s="79">
        <v>0</v>
      </c>
      <c r="H14" s="79">
        <v>0</v>
      </c>
      <c r="I14" s="79">
        <v>0</v>
      </c>
      <c r="J14" s="79">
        <v>0</v>
      </c>
      <c r="K14" s="79">
        <v>0</v>
      </c>
      <c r="L14" s="79">
        <v>0</v>
      </c>
      <c r="M14" s="80">
        <v>0</v>
      </c>
      <c r="N14" s="98">
        <f t="shared" si="0"/>
        <v>0</v>
      </c>
      <c r="O14" s="108">
        <f ca="1"/>
        <v>0</v>
      </c>
    </row>
    <row r="15" spans="1:15" ht="15.75" thickBot="1">
      <c r="A15" s="139" t="str">
        <f>"Total "&amp;A6</f>
        <v>Total Ordenados e salários</v>
      </c>
      <c r="B15" s="140">
        <f t="shared" ref="B15:M15" si="1">SUM(B7:B14)</f>
        <v>1200</v>
      </c>
      <c r="C15" s="141">
        <f t="shared" si="1"/>
        <v>1200</v>
      </c>
      <c r="D15" s="141">
        <f t="shared" si="1"/>
        <v>1200</v>
      </c>
      <c r="E15" s="141">
        <f t="shared" si="1"/>
        <v>1200</v>
      </c>
      <c r="F15" s="141">
        <f t="shared" si="1"/>
        <v>1200</v>
      </c>
      <c r="G15" s="141">
        <f t="shared" si="1"/>
        <v>1200</v>
      </c>
      <c r="H15" s="141">
        <f t="shared" si="1"/>
        <v>1200</v>
      </c>
      <c r="I15" s="141">
        <f t="shared" si="1"/>
        <v>1200</v>
      </c>
      <c r="J15" s="141">
        <f t="shared" si="1"/>
        <v>1200</v>
      </c>
      <c r="K15" s="141">
        <f t="shared" si="1"/>
        <v>1200</v>
      </c>
      <c r="L15" s="141">
        <f t="shared" si="1"/>
        <v>1200</v>
      </c>
      <c r="M15" s="142">
        <f t="shared" si="1"/>
        <v>1200</v>
      </c>
      <c r="N15" s="143">
        <f>SUM(B15:M15)</f>
        <v>14400</v>
      </c>
      <c r="O15" s="112">
        <f ca="1"/>
        <v>0.90577690097353858</v>
      </c>
    </row>
    <row r="16" spans="1:15" ht="15.75" thickBot="1">
      <c r="A16" s="114"/>
      <c r="B16" s="127"/>
      <c r="C16" s="128"/>
      <c r="D16" s="128"/>
      <c r="E16" s="128"/>
      <c r="F16" s="128"/>
      <c r="G16" s="128"/>
      <c r="H16" s="128"/>
      <c r="I16" s="128"/>
      <c r="J16" s="128"/>
      <c r="K16" s="128"/>
      <c r="L16" s="128"/>
      <c r="M16" s="129"/>
      <c r="N16" s="130"/>
      <c r="O16" s="131"/>
    </row>
    <row r="17" spans="1:15">
      <c r="A17" s="137" t="s">
        <v>849</v>
      </c>
      <c r="B17" s="74"/>
      <c r="C17" s="75"/>
      <c r="D17" s="75"/>
      <c r="E17" s="75"/>
      <c r="F17" s="75"/>
      <c r="G17" s="75"/>
      <c r="H17" s="75"/>
      <c r="I17" s="75"/>
      <c r="J17" s="75"/>
      <c r="K17" s="75"/>
      <c r="L17" s="75"/>
      <c r="M17" s="76"/>
      <c r="N17" s="138"/>
      <c r="O17" s="107"/>
    </row>
    <row r="18" spans="1:15">
      <c r="A18" s="110" t="s">
        <v>1272</v>
      </c>
      <c r="B18" s="92">
        <f t="array" ref="B18:M18">IF(COLUMN(B$4)&lt;=mes0,0,('Seguridade Sócial'!B17:M17*('Quadro Pessoal'!C9:N9+'Quadro Pessoal'!C10:N10)))</f>
        <v>20</v>
      </c>
      <c r="C18" s="93">
        <v>20</v>
      </c>
      <c r="D18" s="93">
        <v>20</v>
      </c>
      <c r="E18" s="93">
        <f ca="1"/>
        <v>194.31818181818181</v>
      </c>
      <c r="F18" s="93">
        <f ca="1"/>
        <v>194.31818181818181</v>
      </c>
      <c r="G18" s="93">
        <f ca="1"/>
        <v>194.31818181818181</v>
      </c>
      <c r="H18" s="93">
        <f ca="1"/>
        <v>116.59090909090908</v>
      </c>
      <c r="I18" s="93">
        <f ca="1"/>
        <v>116.59090909090908</v>
      </c>
      <c r="J18" s="93">
        <f ca="1"/>
        <v>116.59090909090908</v>
      </c>
      <c r="K18" s="93">
        <f ca="1"/>
        <v>168.40909090909091</v>
      </c>
      <c r="L18" s="93">
        <f ca="1"/>
        <v>168.40909090909091</v>
      </c>
      <c r="M18" s="94">
        <f ca="1"/>
        <v>168.40909090909091</v>
      </c>
      <c r="N18" s="98">
        <f ca="1">SUM(B18:M18)</f>
        <v>1497.9545454545457</v>
      </c>
      <c r="O18" s="108">
        <f t="array" ref="O18:O20" ca="1">N18:N20/$N$27</f>
        <v>9.4223099026461393E-2</v>
      </c>
    </row>
    <row r="19" spans="1:15">
      <c r="A19" s="110" t="s">
        <v>851</v>
      </c>
      <c r="B19" s="92">
        <f t="array" ref="B19">SUM(B9:B14*'RR.HH.'!$B39:$B44)</f>
        <v>0</v>
      </c>
      <c r="C19" s="93">
        <f t="array" ref="C19">SUM(C9:C14*'RR.HH.'!$B39:$B44)</f>
        <v>0</v>
      </c>
      <c r="D19" s="93">
        <f t="array" ref="D19">SUM(D9:D14*'RR.HH.'!$B39:$B44)</f>
        <v>0</v>
      </c>
      <c r="E19" s="93">
        <f t="array" ref="E19">SUM(E9:E14*'RR.HH.'!$B39:$B44)</f>
        <v>0</v>
      </c>
      <c r="F19" s="93">
        <f t="array" ref="F19">SUM(F9:F14*'RR.HH.'!$B39:$B44)</f>
        <v>0</v>
      </c>
      <c r="G19" s="93">
        <f t="array" ref="G19">SUM(G9:G14*'RR.HH.'!$B39:$B44)</f>
        <v>0</v>
      </c>
      <c r="H19" s="93">
        <f t="array" ref="H19">SUM(H9:H14*'RR.HH.'!$B39:$B44)</f>
        <v>0</v>
      </c>
      <c r="I19" s="93">
        <f t="array" ref="I19">SUM(I9:I14*'RR.HH.'!$B39:$B44)</f>
        <v>0</v>
      </c>
      <c r="J19" s="93">
        <f t="array" ref="J19">SUM(J9:J14*'RR.HH.'!$B39:$B44)</f>
        <v>0</v>
      </c>
      <c r="K19" s="93">
        <f t="array" ref="K19">SUM(K9:K14*'RR.HH.'!$B39:$B44)</f>
        <v>0</v>
      </c>
      <c r="L19" s="93">
        <f t="array" ref="L19">SUM(L9:L14*'RR.HH.'!$B39:$B44)</f>
        <v>0</v>
      </c>
      <c r="M19" s="94">
        <f t="array" ref="M19">SUM(M9:M14*'RR.HH.'!$B39:$B44)</f>
        <v>0</v>
      </c>
      <c r="N19" s="98">
        <f>SUM(B19:M19)</f>
        <v>0</v>
      </c>
      <c r="O19" s="108">
        <f ca="1"/>
        <v>0</v>
      </c>
    </row>
    <row r="20" spans="1:15" ht="15.75" thickBot="1">
      <c r="A20" s="139" t="str">
        <f>"Total "&amp;A17</f>
        <v>Total Seguros Sociáis</v>
      </c>
      <c r="B20" s="140">
        <f t="shared" ref="B20:M20" si="2">SUM(B18:B19)</f>
        <v>20</v>
      </c>
      <c r="C20" s="141">
        <f t="shared" si="2"/>
        <v>20</v>
      </c>
      <c r="D20" s="141">
        <f t="shared" si="2"/>
        <v>20</v>
      </c>
      <c r="E20" s="141">
        <f t="shared" ca="1" si="2"/>
        <v>194.31818181818181</v>
      </c>
      <c r="F20" s="141">
        <f t="shared" ca="1" si="2"/>
        <v>194.31818181818181</v>
      </c>
      <c r="G20" s="141">
        <f t="shared" ca="1" si="2"/>
        <v>194.31818181818181</v>
      </c>
      <c r="H20" s="141">
        <f t="shared" ca="1" si="2"/>
        <v>116.59090909090908</v>
      </c>
      <c r="I20" s="141">
        <f t="shared" ca="1" si="2"/>
        <v>116.59090909090908</v>
      </c>
      <c r="J20" s="141">
        <f t="shared" ca="1" si="2"/>
        <v>116.59090909090908</v>
      </c>
      <c r="K20" s="141">
        <f t="shared" ca="1" si="2"/>
        <v>168.40909090909091</v>
      </c>
      <c r="L20" s="141">
        <f t="shared" ca="1" si="2"/>
        <v>168.40909090909091</v>
      </c>
      <c r="M20" s="142">
        <f t="shared" ca="1" si="2"/>
        <v>168.40909090909091</v>
      </c>
      <c r="N20" s="143">
        <f ca="1">SUM(B20:M20)</f>
        <v>1497.9545454545457</v>
      </c>
      <c r="O20" s="112">
        <f ca="1"/>
        <v>9.4223099026461393E-2</v>
      </c>
    </row>
    <row r="21" spans="1:15" ht="15.75" thickBot="1">
      <c r="A21" s="114"/>
      <c r="B21" s="127"/>
      <c r="C21" s="128"/>
      <c r="D21" s="128"/>
      <c r="E21" s="128"/>
      <c r="F21" s="128"/>
      <c r="G21" s="128"/>
      <c r="H21" s="128"/>
      <c r="I21" s="128"/>
      <c r="J21" s="128"/>
      <c r="K21" s="128"/>
      <c r="L21" s="128"/>
      <c r="M21" s="129"/>
      <c r="N21" s="130"/>
      <c r="O21" s="131"/>
    </row>
    <row r="22" spans="1:15">
      <c r="A22" s="137" t="s">
        <v>852</v>
      </c>
      <c r="B22" s="74"/>
      <c r="C22" s="75"/>
      <c r="D22" s="75"/>
      <c r="E22" s="75"/>
      <c r="F22" s="75"/>
      <c r="G22" s="75"/>
      <c r="H22" s="75"/>
      <c r="I22" s="75"/>
      <c r="J22" s="75"/>
      <c r="K22" s="75"/>
      <c r="L22" s="75"/>
      <c r="M22" s="76"/>
      <c r="N22" s="138"/>
      <c r="O22" s="107"/>
    </row>
    <row r="23" spans="1:15">
      <c r="A23" s="110" t="s">
        <v>853</v>
      </c>
      <c r="B23" s="81">
        <f t="array" ref="B23:M24">IF(COLUMN(B$4:M$4)&lt;=mes0,0,'RR.HH.'!$B53:$B54*'Quadro Pessoal'!C20:N21)</f>
        <v>0</v>
      </c>
      <c r="C23" s="82">
        <v>0</v>
      </c>
      <c r="D23" s="82">
        <v>0</v>
      </c>
      <c r="E23" s="82">
        <v>0</v>
      </c>
      <c r="F23" s="82">
        <v>0</v>
      </c>
      <c r="G23" s="82">
        <v>0</v>
      </c>
      <c r="H23" s="82">
        <v>0</v>
      </c>
      <c r="I23" s="82">
        <v>0</v>
      </c>
      <c r="J23" s="82">
        <v>0</v>
      </c>
      <c r="K23" s="82">
        <v>0</v>
      </c>
      <c r="L23" s="82">
        <v>0</v>
      </c>
      <c r="M23" s="83">
        <v>0</v>
      </c>
      <c r="N23" s="98">
        <f>SUM(B23:M23)</f>
        <v>0</v>
      </c>
      <c r="O23" s="108">
        <f t="array" ref="O23:O25" ca="1">N23:N25/$N$27</f>
        <v>0</v>
      </c>
    </row>
    <row r="24" spans="1:15">
      <c r="A24" s="110" t="s">
        <v>854</v>
      </c>
      <c r="B24" s="81">
        <v>0</v>
      </c>
      <c r="C24" s="82">
        <v>0</v>
      </c>
      <c r="D24" s="82">
        <v>0</v>
      </c>
      <c r="E24" s="82">
        <v>0</v>
      </c>
      <c r="F24" s="82">
        <v>0</v>
      </c>
      <c r="G24" s="82">
        <v>0</v>
      </c>
      <c r="H24" s="82">
        <v>0</v>
      </c>
      <c r="I24" s="82">
        <v>0</v>
      </c>
      <c r="J24" s="82">
        <v>0</v>
      </c>
      <c r="K24" s="82">
        <v>0</v>
      </c>
      <c r="L24" s="82">
        <v>0</v>
      </c>
      <c r="M24" s="83">
        <v>0</v>
      </c>
      <c r="N24" s="98">
        <f>SUM(B24:M24)</f>
        <v>0</v>
      </c>
      <c r="O24" s="108">
        <f ca="1"/>
        <v>0</v>
      </c>
    </row>
    <row r="25" spans="1:15" ht="15.75" thickBot="1">
      <c r="A25" s="139" t="str">
        <f>"Total "&amp;A22</f>
        <v>Total Altas e baixas do pessoal</v>
      </c>
      <c r="B25" s="140">
        <f>SUM(B23:B24)</f>
        <v>0</v>
      </c>
      <c r="C25" s="141">
        <f t="shared" ref="C25:M25" si="3">SUM(C23:C24)</f>
        <v>0</v>
      </c>
      <c r="D25" s="141">
        <f t="shared" si="3"/>
        <v>0</v>
      </c>
      <c r="E25" s="141">
        <f t="shared" si="3"/>
        <v>0</v>
      </c>
      <c r="F25" s="141">
        <f t="shared" si="3"/>
        <v>0</v>
      </c>
      <c r="G25" s="141">
        <f t="shared" si="3"/>
        <v>0</v>
      </c>
      <c r="H25" s="141">
        <f t="shared" si="3"/>
        <v>0</v>
      </c>
      <c r="I25" s="141">
        <f t="shared" si="3"/>
        <v>0</v>
      </c>
      <c r="J25" s="141">
        <f t="shared" si="3"/>
        <v>0</v>
      </c>
      <c r="K25" s="141">
        <f t="shared" si="3"/>
        <v>0</v>
      </c>
      <c r="L25" s="141">
        <f t="shared" si="3"/>
        <v>0</v>
      </c>
      <c r="M25" s="142">
        <f t="shared" si="3"/>
        <v>0</v>
      </c>
      <c r="N25" s="143">
        <f>SUM(B25:M25)</f>
        <v>0</v>
      </c>
      <c r="O25" s="112">
        <f ca="1"/>
        <v>0</v>
      </c>
    </row>
    <row r="26" spans="1:15" ht="15.75" thickBot="1">
      <c r="A26" s="149"/>
      <c r="B26" s="147"/>
      <c r="C26" s="123"/>
      <c r="D26" s="123"/>
      <c r="E26" s="123"/>
      <c r="F26" s="123"/>
      <c r="G26" s="123"/>
      <c r="H26" s="123"/>
      <c r="I26" s="123"/>
      <c r="J26" s="123"/>
      <c r="K26" s="123"/>
      <c r="L26" s="123"/>
      <c r="M26" s="124"/>
      <c r="N26" s="125"/>
      <c r="O26" s="126"/>
    </row>
    <row r="27" spans="1:15" ht="15.75" thickBot="1">
      <c r="A27" s="2473" t="str">
        <f>"Total "&amp;A4</f>
        <v>Total Gastos de pessoal</v>
      </c>
      <c r="B27" s="2979">
        <f t="shared" ref="B27:N27" si="4">B25+B20+B15</f>
        <v>1220</v>
      </c>
      <c r="C27" s="2980">
        <f t="shared" si="4"/>
        <v>1220</v>
      </c>
      <c r="D27" s="2980">
        <f t="shared" si="4"/>
        <v>1220</v>
      </c>
      <c r="E27" s="2980">
        <f t="shared" ca="1" si="4"/>
        <v>1394.3181818181818</v>
      </c>
      <c r="F27" s="2980">
        <f t="shared" ca="1" si="4"/>
        <v>1394.3181818181818</v>
      </c>
      <c r="G27" s="2980">
        <f t="shared" ca="1" si="4"/>
        <v>1394.3181818181818</v>
      </c>
      <c r="H27" s="2980">
        <f t="shared" ca="1" si="4"/>
        <v>1316.590909090909</v>
      </c>
      <c r="I27" s="2980">
        <f t="shared" ca="1" si="4"/>
        <v>1316.590909090909</v>
      </c>
      <c r="J27" s="2980">
        <f t="shared" ca="1" si="4"/>
        <v>1316.590909090909</v>
      </c>
      <c r="K27" s="2980">
        <f t="shared" ca="1" si="4"/>
        <v>1368.409090909091</v>
      </c>
      <c r="L27" s="2980">
        <f t="shared" ca="1" si="4"/>
        <v>1368.409090909091</v>
      </c>
      <c r="M27" s="85">
        <f t="shared" ca="1" si="4"/>
        <v>1368.409090909091</v>
      </c>
      <c r="N27" s="84">
        <f t="shared" ca="1" si="4"/>
        <v>15897.954545454546</v>
      </c>
      <c r="O27" s="113">
        <f ca="1">N27/$N$58</f>
        <v>0.98046223893726425</v>
      </c>
    </row>
    <row r="28" spans="1:15">
      <c r="A28" s="102"/>
      <c r="B28" s="86"/>
      <c r="C28" s="86"/>
      <c r="D28" s="86"/>
      <c r="E28" s="86"/>
      <c r="F28" s="86"/>
      <c r="G28" s="86"/>
      <c r="H28" s="86"/>
      <c r="I28" s="86"/>
      <c r="J28" s="86"/>
      <c r="K28" s="86"/>
      <c r="L28" s="86"/>
      <c r="M28" s="86"/>
      <c r="N28" s="86"/>
      <c r="O28" s="103"/>
    </row>
    <row r="29" spans="1:15">
      <c r="A29" s="88"/>
      <c r="B29" s="86"/>
      <c r="C29" s="86"/>
      <c r="D29" s="86"/>
      <c r="E29" s="86"/>
      <c r="F29" s="86"/>
      <c r="G29" s="86"/>
      <c r="H29" s="86"/>
      <c r="I29" s="86"/>
      <c r="J29" s="86"/>
      <c r="K29" s="86"/>
      <c r="L29" s="86"/>
      <c r="M29" s="86"/>
      <c r="N29" s="86"/>
      <c r="O29" s="100"/>
    </row>
    <row r="30" spans="1:15">
      <c r="B30" s="73"/>
      <c r="C30" s="73"/>
      <c r="E30" s="86"/>
      <c r="F30" s="86"/>
      <c r="G30" s="86"/>
      <c r="H30" s="86"/>
      <c r="I30" s="86"/>
      <c r="J30" s="86"/>
      <c r="K30" s="86"/>
      <c r="L30" s="86"/>
      <c r="M30" s="86"/>
      <c r="N30" s="86"/>
      <c r="O30" s="100"/>
    </row>
    <row r="31" spans="1:15" ht="15.75" thickBot="1">
      <c r="A31" s="88"/>
      <c r="B31" s="86"/>
      <c r="C31" s="86"/>
      <c r="D31" s="86"/>
      <c r="E31" s="86"/>
      <c r="F31" s="86"/>
      <c r="G31" s="86"/>
      <c r="H31" s="86"/>
      <c r="I31" s="86"/>
      <c r="J31" s="86"/>
      <c r="K31" s="86"/>
      <c r="L31" s="86"/>
      <c r="M31" s="86"/>
      <c r="N31" s="86"/>
      <c r="O31" s="100"/>
    </row>
    <row r="32" spans="1:15" ht="15.75" thickBot="1">
      <c r="A32" s="155" t="s">
        <v>855</v>
      </c>
      <c r="B32" s="164" t="str">
        <f t="array" ref="B32:M32">meses</f>
        <v>janeiro</v>
      </c>
      <c r="C32" s="165" t="str">
        <v>fevereiro</v>
      </c>
      <c r="D32" s="165" t="str">
        <v>março</v>
      </c>
      <c r="E32" s="165" t="str">
        <v>abril</v>
      </c>
      <c r="F32" s="165" t="str">
        <v>maio</v>
      </c>
      <c r="G32" s="165" t="str">
        <v>junho</v>
      </c>
      <c r="H32" s="165" t="str">
        <v>julho</v>
      </c>
      <c r="I32" s="165" t="str">
        <v>agosto</v>
      </c>
      <c r="J32" s="165" t="str">
        <v>setembro</v>
      </c>
      <c r="K32" s="165" t="str">
        <v>outubro</v>
      </c>
      <c r="L32" s="165" t="str">
        <v>novembro</v>
      </c>
      <c r="M32" s="166" t="str">
        <v>dezembro</v>
      </c>
      <c r="N32" s="105" t="str">
        <f>N4</f>
        <v>Totais</v>
      </c>
      <c r="O32" s="105" t="s">
        <v>6</v>
      </c>
    </row>
    <row r="33" spans="1:15">
      <c r="A33" s="154" t="str">
        <f t="array" ref="A33:A54">'Despesas Fixas Dados'!A6:A27</f>
        <v>Impostos: IAE, IBI, ...</v>
      </c>
      <c r="B33" s="156">
        <f t="array" ref="B33:M33">IF(COLUMN(B$32:M$32)&lt;=mes0,0,'Despesas Fixas Dados'!E6:P6)</f>
        <v>0</v>
      </c>
      <c r="C33" s="157">
        <v>0</v>
      </c>
      <c r="D33" s="157">
        <v>0</v>
      </c>
      <c r="E33" s="157">
        <v>0</v>
      </c>
      <c r="F33" s="157">
        <v>0</v>
      </c>
      <c r="G33" s="157">
        <v>0</v>
      </c>
      <c r="H33" s="157">
        <v>0</v>
      </c>
      <c r="I33" s="157">
        <v>0</v>
      </c>
      <c r="J33" s="157">
        <v>0</v>
      </c>
      <c r="K33" s="157">
        <v>0</v>
      </c>
      <c r="L33" s="157">
        <v>0</v>
      </c>
      <c r="M33" s="158">
        <v>0</v>
      </c>
      <c r="N33" s="167">
        <f t="shared" ref="N33:N54" si="5">SUM(B33:M33)</f>
        <v>0</v>
      </c>
      <c r="O33" s="107">
        <f t="array" aca="1" ref="O33:O54" ca="1">N33:N54/$N$58</f>
        <v>0</v>
      </c>
    </row>
    <row r="34" spans="1:15">
      <c r="A34" s="151" t="str">
        <v>Outras despesas fixas ( Sem IVA )</v>
      </c>
      <c r="B34" s="78">
        <f t="array" ref="B34:M34">IF(COLUMN(B$32:M$32)&lt;=mes0,0,'Despesas Fixas Dados'!E7:P7)+IF(COLUMN(B$32:M$32)=mes0+1,'Despesas Iniciais'!$B$20,0)</f>
        <v>0</v>
      </c>
      <c r="C34" s="79">
        <v>0</v>
      </c>
      <c r="D34" s="79">
        <v>0</v>
      </c>
      <c r="E34" s="79">
        <v>0</v>
      </c>
      <c r="F34" s="79">
        <v>0</v>
      </c>
      <c r="G34" s="79">
        <v>0</v>
      </c>
      <c r="H34" s="79">
        <v>0</v>
      </c>
      <c r="I34" s="79">
        <v>0</v>
      </c>
      <c r="J34" s="79">
        <v>0</v>
      </c>
      <c r="K34" s="79">
        <v>0</v>
      </c>
      <c r="L34" s="79">
        <v>0</v>
      </c>
      <c r="M34" s="80">
        <v>0</v>
      </c>
      <c r="N34" s="163">
        <f>SUM(B34:M34)</f>
        <v>0</v>
      </c>
      <c r="O34" s="108">
        <f ca="1"/>
        <v>0</v>
      </c>
    </row>
    <row r="35" spans="1:15">
      <c r="A35" s="151" t="str">
        <v>Priémios de Seguros</v>
      </c>
      <c r="B35" s="78">
        <f t="array" ref="B35:M54">IF(COLUMN(B$32:M$32)&lt;=mes0,0,'Despesas Fixas Dados'!E8:P27)</f>
        <v>0</v>
      </c>
      <c r="C35" s="79">
        <v>0</v>
      </c>
      <c r="D35" s="79">
        <v>0</v>
      </c>
      <c r="E35" s="79">
        <v>0</v>
      </c>
      <c r="F35" s="79">
        <v>0</v>
      </c>
      <c r="G35" s="79">
        <v>0</v>
      </c>
      <c r="H35" s="79">
        <v>0</v>
      </c>
      <c r="I35" s="79">
        <v>0</v>
      </c>
      <c r="J35" s="79">
        <v>0</v>
      </c>
      <c r="K35" s="79">
        <v>0</v>
      </c>
      <c r="L35" s="79">
        <v>0</v>
      </c>
      <c r="M35" s="80">
        <v>0</v>
      </c>
      <c r="N35" s="163">
        <f>SUM(B35:M35)</f>
        <v>0</v>
      </c>
      <c r="O35" s="108">
        <f ca="1"/>
        <v>0</v>
      </c>
    </row>
    <row r="36" spans="1:15">
      <c r="A36" s="151" t="str">
        <v>Ordem / asociação profissional</v>
      </c>
      <c r="B36" s="78">
        <v>0</v>
      </c>
      <c r="C36" s="79">
        <v>0</v>
      </c>
      <c r="D36" s="79">
        <v>0</v>
      </c>
      <c r="E36" s="79">
        <v>0</v>
      </c>
      <c r="F36" s="79">
        <v>0</v>
      </c>
      <c r="G36" s="79">
        <v>0</v>
      </c>
      <c r="H36" s="79">
        <v>0</v>
      </c>
      <c r="I36" s="79">
        <v>0</v>
      </c>
      <c r="J36" s="79">
        <v>0</v>
      </c>
      <c r="K36" s="79">
        <v>0</v>
      </c>
      <c r="L36" s="79">
        <v>0</v>
      </c>
      <c r="M36" s="80">
        <v>0</v>
      </c>
      <c r="N36" s="163">
        <f>SUM(B36:M36)</f>
        <v>0</v>
      </c>
      <c r="O36" s="108">
        <f ca="1"/>
        <v>0</v>
      </c>
    </row>
    <row r="37" spans="1:15">
      <c r="A37" s="151" t="str">
        <v>Suministro de Electricidade</v>
      </c>
      <c r="B37" s="78">
        <v>0</v>
      </c>
      <c r="C37" s="79">
        <v>0</v>
      </c>
      <c r="D37" s="79">
        <v>0</v>
      </c>
      <c r="E37" s="79">
        <v>0</v>
      </c>
      <c r="F37" s="79">
        <v>0</v>
      </c>
      <c r="G37" s="79">
        <v>0</v>
      </c>
      <c r="H37" s="79">
        <v>0</v>
      </c>
      <c r="I37" s="79">
        <v>0</v>
      </c>
      <c r="J37" s="79">
        <v>0</v>
      </c>
      <c r="K37" s="79">
        <v>0</v>
      </c>
      <c r="L37" s="79">
        <v>0</v>
      </c>
      <c r="M37" s="80">
        <v>0</v>
      </c>
      <c r="N37" s="163">
        <f t="shared" si="5"/>
        <v>0</v>
      </c>
      <c r="O37" s="108">
        <f ca="1"/>
        <v>0</v>
      </c>
    </row>
    <row r="38" spans="1:15">
      <c r="A38" s="151" t="str">
        <v>Cuotas periódicas software e IA</v>
      </c>
      <c r="B38" s="78">
        <v>0</v>
      </c>
      <c r="C38" s="79">
        <v>0</v>
      </c>
      <c r="D38" s="79">
        <v>0</v>
      </c>
      <c r="E38" s="79">
        <v>0</v>
      </c>
      <c r="F38" s="79">
        <v>0</v>
      </c>
      <c r="G38" s="79">
        <v>0</v>
      </c>
      <c r="H38" s="79">
        <v>0</v>
      </c>
      <c r="I38" s="79">
        <v>0</v>
      </c>
      <c r="J38" s="79">
        <v>0</v>
      </c>
      <c r="K38" s="79">
        <v>0</v>
      </c>
      <c r="L38" s="79">
        <v>0</v>
      </c>
      <c r="M38" s="80">
        <v>0</v>
      </c>
      <c r="N38" s="163">
        <f t="shared" si="5"/>
        <v>0</v>
      </c>
      <c r="O38" s="108">
        <f ca="1"/>
        <v>0</v>
      </c>
    </row>
    <row r="39" spans="1:15">
      <c r="A39" s="151" t="str">
        <v>Água, taxas saneamiento e lixo</v>
      </c>
      <c r="B39" s="78">
        <v>0</v>
      </c>
      <c r="C39" s="79">
        <v>0</v>
      </c>
      <c r="D39" s="79">
        <v>0</v>
      </c>
      <c r="E39" s="79">
        <v>0</v>
      </c>
      <c r="F39" s="79">
        <v>0</v>
      </c>
      <c r="G39" s="79">
        <v>0</v>
      </c>
      <c r="H39" s="79">
        <v>0</v>
      </c>
      <c r="I39" s="79">
        <v>0</v>
      </c>
      <c r="J39" s="79">
        <v>0</v>
      </c>
      <c r="K39" s="79">
        <v>0</v>
      </c>
      <c r="L39" s="79">
        <v>0</v>
      </c>
      <c r="M39" s="80">
        <v>0</v>
      </c>
      <c r="N39" s="163">
        <f t="shared" si="5"/>
        <v>0</v>
      </c>
      <c r="O39" s="108">
        <f ca="1"/>
        <v>0</v>
      </c>
    </row>
    <row r="40" spans="1:15">
      <c r="A40" s="151" t="str">
        <v>Outros suministros (gaz, etc.)</v>
      </c>
      <c r="B40" s="78">
        <v>0</v>
      </c>
      <c r="C40" s="79">
        <v>0</v>
      </c>
      <c r="D40" s="79">
        <v>0</v>
      </c>
      <c r="E40" s="79">
        <v>0</v>
      </c>
      <c r="F40" s="79">
        <v>0</v>
      </c>
      <c r="G40" s="79">
        <v>0</v>
      </c>
      <c r="H40" s="79">
        <v>0</v>
      </c>
      <c r="I40" s="79">
        <v>0</v>
      </c>
      <c r="J40" s="79">
        <v>0</v>
      </c>
      <c r="K40" s="79">
        <v>0</v>
      </c>
      <c r="L40" s="79">
        <v>0</v>
      </c>
      <c r="M40" s="80">
        <v>0</v>
      </c>
      <c r="N40" s="163">
        <f t="shared" si="5"/>
        <v>0</v>
      </c>
      <c r="O40" s="108">
        <f ca="1"/>
        <v>0</v>
      </c>
    </row>
    <row r="41" spans="1:15">
      <c r="A41" s="151" t="str">
        <v>Telefonia / Internet / Comunicações</v>
      </c>
      <c r="B41" s="78">
        <v>0</v>
      </c>
      <c r="C41" s="79">
        <v>0</v>
      </c>
      <c r="D41" s="79">
        <v>0</v>
      </c>
      <c r="E41" s="79">
        <v>0</v>
      </c>
      <c r="F41" s="79">
        <v>0</v>
      </c>
      <c r="G41" s="79">
        <v>0</v>
      </c>
      <c r="H41" s="79">
        <v>0</v>
      </c>
      <c r="I41" s="79">
        <v>0</v>
      </c>
      <c r="J41" s="79">
        <v>0</v>
      </c>
      <c r="K41" s="79">
        <v>0</v>
      </c>
      <c r="L41" s="79">
        <v>0</v>
      </c>
      <c r="M41" s="80">
        <v>0</v>
      </c>
      <c r="N41" s="163">
        <f>SUM(B41:M41)</f>
        <v>0</v>
      </c>
      <c r="O41" s="108">
        <f ca="1"/>
        <v>0</v>
      </c>
    </row>
    <row r="42" spans="1:15">
      <c r="A42" s="151" t="str">
        <v>Alojamento e serviços web</v>
      </c>
      <c r="B42" s="78">
        <v>0</v>
      </c>
      <c r="C42" s="79">
        <v>0</v>
      </c>
      <c r="D42" s="79">
        <v>0</v>
      </c>
      <c r="E42" s="79">
        <v>0</v>
      </c>
      <c r="F42" s="79">
        <v>0</v>
      </c>
      <c r="G42" s="79">
        <v>0</v>
      </c>
      <c r="H42" s="79">
        <v>0</v>
      </c>
      <c r="I42" s="79">
        <v>0</v>
      </c>
      <c r="J42" s="79">
        <v>0</v>
      </c>
      <c r="K42" s="79">
        <v>0</v>
      </c>
      <c r="L42" s="79">
        <v>0</v>
      </c>
      <c r="M42" s="80">
        <v>0</v>
      </c>
      <c r="N42" s="163">
        <f>SUM(B42:M42)</f>
        <v>0</v>
      </c>
      <c r="O42" s="108">
        <f ca="1"/>
        <v>0</v>
      </c>
    </row>
    <row r="43" spans="1:15">
      <c r="A43" s="151" t="str">
        <v>Alarma / Empresa de seguridade</v>
      </c>
      <c r="B43" s="78">
        <v>0</v>
      </c>
      <c r="C43" s="79">
        <v>0</v>
      </c>
      <c r="D43" s="79">
        <v>0</v>
      </c>
      <c r="E43" s="79">
        <v>0</v>
      </c>
      <c r="F43" s="79">
        <v>0</v>
      </c>
      <c r="G43" s="79">
        <v>0</v>
      </c>
      <c r="H43" s="79">
        <v>0</v>
      </c>
      <c r="I43" s="79">
        <v>0</v>
      </c>
      <c r="J43" s="79">
        <v>0</v>
      </c>
      <c r="K43" s="79">
        <v>0</v>
      </c>
      <c r="L43" s="79">
        <v>0</v>
      </c>
      <c r="M43" s="80">
        <v>0</v>
      </c>
      <c r="N43" s="163">
        <f>SUM(B43:M43)</f>
        <v>0</v>
      </c>
      <c r="O43" s="108">
        <f ca="1"/>
        <v>0</v>
      </c>
    </row>
    <row r="44" spans="1:15">
      <c r="A44" s="151" t="str">
        <v>Material de escritório / papelaria</v>
      </c>
      <c r="B44" s="78">
        <v>0</v>
      </c>
      <c r="C44" s="79">
        <v>0</v>
      </c>
      <c r="D44" s="79">
        <v>0</v>
      </c>
      <c r="E44" s="79">
        <v>0</v>
      </c>
      <c r="F44" s="79">
        <v>0</v>
      </c>
      <c r="G44" s="79">
        <v>0</v>
      </c>
      <c r="H44" s="79">
        <v>0</v>
      </c>
      <c r="I44" s="79">
        <v>0</v>
      </c>
      <c r="J44" s="79">
        <v>0</v>
      </c>
      <c r="K44" s="79">
        <v>0</v>
      </c>
      <c r="L44" s="79">
        <v>0</v>
      </c>
      <c r="M44" s="80">
        <v>0</v>
      </c>
      <c r="N44" s="163">
        <f t="shared" si="5"/>
        <v>0</v>
      </c>
      <c r="O44" s="108">
        <f ca="1"/>
        <v>0</v>
      </c>
    </row>
    <row r="45" spans="1:15">
      <c r="A45" s="151" t="str">
        <v>Congresos / Salões / Viágems</v>
      </c>
      <c r="B45" s="78">
        <v>0</v>
      </c>
      <c r="C45" s="79">
        <v>0</v>
      </c>
      <c r="D45" s="79">
        <v>0</v>
      </c>
      <c r="E45" s="79">
        <v>0</v>
      </c>
      <c r="F45" s="79">
        <v>0</v>
      </c>
      <c r="G45" s="79">
        <v>0</v>
      </c>
      <c r="H45" s="79">
        <v>0</v>
      </c>
      <c r="I45" s="79">
        <v>0</v>
      </c>
      <c r="J45" s="79">
        <v>0</v>
      </c>
      <c r="K45" s="79">
        <v>0</v>
      </c>
      <c r="L45" s="79">
        <v>0</v>
      </c>
      <c r="M45" s="80">
        <v>0</v>
      </c>
      <c r="N45" s="163">
        <f t="shared" si="5"/>
        <v>0</v>
      </c>
      <c r="O45" s="108">
        <f ca="1"/>
        <v>0</v>
      </c>
    </row>
    <row r="46" spans="1:15">
      <c r="A46" s="151" t="str">
        <v>Transporte e desplaçamentos</v>
      </c>
      <c r="B46" s="78">
        <v>0</v>
      </c>
      <c r="C46" s="79">
        <v>0</v>
      </c>
      <c r="D46" s="79">
        <v>0</v>
      </c>
      <c r="E46" s="79">
        <v>0</v>
      </c>
      <c r="F46" s="79">
        <v>0</v>
      </c>
      <c r="G46" s="79">
        <v>0</v>
      </c>
      <c r="H46" s="79">
        <v>0</v>
      </c>
      <c r="I46" s="79">
        <v>0</v>
      </c>
      <c r="J46" s="79">
        <v>0</v>
      </c>
      <c r="K46" s="79">
        <v>0</v>
      </c>
      <c r="L46" s="79">
        <v>0</v>
      </c>
      <c r="M46" s="80">
        <v>0</v>
      </c>
      <c r="N46" s="163">
        <f t="shared" si="5"/>
        <v>0</v>
      </c>
      <c r="O46" s="108">
        <f ca="1"/>
        <v>0</v>
      </c>
    </row>
    <row r="47" spans="1:15">
      <c r="A47" s="151" t="str">
        <v>Asesoría e profissionais independentes</v>
      </c>
      <c r="B47" s="78">
        <v>0</v>
      </c>
      <c r="C47" s="79">
        <v>0</v>
      </c>
      <c r="D47" s="79">
        <v>0</v>
      </c>
      <c r="E47" s="79">
        <v>0</v>
      </c>
      <c r="F47" s="79">
        <v>0</v>
      </c>
      <c r="G47" s="79">
        <v>0</v>
      </c>
      <c r="H47" s="79">
        <v>0</v>
      </c>
      <c r="I47" s="79">
        <v>0</v>
      </c>
      <c r="J47" s="79">
        <v>0</v>
      </c>
      <c r="K47" s="79">
        <v>0</v>
      </c>
      <c r="L47" s="79">
        <v>0</v>
      </c>
      <c r="M47" s="80">
        <v>0</v>
      </c>
      <c r="N47" s="163">
        <f t="shared" si="5"/>
        <v>0</v>
      </c>
      <c r="O47" s="108">
        <f ca="1"/>
        <v>0</v>
      </c>
    </row>
    <row r="48" spans="1:15">
      <c r="A48" s="151" t="str">
        <v>Arrendamentos / alugueres</v>
      </c>
      <c r="B48" s="78">
        <v>0</v>
      </c>
      <c r="C48" s="79">
        <v>0</v>
      </c>
      <c r="D48" s="79">
        <v>0</v>
      </c>
      <c r="E48" s="79">
        <v>0</v>
      </c>
      <c r="F48" s="79">
        <v>0</v>
      </c>
      <c r="G48" s="79">
        <v>0</v>
      </c>
      <c r="H48" s="79">
        <v>0</v>
      </c>
      <c r="I48" s="79">
        <v>0</v>
      </c>
      <c r="J48" s="79">
        <v>0</v>
      </c>
      <c r="K48" s="79">
        <v>0</v>
      </c>
      <c r="L48" s="79">
        <v>0</v>
      </c>
      <c r="M48" s="80">
        <v>0</v>
      </c>
      <c r="N48" s="163">
        <f t="shared" si="5"/>
        <v>0</v>
      </c>
      <c r="O48" s="108">
        <f ca="1"/>
        <v>0</v>
      </c>
    </row>
    <row r="49" spans="1:15">
      <c r="A49" s="151" t="str">
        <v>Despesas Variáveis Marketing online</v>
      </c>
      <c r="B49" s="78">
        <f ca="1"/>
        <v>11.999999999999998</v>
      </c>
      <c r="C49" s="79">
        <f ca="1"/>
        <v>11.999999999999998</v>
      </c>
      <c r="D49" s="79">
        <f ca="1"/>
        <v>11.999999999999998</v>
      </c>
      <c r="E49" s="79">
        <f ca="1"/>
        <v>11.999999999999998</v>
      </c>
      <c r="F49" s="79">
        <f ca="1"/>
        <v>11.999999999999998</v>
      </c>
      <c r="G49" s="79">
        <f ca="1"/>
        <v>11.999999999999998</v>
      </c>
      <c r="H49" s="79">
        <f ca="1"/>
        <v>11.999999999999998</v>
      </c>
      <c r="I49" s="79">
        <f ca="1"/>
        <v>11.999999999999998</v>
      </c>
      <c r="J49" s="79">
        <f ca="1"/>
        <v>11.999999999999998</v>
      </c>
      <c r="K49" s="79">
        <f ca="1"/>
        <v>11.999999999999998</v>
      </c>
      <c r="L49" s="79">
        <f ca="1"/>
        <v>11.999999999999998</v>
      </c>
      <c r="M49" s="80">
        <f ca="1"/>
        <v>11.999999999999998</v>
      </c>
      <c r="N49" s="163">
        <f ca="1">SUM(B49:M49)</f>
        <v>143.99999999999997</v>
      </c>
      <c r="O49" s="108">
        <f ca="1"/>
        <v>8.880800483061722E-3</v>
      </c>
    </row>
    <row r="50" spans="1:15">
      <c r="A50" s="151" t="str">
        <v>Despesas Fixas Marketing online</v>
      </c>
      <c r="B50" s="78">
        <v>0</v>
      </c>
      <c r="C50" s="79">
        <v>0</v>
      </c>
      <c r="D50" s="79">
        <v>0</v>
      </c>
      <c r="E50" s="79">
        <v>0</v>
      </c>
      <c r="F50" s="79">
        <v>0</v>
      </c>
      <c r="G50" s="79">
        <v>0</v>
      </c>
      <c r="H50" s="79">
        <v>0</v>
      </c>
      <c r="I50" s="79">
        <v>0</v>
      </c>
      <c r="J50" s="79">
        <v>0</v>
      </c>
      <c r="K50" s="79">
        <v>0</v>
      </c>
      <c r="L50" s="79">
        <v>0</v>
      </c>
      <c r="M50" s="80">
        <v>0</v>
      </c>
      <c r="N50" s="163">
        <f>SUM(B50:M50)</f>
        <v>0</v>
      </c>
      <c r="O50" s="108">
        <f ca="1"/>
        <v>0</v>
      </c>
    </row>
    <row r="51" spans="1:15">
      <c r="A51" s="151" t="str">
        <v>Despesas Variáveis Marketing off-line</v>
      </c>
      <c r="B51" s="78">
        <f ca="1"/>
        <v>11.999999999999998</v>
      </c>
      <c r="C51" s="79">
        <f ca="1"/>
        <v>11.999999999999998</v>
      </c>
      <c r="D51" s="79">
        <f ca="1"/>
        <v>11.999999999999998</v>
      </c>
      <c r="E51" s="79">
        <f ca="1"/>
        <v>11.999999999999998</v>
      </c>
      <c r="F51" s="79">
        <f ca="1"/>
        <v>11.999999999999998</v>
      </c>
      <c r="G51" s="79">
        <f ca="1"/>
        <v>11.999999999999998</v>
      </c>
      <c r="H51" s="79">
        <f ca="1"/>
        <v>11.999999999999998</v>
      </c>
      <c r="I51" s="79">
        <f ca="1"/>
        <v>11.999999999999998</v>
      </c>
      <c r="J51" s="79">
        <f ca="1"/>
        <v>11.999999999999998</v>
      </c>
      <c r="K51" s="79">
        <f ca="1"/>
        <v>11.999999999999998</v>
      </c>
      <c r="L51" s="79">
        <f ca="1"/>
        <v>11.999999999999998</v>
      </c>
      <c r="M51" s="80">
        <f ca="1"/>
        <v>11.999999999999998</v>
      </c>
      <c r="N51" s="163">
        <f t="shared" ca="1" si="5"/>
        <v>143.99999999999997</v>
      </c>
      <c r="O51" s="108">
        <f ca="1"/>
        <v>8.880800483061722E-3</v>
      </c>
    </row>
    <row r="52" spans="1:15">
      <c r="A52" s="151" t="str">
        <v>Despesas Fixas Marketing off-line</v>
      </c>
      <c r="B52" s="78">
        <v>0</v>
      </c>
      <c r="C52" s="79">
        <v>0</v>
      </c>
      <c r="D52" s="79">
        <v>0</v>
      </c>
      <c r="E52" s="79">
        <v>0</v>
      </c>
      <c r="F52" s="79">
        <v>0</v>
      </c>
      <c r="G52" s="79">
        <v>0</v>
      </c>
      <c r="H52" s="79">
        <v>0</v>
      </c>
      <c r="I52" s="79">
        <v>0</v>
      </c>
      <c r="J52" s="79">
        <v>0</v>
      </c>
      <c r="K52" s="79">
        <v>0</v>
      </c>
      <c r="L52" s="79">
        <v>0</v>
      </c>
      <c r="M52" s="80">
        <v>0</v>
      </c>
      <c r="N52" s="163">
        <f t="shared" si="5"/>
        <v>0</v>
      </c>
      <c r="O52" s="108">
        <f ca="1"/>
        <v>0</v>
      </c>
    </row>
    <row r="53" spans="1:15">
      <c r="A53" s="151" t="str">
        <v>Manutenção e reparações</v>
      </c>
      <c r="B53" s="78">
        <v>0</v>
      </c>
      <c r="C53" s="79">
        <v>0</v>
      </c>
      <c r="D53" s="79">
        <v>0</v>
      </c>
      <c r="E53" s="79">
        <v>0</v>
      </c>
      <c r="F53" s="79">
        <v>0</v>
      </c>
      <c r="G53" s="79">
        <v>0</v>
      </c>
      <c r="H53" s="79">
        <v>0</v>
      </c>
      <c r="I53" s="79">
        <v>0</v>
      </c>
      <c r="J53" s="79">
        <v>0</v>
      </c>
      <c r="K53" s="79">
        <v>0</v>
      </c>
      <c r="L53" s="79">
        <v>0</v>
      </c>
      <c r="M53" s="80">
        <v>0</v>
      </c>
      <c r="N53" s="163">
        <f t="shared" si="5"/>
        <v>0</v>
      </c>
      <c r="O53" s="108">
        <f ca="1"/>
        <v>0</v>
      </c>
    </row>
    <row r="54" spans="1:15" ht="15.75" thickBot="1">
      <c r="A54" s="151" t="str">
        <v>Outras despesas Imprevistas</v>
      </c>
      <c r="B54" s="78">
        <f ca="1"/>
        <v>2.4</v>
      </c>
      <c r="C54" s="79">
        <f ca="1"/>
        <v>2.4</v>
      </c>
      <c r="D54" s="79">
        <f ca="1"/>
        <v>2.4</v>
      </c>
      <c r="E54" s="79">
        <f ca="1"/>
        <v>2.4</v>
      </c>
      <c r="F54" s="79">
        <f ca="1"/>
        <v>2.4</v>
      </c>
      <c r="G54" s="79">
        <f ca="1"/>
        <v>2.4</v>
      </c>
      <c r="H54" s="79">
        <f ca="1"/>
        <v>2.4</v>
      </c>
      <c r="I54" s="79">
        <f ca="1"/>
        <v>2.4</v>
      </c>
      <c r="J54" s="79">
        <f ca="1"/>
        <v>2.4</v>
      </c>
      <c r="K54" s="79">
        <f ca="1"/>
        <v>2.4</v>
      </c>
      <c r="L54" s="79">
        <f ca="1"/>
        <v>2.4</v>
      </c>
      <c r="M54" s="80">
        <f ca="1"/>
        <v>2.4</v>
      </c>
      <c r="N54" s="163">
        <f t="shared" ca="1" si="5"/>
        <v>28.799999999999994</v>
      </c>
      <c r="O54" s="108">
        <f ca="1"/>
        <v>1.7761600966123444E-3</v>
      </c>
    </row>
    <row r="55" spans="1:15" ht="15.75" thickBot="1">
      <c r="A55" s="2472" t="str">
        <f>"Total "&amp;A32</f>
        <v>Total Outros gastos fixos</v>
      </c>
      <c r="B55" s="2979">
        <f ca="1">SUM(B33:B54)</f>
        <v>26.399999999999995</v>
      </c>
      <c r="C55" s="2980">
        <f t="shared" ref="C55:L55" ca="1" si="6">SUM(C33:C54)</f>
        <v>26.399999999999995</v>
      </c>
      <c r="D55" s="2980">
        <f t="shared" ca="1" si="6"/>
        <v>26.399999999999995</v>
      </c>
      <c r="E55" s="2980">
        <f t="shared" ca="1" si="6"/>
        <v>26.399999999999995</v>
      </c>
      <c r="F55" s="2980">
        <f ca="1">SUM(F33:F54)</f>
        <v>26.399999999999995</v>
      </c>
      <c r="G55" s="2980">
        <f t="shared" ca="1" si="6"/>
        <v>26.399999999999995</v>
      </c>
      <c r="H55" s="2980">
        <f t="shared" ca="1" si="6"/>
        <v>26.399999999999995</v>
      </c>
      <c r="I55" s="2980">
        <f t="shared" ca="1" si="6"/>
        <v>26.399999999999995</v>
      </c>
      <c r="J55" s="2980">
        <f t="shared" ca="1" si="6"/>
        <v>26.399999999999995</v>
      </c>
      <c r="K55" s="2980">
        <f t="shared" ca="1" si="6"/>
        <v>26.399999999999995</v>
      </c>
      <c r="L55" s="2980">
        <f t="shared" ca="1" si="6"/>
        <v>26.399999999999995</v>
      </c>
      <c r="M55" s="85">
        <f ca="1">SUM(M33:M54)</f>
        <v>26.399999999999995</v>
      </c>
      <c r="N55" s="87">
        <f ca="1">SUM(N33:N54)</f>
        <v>316.79999999999995</v>
      </c>
      <c r="O55" s="113">
        <f ca="1">N55/$N$58</f>
        <v>1.9537761062735789E-2</v>
      </c>
    </row>
    <row r="56" spans="1:15">
      <c r="A56" s="88"/>
      <c r="B56" s="62"/>
      <c r="C56" s="62"/>
      <c r="D56" s="62"/>
      <c r="E56" s="62"/>
      <c r="F56" s="62"/>
      <c r="G56" s="62"/>
      <c r="H56" s="62"/>
      <c r="I56" s="62"/>
      <c r="J56" s="62"/>
      <c r="K56" s="62"/>
      <c r="L56" s="62"/>
      <c r="M56" s="62"/>
      <c r="N56" s="62"/>
      <c r="O56" s="100"/>
    </row>
    <row r="57" spans="1:15" ht="15.75" thickBot="1">
      <c r="A57" s="88"/>
      <c r="B57" s="62"/>
      <c r="C57" s="62"/>
      <c r="D57" s="62"/>
      <c r="E57" s="62"/>
      <c r="F57" s="62"/>
      <c r="G57" s="62"/>
      <c r="H57" s="62"/>
      <c r="I57" s="62"/>
      <c r="J57" s="62"/>
      <c r="K57" s="62"/>
      <c r="L57" s="62"/>
      <c r="M57" s="62"/>
      <c r="N57" s="62"/>
      <c r="O57" s="100"/>
    </row>
    <row r="58" spans="1:15" ht="15.75" thickBot="1">
      <c r="A58" s="2474" t="s">
        <v>856</v>
      </c>
      <c r="B58" s="2979">
        <f t="array" ref="B58:M58" ca="1">B27:M27+B55:M55</f>
        <v>1246.4000000000001</v>
      </c>
      <c r="C58" s="2980">
        <f ca="1"/>
        <v>1246.4000000000001</v>
      </c>
      <c r="D58" s="2980">
        <f ca="1"/>
        <v>1246.4000000000001</v>
      </c>
      <c r="E58" s="2980">
        <f ca="1"/>
        <v>1420.7181818181818</v>
      </c>
      <c r="F58" s="2980">
        <f ca="1"/>
        <v>1420.7181818181818</v>
      </c>
      <c r="G58" s="2980">
        <f ca="1"/>
        <v>1420.7181818181818</v>
      </c>
      <c r="H58" s="2980">
        <f ca="1"/>
        <v>1342.9909090909091</v>
      </c>
      <c r="I58" s="2980">
        <f ca="1"/>
        <v>1342.9909090909091</v>
      </c>
      <c r="J58" s="2980">
        <f ca="1"/>
        <v>1342.9909090909091</v>
      </c>
      <c r="K58" s="2980">
        <f ca="1"/>
        <v>1394.8090909090911</v>
      </c>
      <c r="L58" s="2980">
        <f ca="1"/>
        <v>1394.8090909090911</v>
      </c>
      <c r="M58" s="85">
        <f ca="1"/>
        <v>1394.8090909090911</v>
      </c>
      <c r="N58" s="84">
        <f ca="1">N27+N55</f>
        <v>16214.754545454545</v>
      </c>
      <c r="O58" s="100"/>
    </row>
    <row r="59" spans="1:15" ht="16.5" customHeight="1" thickBot="1">
      <c r="O59" s="100"/>
    </row>
    <row r="60" spans="1:15" ht="15.75" thickBot="1">
      <c r="A60" s="153" t="str">
        <f>'Dados Básicos'!A28&amp;" deducível dos Gastos fixos"</f>
        <v>IVA deducível dos Gastos fixos</v>
      </c>
      <c r="B60" s="2987">
        <f ca="1">Parametros!$F$33*SUM(B37:B54)</f>
        <v>5.5439999999999987</v>
      </c>
      <c r="C60" s="2988">
        <f ca="1">Parametros!$F$33*SUM(C37:C54)</f>
        <v>5.5439999999999987</v>
      </c>
      <c r="D60" s="2988">
        <f ca="1">Parametros!$F$33*SUM(D37:D54)</f>
        <v>5.5439999999999987</v>
      </c>
      <c r="E60" s="2988">
        <f ca="1">Parametros!$F$33*SUM(E37:E54)</f>
        <v>5.5439999999999987</v>
      </c>
      <c r="F60" s="2988">
        <f ca="1">Parametros!$F$33*SUM(F37:F54)</f>
        <v>5.5439999999999987</v>
      </c>
      <c r="G60" s="2988">
        <f ca="1">Parametros!$F$33*SUM(G37:G54)</f>
        <v>5.5439999999999987</v>
      </c>
      <c r="H60" s="2988">
        <f ca="1">Parametros!$F$33*SUM(H37:H54)</f>
        <v>5.5439999999999987</v>
      </c>
      <c r="I60" s="2988">
        <f ca="1">Parametros!$F$33*SUM(I37:I54)</f>
        <v>5.5439999999999987</v>
      </c>
      <c r="J60" s="2988">
        <f ca="1">Parametros!$F$33*SUM(J37:J54)</f>
        <v>5.5439999999999987</v>
      </c>
      <c r="K60" s="2988">
        <f ca="1">Parametros!$F$33*SUM(K37:K54)</f>
        <v>5.5439999999999987</v>
      </c>
      <c r="L60" s="2988">
        <f ca="1">Parametros!$F$33*SUM(L37:L54)</f>
        <v>5.5439999999999987</v>
      </c>
      <c r="M60" s="2989">
        <f ca="1">Parametros!$F$33*SUM(M37:M54)</f>
        <v>5.5439999999999987</v>
      </c>
      <c r="N60" s="84">
        <f ca="1">SUM(B60:M60)</f>
        <v>66.527999999999977</v>
      </c>
    </row>
  </sheetData>
  <sheetProtection sheet="1" objects="1" scenarios="1"/>
  <phoneticPr fontId="4" type="noConversion"/>
  <conditionalFormatting sqref="B7:M15 B18:M20 B23:M25 B27:M27">
    <cfRule type="expression" dxfId="15" priority="3" stopIfTrue="1">
      <formula>COLUMN(B7)&lt;=mes0</formula>
    </cfRule>
  </conditionalFormatting>
  <conditionalFormatting sqref="B33:M55">
    <cfRule type="expression" dxfId="14" priority="1" stopIfTrue="1">
      <formula>COLUMN(B$32)&lt;=mes0</formula>
    </cfRule>
  </conditionalFormatting>
  <conditionalFormatting sqref="B58:M58 B60:M60">
    <cfRule type="expression" dxfId="13" priority="2" stopIfTrue="1">
      <formula>COLUMN(B$32)&lt;=mes0</formula>
    </cfRule>
  </conditionalFormatting>
  <dataValidations xWindow="31846" yWindow="125" count="1">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33:A54 A1" xr:uid="{00000000-0002-0000-3300-000000000000}"/>
  </dataValidations>
  <printOptions horizontalCentered="1"/>
  <pageMargins left="0.75" right="0.75" top="0.49" bottom="0.52" header="0" footer="0"/>
  <pageSetup paperSize="9" scale="61" orientation="landscape" horizont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24">
    <tabColor indexed="42"/>
    <pageSetUpPr fitToPage="1"/>
  </sheetPr>
  <dimension ref="A1:O60"/>
  <sheetViews>
    <sheetView topLeftCell="A24" workbookViewId="0">
      <selection activeCell="B33" sqref="B33:M54"/>
    </sheetView>
  </sheetViews>
  <sheetFormatPr baseColWidth="10" defaultColWidth="11" defaultRowHeight="15"/>
  <cols>
    <col min="1" max="1" width="31.375" style="36" customWidth="1"/>
    <col min="2" max="14" width="11.125" style="36" customWidth="1"/>
    <col min="15" max="15" width="10.375" style="36" customWidth="1"/>
    <col min="16" max="16384" width="11" style="36"/>
  </cols>
  <sheetData>
    <row r="1" spans="1:15" s="99" customFormat="1" ht="22.5">
      <c r="A1" s="68" t="str">
        <f>'G.F. 0'!A1</f>
        <v>Previsão de Gastos Fixos da empresa</v>
      </c>
      <c r="B1" s="68"/>
      <c r="C1" s="68"/>
      <c r="D1" s="68"/>
      <c r="E1" s="532" t="str">
        <f>Parametros!C$77</f>
        <v>Ano 1:  2027</v>
      </c>
      <c r="F1" s="68"/>
    </row>
    <row r="2" spans="1:15" s="99" customFormat="1" ht="22.5">
      <c r="A2" s="68" t="str">
        <f>'Dados Básicos'!B9</f>
        <v>WWW, S.L.</v>
      </c>
      <c r="B2" s="68"/>
      <c r="C2" s="68"/>
      <c r="D2" s="68"/>
      <c r="E2" s="68"/>
      <c r="F2" s="68"/>
      <c r="G2" s="68"/>
    </row>
    <row r="3" spans="1:15" ht="15.75" thickBot="1">
      <c r="B3" s="62"/>
      <c r="C3" s="62"/>
      <c r="D3" s="62"/>
      <c r="E3" s="62"/>
      <c r="F3" s="62"/>
      <c r="G3" s="62"/>
    </row>
    <row r="4" spans="1:15" ht="15.75" thickBot="1">
      <c r="A4" s="2851" t="str">
        <f>'G.F. 0'!A4</f>
        <v>Gastos de pessoal</v>
      </c>
      <c r="B4" s="164" t="str">
        <f t="array" ref="B4:M4">meses</f>
        <v>janeiro</v>
      </c>
      <c r="C4" s="165" t="str">
        <v>fevereiro</v>
      </c>
      <c r="D4" s="165" t="str">
        <v>março</v>
      </c>
      <c r="E4" s="165" t="str">
        <v>abril</v>
      </c>
      <c r="F4" s="165" t="str">
        <v>maio</v>
      </c>
      <c r="G4" s="165" t="str">
        <v>junho</v>
      </c>
      <c r="H4" s="165" t="str">
        <v>julho</v>
      </c>
      <c r="I4" s="165" t="str">
        <v>agosto</v>
      </c>
      <c r="J4" s="165" t="str">
        <v>setembro</v>
      </c>
      <c r="K4" s="165" t="str">
        <v>outubro</v>
      </c>
      <c r="L4" s="165" t="str">
        <v>novembro</v>
      </c>
      <c r="M4" s="166" t="str">
        <v>dezembro</v>
      </c>
      <c r="N4" s="105" t="str">
        <f>'G.F. 0'!N4</f>
        <v>Totais</v>
      </c>
      <c r="O4" s="105" t="s">
        <v>6</v>
      </c>
    </row>
    <row r="5" spans="1:15" ht="15.75" thickBot="1">
      <c r="A5" s="2137"/>
      <c r="B5" s="120"/>
      <c r="C5" s="121"/>
      <c r="D5" s="121"/>
      <c r="E5" s="121"/>
      <c r="F5" s="121"/>
      <c r="G5" s="121"/>
      <c r="H5" s="121"/>
      <c r="I5" s="121"/>
      <c r="J5" s="121"/>
      <c r="K5" s="121"/>
      <c r="L5" s="121"/>
      <c r="M5" s="122"/>
      <c r="N5" s="118"/>
      <c r="O5" s="119"/>
    </row>
    <row r="6" spans="1:15">
      <c r="A6" s="2849" t="str">
        <f>'G.F. 0'!A6</f>
        <v>Ordenados e salários</v>
      </c>
      <c r="B6" s="89"/>
      <c r="C6" s="90"/>
      <c r="D6" s="90"/>
      <c r="E6" s="90"/>
      <c r="F6" s="90"/>
      <c r="G6" s="90"/>
      <c r="H6" s="90"/>
      <c r="I6" s="90"/>
      <c r="J6" s="90"/>
      <c r="K6" s="90"/>
      <c r="L6" s="90"/>
      <c r="M6" s="91"/>
      <c r="N6" s="77"/>
      <c r="O6" s="107"/>
    </row>
    <row r="7" spans="1:15">
      <c r="A7" s="2852" t="str">
        <f t="array" ref="A7:A14">catlaborales</f>
        <v>Emprsários em nome individual</v>
      </c>
      <c r="B7" s="92">
        <f>IF(COLUMN(B$4)-2&lt;mes0+'RR.HH.'!$D$33-12,0,
    IF(COLUMN(B$4)-2&lt;mes0+'RR.HH.'!$D$33+'RR.HH.'!$D$34-12, 'RR.HH.'!$C19*'Quadro Pessoal'!C28 /('RR.HH.'!$D$34)*(COLUMN(B$4)-'RR.HH.'!$D$33-mes0+12-2),
      'RR.HH.'!$C19*'Quadro Pessoal'!C28))</f>
        <v>1248</v>
      </c>
      <c r="C7" s="93">
        <f>IF(COLUMN(C$4)-2&lt;mes0+'RR.HH.'!$D$33-12,0,
    IF(COLUMN(C$4)-2&lt;mes0+'RR.HH.'!$D$33+'RR.HH.'!$D$34-12, 'RR.HH.'!$C19*'Quadro Pessoal'!D28 /('RR.HH.'!$D$34)*(COLUMN(C$4)-'RR.HH.'!$D$33-mes0+12-2),
      'RR.HH.'!$C19*'Quadro Pessoal'!D28))</f>
        <v>1248</v>
      </c>
      <c r="D7" s="93">
        <f>IF(COLUMN(D$4)-2&lt;mes0+'RR.HH.'!$D$33-12,0,
    IF(COLUMN(D$4)-2&lt;mes0+'RR.HH.'!$D$33+'RR.HH.'!$D$34-12, 'RR.HH.'!$C19*'Quadro Pessoal'!E28 /('RR.HH.'!$D$34)*(COLUMN(D$4)-'RR.HH.'!$D$33-mes0+12-2),
      'RR.HH.'!$C19*'Quadro Pessoal'!E28))</f>
        <v>1248</v>
      </c>
      <c r="E7" s="93">
        <f>IF(COLUMN(E$4)-2&lt;mes0+'RR.HH.'!$D$33-12,0,
    IF(COLUMN(E$4)-2&lt;mes0+'RR.HH.'!$D$33+'RR.HH.'!$D$34-12, 'RR.HH.'!$C19*'Quadro Pessoal'!F28 /('RR.HH.'!$D$34)*(COLUMN(E$4)-'RR.HH.'!$D$33-mes0+12-2),
      'RR.HH.'!$C19*'Quadro Pessoal'!F28))</f>
        <v>1248</v>
      </c>
      <c r="F7" s="93">
        <f>IF(COLUMN(F$4)-2&lt;mes0+'RR.HH.'!$D$33-12,0,
    IF(COLUMN(F$4)-2&lt;mes0+'RR.HH.'!$D$33+'RR.HH.'!$D$34-12, 'RR.HH.'!$C19*'Quadro Pessoal'!G28 /('RR.HH.'!$D$34)*(COLUMN(F$4)-'RR.HH.'!$D$33-mes0+12-2),
      'RR.HH.'!$C19*'Quadro Pessoal'!G28))</f>
        <v>1248</v>
      </c>
      <c r="G7" s="93">
        <f>IF(COLUMN(G$4)-2&lt;mes0+'RR.HH.'!$D$33-12,0,
    IF(COLUMN(G$4)-2&lt;mes0+'RR.HH.'!$D$33+'RR.HH.'!$D$34-12, 'RR.HH.'!$C19*'Quadro Pessoal'!H28 /('RR.HH.'!$D$34)*(COLUMN(G$4)-'RR.HH.'!$D$33-mes0+12-2),
      'RR.HH.'!$C19*'Quadro Pessoal'!H28))</f>
        <v>1248</v>
      </c>
      <c r="H7" s="93">
        <f>IF(COLUMN(H$4)-2&lt;mes0+'RR.HH.'!$D$33-12,0,
    IF(COLUMN(H$4)-2&lt;mes0+'RR.HH.'!$D$33+'RR.HH.'!$D$34-12, 'RR.HH.'!$C19*'Quadro Pessoal'!I28 /('RR.HH.'!$D$34)*(COLUMN(H$4)-'RR.HH.'!$D$33-mes0+12-2),
      'RR.HH.'!$C19*'Quadro Pessoal'!I28))</f>
        <v>1248</v>
      </c>
      <c r="I7" s="93">
        <f>IF(COLUMN(I$4)-2&lt;mes0+'RR.HH.'!$D$33-12,0,
    IF(COLUMN(I$4)-2&lt;mes0+'RR.HH.'!$D$33+'RR.HH.'!$D$34-12, 'RR.HH.'!$C19*'Quadro Pessoal'!J28 /('RR.HH.'!$D$34)*(COLUMN(I$4)-'RR.HH.'!$D$33-mes0+12-2),
      'RR.HH.'!$C19*'Quadro Pessoal'!J28))</f>
        <v>1248</v>
      </c>
      <c r="J7" s="93">
        <f>IF(COLUMN(J$4)-2&lt;mes0+'RR.HH.'!$D$33-12,0,
    IF(COLUMN(J$4)-2&lt;mes0+'RR.HH.'!$D$33+'RR.HH.'!$D$34-12, 'RR.HH.'!$C19*'Quadro Pessoal'!K28 /('RR.HH.'!$D$34)*(COLUMN(J$4)-'RR.HH.'!$D$33-mes0+12-2),
      'RR.HH.'!$C19*'Quadro Pessoal'!K28))</f>
        <v>1248</v>
      </c>
      <c r="K7" s="93">
        <f>IF(COLUMN(K$4)-2&lt;mes0+'RR.HH.'!$D$33-12,0,
    IF(COLUMN(K$4)-2&lt;mes0+'RR.HH.'!$D$33+'RR.HH.'!$D$34-12, 'RR.HH.'!$C19*'Quadro Pessoal'!L28 /('RR.HH.'!$D$34)*(COLUMN(K$4)-'RR.HH.'!$D$33-mes0+12-2),
      'RR.HH.'!$C19*'Quadro Pessoal'!L28))</f>
        <v>1248</v>
      </c>
      <c r="L7" s="93">
        <f>IF(COLUMN(L$4)-2&lt;mes0+'RR.HH.'!$D$33-12,0,
    IF(COLUMN(L$4)-2&lt;mes0+'RR.HH.'!$D$33+'RR.HH.'!$D$34-12, 'RR.HH.'!$C19*'Quadro Pessoal'!M28 /('RR.HH.'!$D$34)*(COLUMN(L$4)-'RR.HH.'!$D$33-mes0+12-2),
      'RR.HH.'!$C19*'Quadro Pessoal'!M28))</f>
        <v>1248</v>
      </c>
      <c r="M7" s="94">
        <f>IF(COLUMN(M$4)-2&lt;mes0+'RR.HH.'!$D$33-12,0,
    IF(COLUMN(M$4)-2&lt;mes0+'RR.HH.'!$D$33+'RR.HH.'!$D$34-12, 'RR.HH.'!$C19*'Quadro Pessoal'!N28 /('RR.HH.'!$D$34)*(COLUMN(M$4)-'RR.HH.'!$D$33-mes0+12-2),
      'RR.HH.'!$C19*'Quadro Pessoal'!N28))</f>
        <v>1248</v>
      </c>
      <c r="N7" s="98">
        <f t="shared" ref="N7:N14" si="0">SUM(B7:M7)</f>
        <v>14976</v>
      </c>
      <c r="O7" s="108">
        <f t="array" aca="1" ref="O7:O15" ca="1">N7:N15/$N$27</f>
        <v>0.83954156370578903</v>
      </c>
    </row>
    <row r="8" spans="1:15">
      <c r="A8" s="2852" t="str">
        <v>Outros trab. Independentes</v>
      </c>
      <c r="B8" s="92">
        <f t="array" ref="B8:M14">'RR.HH.'!$C20:$C26*'Quadro Pessoal'!C29:N35</f>
        <v>0</v>
      </c>
      <c r="C8" s="93">
        <v>0</v>
      </c>
      <c r="D8" s="93">
        <v>0</v>
      </c>
      <c r="E8" s="93">
        <v>0</v>
      </c>
      <c r="F8" s="93">
        <v>0</v>
      </c>
      <c r="G8" s="93">
        <v>0</v>
      </c>
      <c r="H8" s="93">
        <v>0</v>
      </c>
      <c r="I8" s="93">
        <v>0</v>
      </c>
      <c r="J8" s="93">
        <v>0</v>
      </c>
      <c r="K8" s="93">
        <v>0</v>
      </c>
      <c r="L8" s="93">
        <v>0</v>
      </c>
      <c r="M8" s="94">
        <v>0</v>
      </c>
      <c r="N8" s="98">
        <f t="shared" si="0"/>
        <v>0</v>
      </c>
      <c r="O8" s="108">
        <f ca="1"/>
        <v>0</v>
      </c>
    </row>
    <row r="9" spans="1:15">
      <c r="A9" s="2852" t="str">
        <v>Empregados</v>
      </c>
      <c r="B9" s="92">
        <v>0</v>
      </c>
      <c r="C9" s="93">
        <v>0</v>
      </c>
      <c r="D9" s="93">
        <v>0</v>
      </c>
      <c r="E9" s="93">
        <v>0</v>
      </c>
      <c r="F9" s="93">
        <v>0</v>
      </c>
      <c r="G9" s="93">
        <v>0</v>
      </c>
      <c r="H9" s="93">
        <v>0</v>
      </c>
      <c r="I9" s="93">
        <v>0</v>
      </c>
      <c r="J9" s="93">
        <v>0</v>
      </c>
      <c r="K9" s="93">
        <v>0</v>
      </c>
      <c r="L9" s="93">
        <v>0</v>
      </c>
      <c r="M9" s="94">
        <v>0</v>
      </c>
      <c r="N9" s="98">
        <f t="shared" si="0"/>
        <v>0</v>
      </c>
      <c r="O9" s="108">
        <f ca="1"/>
        <v>0</v>
      </c>
    </row>
    <row r="10" spans="1:15">
      <c r="A10" s="2852" t="str">
        <v/>
      </c>
      <c r="B10" s="92">
        <v>0</v>
      </c>
      <c r="C10" s="93">
        <v>0</v>
      </c>
      <c r="D10" s="93">
        <v>0</v>
      </c>
      <c r="E10" s="93">
        <v>0</v>
      </c>
      <c r="F10" s="93">
        <v>0</v>
      </c>
      <c r="G10" s="93">
        <v>0</v>
      </c>
      <c r="H10" s="93">
        <v>0</v>
      </c>
      <c r="I10" s="93">
        <v>0</v>
      </c>
      <c r="J10" s="93">
        <v>0</v>
      </c>
      <c r="K10" s="93">
        <v>0</v>
      </c>
      <c r="L10" s="93">
        <v>0</v>
      </c>
      <c r="M10" s="94">
        <v>0</v>
      </c>
      <c r="N10" s="98">
        <f t="shared" si="0"/>
        <v>0</v>
      </c>
      <c r="O10" s="108">
        <f ca="1"/>
        <v>0</v>
      </c>
    </row>
    <row r="11" spans="1:15">
      <c r="A11" s="2852" t="str">
        <v/>
      </c>
      <c r="B11" s="92">
        <v>0</v>
      </c>
      <c r="C11" s="93">
        <v>0</v>
      </c>
      <c r="D11" s="93">
        <v>0</v>
      </c>
      <c r="E11" s="93">
        <v>0</v>
      </c>
      <c r="F11" s="93">
        <v>0</v>
      </c>
      <c r="G11" s="93">
        <v>0</v>
      </c>
      <c r="H11" s="93">
        <v>0</v>
      </c>
      <c r="I11" s="93">
        <v>0</v>
      </c>
      <c r="J11" s="93">
        <v>0</v>
      </c>
      <c r="K11" s="93">
        <v>0</v>
      </c>
      <c r="L11" s="93">
        <v>0</v>
      </c>
      <c r="M11" s="94">
        <v>0</v>
      </c>
      <c r="N11" s="98">
        <f t="shared" si="0"/>
        <v>0</v>
      </c>
      <c r="O11" s="108">
        <f ca="1"/>
        <v>0</v>
      </c>
    </row>
    <row r="12" spans="1:15">
      <c r="A12" s="2852" t="str">
        <v/>
      </c>
      <c r="B12" s="92">
        <v>0</v>
      </c>
      <c r="C12" s="93">
        <v>0</v>
      </c>
      <c r="D12" s="93">
        <v>0</v>
      </c>
      <c r="E12" s="93">
        <v>0</v>
      </c>
      <c r="F12" s="93">
        <v>0</v>
      </c>
      <c r="G12" s="93">
        <v>0</v>
      </c>
      <c r="H12" s="93">
        <v>0</v>
      </c>
      <c r="I12" s="93">
        <v>0</v>
      </c>
      <c r="J12" s="93">
        <v>0</v>
      </c>
      <c r="K12" s="93">
        <v>0</v>
      </c>
      <c r="L12" s="93">
        <v>0</v>
      </c>
      <c r="M12" s="94">
        <v>0</v>
      </c>
      <c r="N12" s="98">
        <f t="shared" si="0"/>
        <v>0</v>
      </c>
      <c r="O12" s="108">
        <f ca="1"/>
        <v>0</v>
      </c>
    </row>
    <row r="13" spans="1:15">
      <c r="A13" s="2852" t="str">
        <v/>
      </c>
      <c r="B13" s="92">
        <v>0</v>
      </c>
      <c r="C13" s="93">
        <v>0</v>
      </c>
      <c r="D13" s="93">
        <v>0</v>
      </c>
      <c r="E13" s="93">
        <v>0</v>
      </c>
      <c r="F13" s="93">
        <v>0</v>
      </c>
      <c r="G13" s="93">
        <v>0</v>
      </c>
      <c r="H13" s="93">
        <v>0</v>
      </c>
      <c r="I13" s="93">
        <v>0</v>
      </c>
      <c r="J13" s="93">
        <v>0</v>
      </c>
      <c r="K13" s="93">
        <v>0</v>
      </c>
      <c r="L13" s="93">
        <v>0</v>
      </c>
      <c r="M13" s="94">
        <v>0</v>
      </c>
      <c r="N13" s="98">
        <f t="shared" si="0"/>
        <v>0</v>
      </c>
      <c r="O13" s="108">
        <f ca="1"/>
        <v>0</v>
      </c>
    </row>
    <row r="14" spans="1:15">
      <c r="A14" s="2852" t="str">
        <v/>
      </c>
      <c r="B14" s="92">
        <v>0</v>
      </c>
      <c r="C14" s="93">
        <v>0</v>
      </c>
      <c r="D14" s="93">
        <v>0</v>
      </c>
      <c r="E14" s="93">
        <v>0</v>
      </c>
      <c r="F14" s="93">
        <v>0</v>
      </c>
      <c r="G14" s="93">
        <v>0</v>
      </c>
      <c r="H14" s="93">
        <v>0</v>
      </c>
      <c r="I14" s="93">
        <v>0</v>
      </c>
      <c r="J14" s="93">
        <v>0</v>
      </c>
      <c r="K14" s="93">
        <v>0</v>
      </c>
      <c r="L14" s="93">
        <v>0</v>
      </c>
      <c r="M14" s="94">
        <v>0</v>
      </c>
      <c r="N14" s="98">
        <f t="shared" si="0"/>
        <v>0</v>
      </c>
      <c r="O14" s="108">
        <f ca="1"/>
        <v>0</v>
      </c>
    </row>
    <row r="15" spans="1:15" ht="15.75" thickBot="1">
      <c r="A15" s="2850" t="str">
        <f>'G.F. 0'!A15</f>
        <v>Total Ordenados e salários</v>
      </c>
      <c r="B15" s="144">
        <f t="shared" ref="B15:M15" si="1">SUM(B7:B14)</f>
        <v>1248</v>
      </c>
      <c r="C15" s="145">
        <f t="shared" si="1"/>
        <v>1248</v>
      </c>
      <c r="D15" s="145">
        <f t="shared" si="1"/>
        <v>1248</v>
      </c>
      <c r="E15" s="145">
        <f t="shared" si="1"/>
        <v>1248</v>
      </c>
      <c r="F15" s="145">
        <f t="shared" si="1"/>
        <v>1248</v>
      </c>
      <c r="G15" s="145">
        <f t="shared" si="1"/>
        <v>1248</v>
      </c>
      <c r="H15" s="145">
        <f t="shared" si="1"/>
        <v>1248</v>
      </c>
      <c r="I15" s="145">
        <f t="shared" si="1"/>
        <v>1248</v>
      </c>
      <c r="J15" s="145">
        <f t="shared" si="1"/>
        <v>1248</v>
      </c>
      <c r="K15" s="145">
        <f t="shared" si="1"/>
        <v>1248</v>
      </c>
      <c r="L15" s="145">
        <f t="shared" si="1"/>
        <v>1248</v>
      </c>
      <c r="M15" s="146">
        <f t="shared" si="1"/>
        <v>1248</v>
      </c>
      <c r="N15" s="143">
        <f>SUM(B15:M15)</f>
        <v>14976</v>
      </c>
      <c r="O15" s="112">
        <f ca="1"/>
        <v>0.83954156370578903</v>
      </c>
    </row>
    <row r="16" spans="1:15" ht="15.75" thickBot="1">
      <c r="A16" s="2853"/>
      <c r="B16" s="134"/>
      <c r="C16" s="135"/>
      <c r="D16" s="135"/>
      <c r="E16" s="135"/>
      <c r="F16" s="135"/>
      <c r="G16" s="135"/>
      <c r="H16" s="135"/>
      <c r="I16" s="135"/>
      <c r="J16" s="135"/>
      <c r="K16" s="135"/>
      <c r="L16" s="135"/>
      <c r="M16" s="136"/>
      <c r="N16" s="130"/>
      <c r="O16" s="131"/>
    </row>
    <row r="17" spans="1:15">
      <c r="A17" s="2849" t="str">
        <f t="array" ref="A17:A20">'G.F. 0'!A17:A20</f>
        <v>Seguros Sociáis</v>
      </c>
      <c r="B17" s="89"/>
      <c r="C17" s="90"/>
      <c r="D17" s="90"/>
      <c r="E17" s="90"/>
      <c r="F17" s="90"/>
      <c r="G17" s="90"/>
      <c r="H17" s="90"/>
      <c r="I17" s="90"/>
      <c r="J17" s="90"/>
      <c r="K17" s="90"/>
      <c r="L17" s="90"/>
      <c r="M17" s="91"/>
      <c r="N17" s="138"/>
      <c r="O17" s="107"/>
    </row>
    <row r="18" spans="1:15">
      <c r="A18" s="151" t="str">
        <v>Seg. Social Sócios (Trab. Independentes)</v>
      </c>
      <c r="B18" s="92">
        <f t="array" ref="B18:M18" ca="1">'Seguridade Sócial'!B26:M26*('Quadro Pessoal'!C28:N28+'Quadro Pessoal'!C29:N29)</f>
        <v>220.22727272727275</v>
      </c>
      <c r="C18" s="93">
        <f ca="1"/>
        <v>220.22727272727275</v>
      </c>
      <c r="D18" s="93">
        <f ca="1"/>
        <v>220.22727272727275</v>
      </c>
      <c r="E18" s="93">
        <f ca="1"/>
        <v>244.625</v>
      </c>
      <c r="F18" s="93">
        <f ca="1"/>
        <v>244.625</v>
      </c>
      <c r="G18" s="93">
        <f ca="1"/>
        <v>244.625</v>
      </c>
      <c r="H18" s="93">
        <f ca="1"/>
        <v>244.625</v>
      </c>
      <c r="I18" s="93">
        <f ca="1"/>
        <v>244.625</v>
      </c>
      <c r="J18" s="93">
        <f ca="1"/>
        <v>244.625</v>
      </c>
      <c r="K18" s="93">
        <f ca="1"/>
        <v>244.625</v>
      </c>
      <c r="L18" s="93">
        <f ca="1"/>
        <v>244.625</v>
      </c>
      <c r="M18" s="94">
        <f ca="1"/>
        <v>244.625</v>
      </c>
      <c r="N18" s="98">
        <f ca="1">SUM(B18:M18)</f>
        <v>2862.306818181818</v>
      </c>
      <c r="O18" s="108">
        <f t="array" ref="O18:O20" ca="1">N18:N20/$N$27</f>
        <v>0.16045843629421108</v>
      </c>
    </row>
    <row r="19" spans="1:15">
      <c r="A19" s="151" t="str">
        <v>Seg. Social Empregados</v>
      </c>
      <c r="B19" s="92">
        <f t="array" ref="B19">SUM(B9:B14*'RR.HH.'!$C39:$C44)</f>
        <v>0</v>
      </c>
      <c r="C19" s="93">
        <f t="array" ref="C19">SUM(C9:C14*'RR.HH.'!$C39:$C44)</f>
        <v>0</v>
      </c>
      <c r="D19" s="93">
        <f t="array" ref="D19">SUM(D9:D14*'RR.HH.'!$C39:$C44)</f>
        <v>0</v>
      </c>
      <c r="E19" s="93">
        <f t="array" ref="E19">SUM(E9:E14*'RR.HH.'!$C39:$C44)</f>
        <v>0</v>
      </c>
      <c r="F19" s="93">
        <f t="array" ref="F19">SUM(F9:F14*'RR.HH.'!$C39:$C44)</f>
        <v>0</v>
      </c>
      <c r="G19" s="93">
        <f t="array" ref="G19">SUM(G9:G14*'RR.HH.'!$C39:$C44)</f>
        <v>0</v>
      </c>
      <c r="H19" s="93">
        <f t="array" ref="H19">SUM(H9:H14*'RR.HH.'!$C39:$C44)</f>
        <v>0</v>
      </c>
      <c r="I19" s="93">
        <f t="array" ref="I19">SUM(I9:I14*'RR.HH.'!$C39:$C44)</f>
        <v>0</v>
      </c>
      <c r="J19" s="93">
        <f t="array" ref="J19">SUM(J9:J14*'RR.HH.'!$C39:$C44)</f>
        <v>0</v>
      </c>
      <c r="K19" s="93">
        <f t="array" ref="K19">SUM(K9:K14*'RR.HH.'!$C39:$C44)</f>
        <v>0</v>
      </c>
      <c r="L19" s="93">
        <f t="array" ref="L19">SUM(L9:L14*'RR.HH.'!$C39:$C44)</f>
        <v>0</v>
      </c>
      <c r="M19" s="94">
        <f t="array" ref="M19">SUM(M9:M14*'RR.HH.'!$C39:$C44)</f>
        <v>0</v>
      </c>
      <c r="N19" s="98">
        <f>SUM(B19:M19)</f>
        <v>0</v>
      </c>
      <c r="O19" s="108">
        <f ca="1"/>
        <v>0</v>
      </c>
    </row>
    <row r="20" spans="1:15" ht="15.75" thickBot="1">
      <c r="A20" s="2850" t="str">
        <v>Total Seguros Sociáis</v>
      </c>
      <c r="B20" s="144">
        <f t="shared" ref="B20:M20" ca="1" si="2">SUM(B18:B19)</f>
        <v>220.22727272727275</v>
      </c>
      <c r="C20" s="145">
        <f t="shared" ca="1" si="2"/>
        <v>220.22727272727275</v>
      </c>
      <c r="D20" s="145">
        <f t="shared" ca="1" si="2"/>
        <v>220.22727272727275</v>
      </c>
      <c r="E20" s="145">
        <f t="shared" ca="1" si="2"/>
        <v>244.625</v>
      </c>
      <c r="F20" s="145">
        <f t="shared" ca="1" si="2"/>
        <v>244.625</v>
      </c>
      <c r="G20" s="145">
        <f t="shared" ca="1" si="2"/>
        <v>244.625</v>
      </c>
      <c r="H20" s="145">
        <f t="shared" ca="1" si="2"/>
        <v>244.625</v>
      </c>
      <c r="I20" s="145">
        <f t="shared" ca="1" si="2"/>
        <v>244.625</v>
      </c>
      <c r="J20" s="145">
        <f t="shared" ca="1" si="2"/>
        <v>244.625</v>
      </c>
      <c r="K20" s="145">
        <f t="shared" ca="1" si="2"/>
        <v>244.625</v>
      </c>
      <c r="L20" s="145">
        <f t="shared" ca="1" si="2"/>
        <v>244.625</v>
      </c>
      <c r="M20" s="146">
        <f t="shared" ca="1" si="2"/>
        <v>244.625</v>
      </c>
      <c r="N20" s="143">
        <f ca="1">SUM(B20:M20)</f>
        <v>2862.306818181818</v>
      </c>
      <c r="O20" s="112">
        <f ca="1"/>
        <v>0.16045843629421108</v>
      </c>
    </row>
    <row r="21" spans="1:15" ht="15.75" thickBot="1">
      <c r="A21" s="2853"/>
      <c r="B21" s="134"/>
      <c r="C21" s="135"/>
      <c r="D21" s="135"/>
      <c r="E21" s="135"/>
      <c r="F21" s="135"/>
      <c r="G21" s="135"/>
      <c r="H21" s="135"/>
      <c r="I21" s="135"/>
      <c r="J21" s="135"/>
      <c r="K21" s="135"/>
      <c r="L21" s="135"/>
      <c r="M21" s="136"/>
      <c r="N21" s="130"/>
      <c r="O21" s="131"/>
    </row>
    <row r="22" spans="1:15">
      <c r="A22" s="2849" t="str">
        <f t="array" ref="A22:A25">'G.F. 0'!A22:A25</f>
        <v>Altas e baixas do pessoal</v>
      </c>
      <c r="B22" s="89"/>
      <c r="C22" s="90"/>
      <c r="D22" s="90"/>
      <c r="E22" s="90"/>
      <c r="F22" s="90"/>
      <c r="G22" s="90"/>
      <c r="H22" s="90"/>
      <c r="I22" s="90"/>
      <c r="J22" s="90"/>
      <c r="K22" s="90"/>
      <c r="L22" s="90"/>
      <c r="M22" s="91"/>
      <c r="N22" s="138"/>
      <c r="O22" s="107"/>
    </row>
    <row r="23" spans="1:15">
      <c r="A23" s="151" t="str">
        <v>Altas e baixas de sócios</v>
      </c>
      <c r="B23" s="95">
        <f t="array" ref="B23:M24">'RR.HH.'!$C53:$C54*'Quadro Pessoal'!C39:N40</f>
        <v>0</v>
      </c>
      <c r="C23" s="96">
        <v>0</v>
      </c>
      <c r="D23" s="96">
        <v>0</v>
      </c>
      <c r="E23" s="96">
        <v>0</v>
      </c>
      <c r="F23" s="96">
        <v>0</v>
      </c>
      <c r="G23" s="96">
        <v>0</v>
      </c>
      <c r="H23" s="96">
        <v>0</v>
      </c>
      <c r="I23" s="96">
        <v>0</v>
      </c>
      <c r="J23" s="96">
        <v>0</v>
      </c>
      <c r="K23" s="96">
        <v>0</v>
      </c>
      <c r="L23" s="96">
        <v>0</v>
      </c>
      <c r="M23" s="97">
        <v>0</v>
      </c>
      <c r="N23" s="98">
        <f>SUM(B23:M23)</f>
        <v>0</v>
      </c>
      <c r="O23" s="108">
        <f t="array" aca="1" ref="O23:O25" ca="1">N23:N25/$N$27</f>
        <v>0</v>
      </c>
    </row>
    <row r="24" spans="1:15">
      <c r="A24" s="151" t="str">
        <v>Altas de empregados</v>
      </c>
      <c r="B24" s="95">
        <v>0</v>
      </c>
      <c r="C24" s="96">
        <v>0</v>
      </c>
      <c r="D24" s="96">
        <v>0</v>
      </c>
      <c r="E24" s="96">
        <v>0</v>
      </c>
      <c r="F24" s="96">
        <v>0</v>
      </c>
      <c r="G24" s="96">
        <v>0</v>
      </c>
      <c r="H24" s="96">
        <v>0</v>
      </c>
      <c r="I24" s="96">
        <v>0</v>
      </c>
      <c r="J24" s="96">
        <v>0</v>
      </c>
      <c r="K24" s="96">
        <v>0</v>
      </c>
      <c r="L24" s="96">
        <v>0</v>
      </c>
      <c r="M24" s="97">
        <v>0</v>
      </c>
      <c r="N24" s="98">
        <f>SUM(B24:M24)</f>
        <v>0</v>
      </c>
      <c r="O24" s="108">
        <f ca="1"/>
        <v>0</v>
      </c>
    </row>
    <row r="25" spans="1:15" ht="15.75" thickBot="1">
      <c r="A25" s="2850" t="str">
        <v>Total Altas e baixas do pessoal</v>
      </c>
      <c r="B25" s="144">
        <f>SUM(B23:B24)</f>
        <v>0</v>
      </c>
      <c r="C25" s="145">
        <f t="shared" ref="C25:M25" si="3">SUM(C23:C24)</f>
        <v>0</v>
      </c>
      <c r="D25" s="145">
        <f t="shared" si="3"/>
        <v>0</v>
      </c>
      <c r="E25" s="145">
        <f t="shared" si="3"/>
        <v>0</v>
      </c>
      <c r="F25" s="145">
        <f t="shared" si="3"/>
        <v>0</v>
      </c>
      <c r="G25" s="145">
        <f t="shared" si="3"/>
        <v>0</v>
      </c>
      <c r="H25" s="145">
        <f t="shared" si="3"/>
        <v>0</v>
      </c>
      <c r="I25" s="145">
        <f t="shared" si="3"/>
        <v>0</v>
      </c>
      <c r="J25" s="145">
        <f t="shared" si="3"/>
        <v>0</v>
      </c>
      <c r="K25" s="145">
        <f t="shared" si="3"/>
        <v>0</v>
      </c>
      <c r="L25" s="145">
        <f t="shared" si="3"/>
        <v>0</v>
      </c>
      <c r="M25" s="146">
        <f t="shared" si="3"/>
        <v>0</v>
      </c>
      <c r="N25" s="143">
        <f>SUM(B25:M25)</f>
        <v>0</v>
      </c>
      <c r="O25" s="112">
        <f ca="1"/>
        <v>0</v>
      </c>
    </row>
    <row r="26" spans="1:15" ht="15.75" thickBot="1">
      <c r="A26" s="2854"/>
      <c r="B26" s="148"/>
      <c r="C26" s="132"/>
      <c r="D26" s="132"/>
      <c r="E26" s="132"/>
      <c r="F26" s="132"/>
      <c r="G26" s="132"/>
      <c r="H26" s="132"/>
      <c r="I26" s="132"/>
      <c r="J26" s="132"/>
      <c r="K26" s="132"/>
      <c r="L26" s="132"/>
      <c r="M26" s="133"/>
      <c r="N26" s="125"/>
      <c r="O26" s="126"/>
    </row>
    <row r="27" spans="1:15" ht="15.75" thickBot="1">
      <c r="A27" s="2472" t="str">
        <f>'G.F. 0'!A27</f>
        <v>Total Gastos de pessoal</v>
      </c>
      <c r="B27" s="2979">
        <f t="shared" ref="B27:N27" ca="1" si="4">B25+B20+B15</f>
        <v>1468.2272727272727</v>
      </c>
      <c r="C27" s="2980">
        <f t="shared" ca="1" si="4"/>
        <v>1468.2272727272727</v>
      </c>
      <c r="D27" s="2980">
        <f t="shared" ca="1" si="4"/>
        <v>1468.2272727272727</v>
      </c>
      <c r="E27" s="2980">
        <f t="shared" ca="1" si="4"/>
        <v>1492.625</v>
      </c>
      <c r="F27" s="2980">
        <f t="shared" ca="1" si="4"/>
        <v>1492.625</v>
      </c>
      <c r="G27" s="2980">
        <f t="shared" ca="1" si="4"/>
        <v>1492.625</v>
      </c>
      <c r="H27" s="2980">
        <f t="shared" ca="1" si="4"/>
        <v>1492.625</v>
      </c>
      <c r="I27" s="2980">
        <f t="shared" ca="1" si="4"/>
        <v>1492.625</v>
      </c>
      <c r="J27" s="2980">
        <f t="shared" ca="1" si="4"/>
        <v>1492.625</v>
      </c>
      <c r="K27" s="2980">
        <f t="shared" ca="1" si="4"/>
        <v>1492.625</v>
      </c>
      <c r="L27" s="2980">
        <f t="shared" ca="1" si="4"/>
        <v>1492.625</v>
      </c>
      <c r="M27" s="85">
        <f t="shared" ca="1" si="4"/>
        <v>1492.625</v>
      </c>
      <c r="N27" s="84">
        <f t="shared" ca="1" si="4"/>
        <v>17838.306818181816</v>
      </c>
      <c r="O27" s="113">
        <f ca="1">N27/$N$58</f>
        <v>0.97144465814063863</v>
      </c>
    </row>
    <row r="28" spans="1:15">
      <c r="A28" s="102"/>
      <c r="B28" s="86"/>
      <c r="C28" s="86"/>
      <c r="D28" s="86"/>
      <c r="E28" s="86"/>
      <c r="F28" s="86"/>
      <c r="G28" s="86"/>
      <c r="H28" s="86"/>
      <c r="I28" s="86"/>
      <c r="J28" s="86"/>
      <c r="K28" s="86"/>
      <c r="L28" s="86"/>
      <c r="M28" s="86"/>
      <c r="N28" s="86"/>
      <c r="O28" s="103"/>
    </row>
    <row r="29" spans="1:15">
      <c r="A29" s="88"/>
      <c r="B29" s="86"/>
      <c r="C29" s="86"/>
      <c r="D29" s="86"/>
      <c r="E29" s="86"/>
      <c r="F29" s="86"/>
      <c r="G29" s="86"/>
      <c r="H29" s="86"/>
      <c r="I29" s="86"/>
      <c r="J29" s="86"/>
      <c r="K29" s="86"/>
      <c r="L29" s="86"/>
      <c r="M29" s="86"/>
      <c r="N29" s="86"/>
      <c r="O29" s="100"/>
    </row>
    <row r="30" spans="1:15">
      <c r="A30" s="88"/>
      <c r="B30" s="86"/>
      <c r="C30" s="86"/>
      <c r="D30" s="86"/>
      <c r="E30" s="86"/>
      <c r="F30" s="86"/>
      <c r="G30" s="86"/>
      <c r="H30" s="86"/>
      <c r="I30" s="86"/>
      <c r="J30" s="86"/>
      <c r="K30" s="86"/>
      <c r="L30" s="86"/>
      <c r="M30" s="86"/>
      <c r="N30" s="86"/>
      <c r="O30" s="100"/>
    </row>
    <row r="31" spans="1:15" ht="15.75" thickBot="1">
      <c r="A31" s="88"/>
      <c r="B31" s="86"/>
      <c r="C31" s="86"/>
      <c r="D31" s="86"/>
      <c r="E31" s="86"/>
      <c r="F31" s="86"/>
      <c r="G31" s="86"/>
      <c r="H31" s="86"/>
      <c r="I31" s="86"/>
      <c r="J31" s="86"/>
      <c r="K31" s="86"/>
      <c r="L31" s="86"/>
      <c r="M31" s="86"/>
      <c r="N31" s="86"/>
      <c r="O31" s="100"/>
    </row>
    <row r="32" spans="1:15" ht="15.75" thickBot="1">
      <c r="A32" s="155" t="str">
        <f>'G.F. 0'!A32</f>
        <v>Outros gastos fixos</v>
      </c>
      <c r="B32" s="164" t="str">
        <f t="array" ref="B32:M32">meses</f>
        <v>janeiro</v>
      </c>
      <c r="C32" s="165" t="str">
        <v>fevereiro</v>
      </c>
      <c r="D32" s="165" t="str">
        <v>março</v>
      </c>
      <c r="E32" s="165" t="str">
        <v>abril</v>
      </c>
      <c r="F32" s="165" t="str">
        <v>maio</v>
      </c>
      <c r="G32" s="165" t="str">
        <v>junho</v>
      </c>
      <c r="H32" s="165" t="str">
        <v>julho</v>
      </c>
      <c r="I32" s="165" t="str">
        <v>agosto</v>
      </c>
      <c r="J32" s="165" t="str">
        <v>setembro</v>
      </c>
      <c r="K32" s="165" t="str">
        <v>outubro</v>
      </c>
      <c r="L32" s="165" t="str">
        <v>novembro</v>
      </c>
      <c r="M32" s="166" t="str">
        <v>dezembro</v>
      </c>
      <c r="N32" s="105" t="str">
        <f>'G.F. 0'!N32</f>
        <v>Totais</v>
      </c>
      <c r="O32" s="105" t="s">
        <v>6</v>
      </c>
    </row>
    <row r="33" spans="1:15">
      <c r="A33" s="111" t="str">
        <f t="array" ref="A33:A54">'Despesas Fixas Dados'!A6:A27</f>
        <v>Impostos: IAE, IBI, ...</v>
      </c>
      <c r="B33" s="159">
        <f t="array" ref="B33:M54">IFERROR('Despesas Fixas Dados'!$U6:$U27*'Despesas Fixas Dados'!E6:P27/'Despesas Fixas Dados'!$Q6:$Q27,'Despesas Fixas Dados'!$U6:$U27/12)</f>
        <v>0</v>
      </c>
      <c r="C33" s="160">
        <v>0</v>
      </c>
      <c r="D33" s="160">
        <v>0</v>
      </c>
      <c r="E33" s="160">
        <v>0</v>
      </c>
      <c r="F33" s="160">
        <v>0</v>
      </c>
      <c r="G33" s="160">
        <v>0</v>
      </c>
      <c r="H33" s="160">
        <v>0</v>
      </c>
      <c r="I33" s="160">
        <v>0</v>
      </c>
      <c r="J33" s="160">
        <v>0</v>
      </c>
      <c r="K33" s="160">
        <v>0</v>
      </c>
      <c r="L33" s="160">
        <v>0</v>
      </c>
      <c r="M33" s="161">
        <v>0</v>
      </c>
      <c r="N33" s="162">
        <f t="shared" ref="N33:N54" si="5">SUM(B33:M33)</f>
        <v>0</v>
      </c>
      <c r="O33" s="107">
        <f t="array" aca="1" ref="O33:O54" ca="1">N33:N54/$N$58</f>
        <v>0</v>
      </c>
    </row>
    <row r="34" spans="1:15">
      <c r="A34" s="110" t="str">
        <v>Outras despesas fixas ( Sem IVA )</v>
      </c>
      <c r="B34" s="92">
        <v>0</v>
      </c>
      <c r="C34" s="93">
        <v>0</v>
      </c>
      <c r="D34" s="93">
        <v>0</v>
      </c>
      <c r="E34" s="93">
        <v>0</v>
      </c>
      <c r="F34" s="93">
        <v>0</v>
      </c>
      <c r="G34" s="93">
        <v>0</v>
      </c>
      <c r="H34" s="93">
        <v>0</v>
      </c>
      <c r="I34" s="93">
        <v>0</v>
      </c>
      <c r="J34" s="93">
        <v>0</v>
      </c>
      <c r="K34" s="93">
        <v>0</v>
      </c>
      <c r="L34" s="93">
        <v>0</v>
      </c>
      <c r="M34" s="94">
        <v>0</v>
      </c>
      <c r="N34" s="163">
        <f>SUM(B34:M34)</f>
        <v>0</v>
      </c>
      <c r="O34" s="108">
        <f ca="1"/>
        <v>0</v>
      </c>
    </row>
    <row r="35" spans="1:15">
      <c r="A35" s="110" t="str">
        <v>Priémios de Seguros</v>
      </c>
      <c r="B35" s="92">
        <v>0</v>
      </c>
      <c r="C35" s="93">
        <v>0</v>
      </c>
      <c r="D35" s="93">
        <v>0</v>
      </c>
      <c r="E35" s="93">
        <v>0</v>
      </c>
      <c r="F35" s="93">
        <v>0</v>
      </c>
      <c r="G35" s="93">
        <v>0</v>
      </c>
      <c r="H35" s="93">
        <v>0</v>
      </c>
      <c r="I35" s="93">
        <v>0</v>
      </c>
      <c r="J35" s="93">
        <v>0</v>
      </c>
      <c r="K35" s="93">
        <v>0</v>
      </c>
      <c r="L35" s="93">
        <v>0</v>
      </c>
      <c r="M35" s="94">
        <v>0</v>
      </c>
      <c r="N35" s="163">
        <f>SUM(B35:M35)</f>
        <v>0</v>
      </c>
      <c r="O35" s="108">
        <f ca="1"/>
        <v>0</v>
      </c>
    </row>
    <row r="36" spans="1:15">
      <c r="A36" s="110" t="str">
        <v>Ordem / asociação profissional</v>
      </c>
      <c r="B36" s="92">
        <v>0</v>
      </c>
      <c r="C36" s="93">
        <v>0</v>
      </c>
      <c r="D36" s="93">
        <v>0</v>
      </c>
      <c r="E36" s="93">
        <v>0</v>
      </c>
      <c r="F36" s="93">
        <v>0</v>
      </c>
      <c r="G36" s="93">
        <v>0</v>
      </c>
      <c r="H36" s="93">
        <v>0</v>
      </c>
      <c r="I36" s="93">
        <v>0</v>
      </c>
      <c r="J36" s="93">
        <v>0</v>
      </c>
      <c r="K36" s="93">
        <v>0</v>
      </c>
      <c r="L36" s="93">
        <v>0</v>
      </c>
      <c r="M36" s="94">
        <v>0</v>
      </c>
      <c r="N36" s="163">
        <f>SUM(B36:M36)</f>
        <v>0</v>
      </c>
      <c r="O36" s="108">
        <f ca="1"/>
        <v>0</v>
      </c>
    </row>
    <row r="37" spans="1:15">
      <c r="A37" s="110" t="str">
        <v>Suministro de Electricidade</v>
      </c>
      <c r="B37" s="92">
        <v>0</v>
      </c>
      <c r="C37" s="93">
        <v>0</v>
      </c>
      <c r="D37" s="93">
        <v>0</v>
      </c>
      <c r="E37" s="93">
        <v>0</v>
      </c>
      <c r="F37" s="93">
        <v>0</v>
      </c>
      <c r="G37" s="93">
        <v>0</v>
      </c>
      <c r="H37" s="93">
        <v>0</v>
      </c>
      <c r="I37" s="93">
        <v>0</v>
      </c>
      <c r="J37" s="93">
        <v>0</v>
      </c>
      <c r="K37" s="93">
        <v>0</v>
      </c>
      <c r="L37" s="93">
        <v>0</v>
      </c>
      <c r="M37" s="94">
        <v>0</v>
      </c>
      <c r="N37" s="163">
        <f t="shared" si="5"/>
        <v>0</v>
      </c>
      <c r="O37" s="108">
        <f ca="1"/>
        <v>0</v>
      </c>
    </row>
    <row r="38" spans="1:15">
      <c r="A38" s="110" t="str">
        <v>Cuotas periódicas software e IA</v>
      </c>
      <c r="B38" s="92">
        <v>0</v>
      </c>
      <c r="C38" s="93">
        <v>0</v>
      </c>
      <c r="D38" s="93">
        <v>0</v>
      </c>
      <c r="E38" s="93">
        <v>0</v>
      </c>
      <c r="F38" s="93">
        <v>0</v>
      </c>
      <c r="G38" s="93">
        <v>0</v>
      </c>
      <c r="H38" s="93">
        <v>0</v>
      </c>
      <c r="I38" s="93">
        <v>0</v>
      </c>
      <c r="J38" s="93">
        <v>0</v>
      </c>
      <c r="K38" s="93">
        <v>0</v>
      </c>
      <c r="L38" s="93">
        <v>0</v>
      </c>
      <c r="M38" s="94">
        <v>0</v>
      </c>
      <c r="N38" s="163">
        <f t="shared" si="5"/>
        <v>0</v>
      </c>
      <c r="O38" s="108">
        <f ca="1"/>
        <v>0</v>
      </c>
    </row>
    <row r="39" spans="1:15">
      <c r="A39" s="110" t="str">
        <v>Água, taxas saneamiento e lixo</v>
      </c>
      <c r="B39" s="92">
        <v>0</v>
      </c>
      <c r="C39" s="93">
        <v>0</v>
      </c>
      <c r="D39" s="93">
        <v>0</v>
      </c>
      <c r="E39" s="93">
        <v>0</v>
      </c>
      <c r="F39" s="93">
        <v>0</v>
      </c>
      <c r="G39" s="93">
        <v>0</v>
      </c>
      <c r="H39" s="93">
        <v>0</v>
      </c>
      <c r="I39" s="93">
        <v>0</v>
      </c>
      <c r="J39" s="93">
        <v>0</v>
      </c>
      <c r="K39" s="93">
        <v>0</v>
      </c>
      <c r="L39" s="93">
        <v>0</v>
      </c>
      <c r="M39" s="94">
        <v>0</v>
      </c>
      <c r="N39" s="163">
        <f t="shared" si="5"/>
        <v>0</v>
      </c>
      <c r="O39" s="108">
        <f ca="1"/>
        <v>0</v>
      </c>
    </row>
    <row r="40" spans="1:15">
      <c r="A40" s="110" t="str">
        <v>Outros suministros (gaz, etc.)</v>
      </c>
      <c r="B40" s="92">
        <v>0</v>
      </c>
      <c r="C40" s="93">
        <v>0</v>
      </c>
      <c r="D40" s="93">
        <v>0</v>
      </c>
      <c r="E40" s="93">
        <v>0</v>
      </c>
      <c r="F40" s="93">
        <v>0</v>
      </c>
      <c r="G40" s="93">
        <v>0</v>
      </c>
      <c r="H40" s="93">
        <v>0</v>
      </c>
      <c r="I40" s="93">
        <v>0</v>
      </c>
      <c r="J40" s="93">
        <v>0</v>
      </c>
      <c r="K40" s="93">
        <v>0</v>
      </c>
      <c r="L40" s="93">
        <v>0</v>
      </c>
      <c r="M40" s="94">
        <v>0</v>
      </c>
      <c r="N40" s="163">
        <f t="shared" si="5"/>
        <v>0</v>
      </c>
      <c r="O40" s="108">
        <f ca="1"/>
        <v>0</v>
      </c>
    </row>
    <row r="41" spans="1:15">
      <c r="A41" s="110" t="str">
        <v>Telefonia / Internet / Comunicações</v>
      </c>
      <c r="B41" s="92">
        <v>0</v>
      </c>
      <c r="C41" s="93">
        <v>0</v>
      </c>
      <c r="D41" s="93">
        <v>0</v>
      </c>
      <c r="E41" s="93">
        <v>0</v>
      </c>
      <c r="F41" s="93">
        <v>0</v>
      </c>
      <c r="G41" s="93">
        <v>0</v>
      </c>
      <c r="H41" s="93">
        <v>0</v>
      </c>
      <c r="I41" s="93">
        <v>0</v>
      </c>
      <c r="J41" s="93">
        <v>0</v>
      </c>
      <c r="K41" s="93">
        <v>0</v>
      </c>
      <c r="L41" s="93">
        <v>0</v>
      </c>
      <c r="M41" s="94">
        <v>0</v>
      </c>
      <c r="N41" s="163">
        <f>SUM(B41:M41)</f>
        <v>0</v>
      </c>
      <c r="O41" s="108">
        <f ca="1"/>
        <v>0</v>
      </c>
    </row>
    <row r="42" spans="1:15">
      <c r="A42" s="110" t="str">
        <v>Alojamento e serviços web</v>
      </c>
      <c r="B42" s="92">
        <v>0</v>
      </c>
      <c r="C42" s="93">
        <v>0</v>
      </c>
      <c r="D42" s="93">
        <v>0</v>
      </c>
      <c r="E42" s="93">
        <v>0</v>
      </c>
      <c r="F42" s="93">
        <v>0</v>
      </c>
      <c r="G42" s="93">
        <v>0</v>
      </c>
      <c r="H42" s="93">
        <v>0</v>
      </c>
      <c r="I42" s="93">
        <v>0</v>
      </c>
      <c r="J42" s="93">
        <v>0</v>
      </c>
      <c r="K42" s="93">
        <v>0</v>
      </c>
      <c r="L42" s="93">
        <v>0</v>
      </c>
      <c r="M42" s="94">
        <v>0</v>
      </c>
      <c r="N42" s="163">
        <f>SUM(B42:M42)</f>
        <v>0</v>
      </c>
      <c r="O42" s="108">
        <f ca="1"/>
        <v>0</v>
      </c>
    </row>
    <row r="43" spans="1:15">
      <c r="A43" s="110" t="str">
        <v>Alarma / Empresa de seguridade</v>
      </c>
      <c r="B43" s="92">
        <v>0</v>
      </c>
      <c r="C43" s="93">
        <v>0</v>
      </c>
      <c r="D43" s="93">
        <v>0</v>
      </c>
      <c r="E43" s="93">
        <v>0</v>
      </c>
      <c r="F43" s="93">
        <v>0</v>
      </c>
      <c r="G43" s="93">
        <v>0</v>
      </c>
      <c r="H43" s="93">
        <v>0</v>
      </c>
      <c r="I43" s="93">
        <v>0</v>
      </c>
      <c r="J43" s="93">
        <v>0</v>
      </c>
      <c r="K43" s="93">
        <v>0</v>
      </c>
      <c r="L43" s="93">
        <v>0</v>
      </c>
      <c r="M43" s="94">
        <v>0</v>
      </c>
      <c r="N43" s="163">
        <f>SUM(B43:M43)</f>
        <v>0</v>
      </c>
      <c r="O43" s="108">
        <f ca="1"/>
        <v>0</v>
      </c>
    </row>
    <row r="44" spans="1:15">
      <c r="A44" s="110" t="str">
        <v>Material de escritório / papelaria</v>
      </c>
      <c r="B44" s="92">
        <v>0</v>
      </c>
      <c r="C44" s="93">
        <v>0</v>
      </c>
      <c r="D44" s="93">
        <v>0</v>
      </c>
      <c r="E44" s="93">
        <v>0</v>
      </c>
      <c r="F44" s="93">
        <v>0</v>
      </c>
      <c r="G44" s="93">
        <v>0</v>
      </c>
      <c r="H44" s="93">
        <v>0</v>
      </c>
      <c r="I44" s="93">
        <v>0</v>
      </c>
      <c r="J44" s="93">
        <v>0</v>
      </c>
      <c r="K44" s="93">
        <v>0</v>
      </c>
      <c r="L44" s="93">
        <v>0</v>
      </c>
      <c r="M44" s="94">
        <v>0</v>
      </c>
      <c r="N44" s="163">
        <f t="shared" si="5"/>
        <v>0</v>
      </c>
      <c r="O44" s="108">
        <f ca="1"/>
        <v>0</v>
      </c>
    </row>
    <row r="45" spans="1:15">
      <c r="A45" s="110" t="str">
        <v>Congresos / Salões / Viágems</v>
      </c>
      <c r="B45" s="92">
        <v>0</v>
      </c>
      <c r="C45" s="93">
        <v>0</v>
      </c>
      <c r="D45" s="93">
        <v>0</v>
      </c>
      <c r="E45" s="93">
        <v>0</v>
      </c>
      <c r="F45" s="93">
        <v>0</v>
      </c>
      <c r="G45" s="93">
        <v>0</v>
      </c>
      <c r="H45" s="93">
        <v>0</v>
      </c>
      <c r="I45" s="93">
        <v>0</v>
      </c>
      <c r="J45" s="93">
        <v>0</v>
      </c>
      <c r="K45" s="93">
        <v>0</v>
      </c>
      <c r="L45" s="93">
        <v>0</v>
      </c>
      <c r="M45" s="94">
        <v>0</v>
      </c>
      <c r="N45" s="163">
        <f t="shared" si="5"/>
        <v>0</v>
      </c>
      <c r="O45" s="108">
        <f ca="1"/>
        <v>0</v>
      </c>
    </row>
    <row r="46" spans="1:15">
      <c r="A46" s="110" t="str">
        <v>Transporte e desplaçamentos</v>
      </c>
      <c r="B46" s="92">
        <v>0</v>
      </c>
      <c r="C46" s="93">
        <v>0</v>
      </c>
      <c r="D46" s="93">
        <v>0</v>
      </c>
      <c r="E46" s="93">
        <v>0</v>
      </c>
      <c r="F46" s="93">
        <v>0</v>
      </c>
      <c r="G46" s="93">
        <v>0</v>
      </c>
      <c r="H46" s="93">
        <v>0</v>
      </c>
      <c r="I46" s="93">
        <v>0</v>
      </c>
      <c r="J46" s="93">
        <v>0</v>
      </c>
      <c r="K46" s="93">
        <v>0</v>
      </c>
      <c r="L46" s="93">
        <v>0</v>
      </c>
      <c r="M46" s="94">
        <v>0</v>
      </c>
      <c r="N46" s="163">
        <f t="shared" si="5"/>
        <v>0</v>
      </c>
      <c r="O46" s="108">
        <f ca="1"/>
        <v>0</v>
      </c>
    </row>
    <row r="47" spans="1:15">
      <c r="A47" s="110" t="str">
        <v>Asesoría e profissionais independentes</v>
      </c>
      <c r="B47" s="92">
        <v>0</v>
      </c>
      <c r="C47" s="93">
        <v>0</v>
      </c>
      <c r="D47" s="93">
        <v>0</v>
      </c>
      <c r="E47" s="93">
        <v>0</v>
      </c>
      <c r="F47" s="93">
        <v>0</v>
      </c>
      <c r="G47" s="93">
        <v>0</v>
      </c>
      <c r="H47" s="93">
        <v>0</v>
      </c>
      <c r="I47" s="93">
        <v>0</v>
      </c>
      <c r="J47" s="93">
        <v>0</v>
      </c>
      <c r="K47" s="93">
        <v>0</v>
      </c>
      <c r="L47" s="93">
        <v>0</v>
      </c>
      <c r="M47" s="94">
        <v>0</v>
      </c>
      <c r="N47" s="163">
        <f t="shared" si="5"/>
        <v>0</v>
      </c>
      <c r="O47" s="108">
        <f ca="1"/>
        <v>0</v>
      </c>
    </row>
    <row r="48" spans="1:15">
      <c r="A48" s="110" t="str">
        <v>Arrendamentos / alugueres</v>
      </c>
      <c r="B48" s="92">
        <v>0</v>
      </c>
      <c r="C48" s="93">
        <v>0</v>
      </c>
      <c r="D48" s="93">
        <v>0</v>
      </c>
      <c r="E48" s="93">
        <v>0</v>
      </c>
      <c r="F48" s="93">
        <v>0</v>
      </c>
      <c r="G48" s="93">
        <v>0</v>
      </c>
      <c r="H48" s="93">
        <v>0</v>
      </c>
      <c r="I48" s="93">
        <v>0</v>
      </c>
      <c r="J48" s="93">
        <v>0</v>
      </c>
      <c r="K48" s="93">
        <v>0</v>
      </c>
      <c r="L48" s="93">
        <v>0</v>
      </c>
      <c r="M48" s="94">
        <v>0</v>
      </c>
      <c r="N48" s="163">
        <f t="shared" si="5"/>
        <v>0</v>
      </c>
      <c r="O48" s="108">
        <f ca="1"/>
        <v>0</v>
      </c>
    </row>
    <row r="49" spans="1:15">
      <c r="A49" s="110" t="str">
        <v>Despesas Variáveis Marketing online</v>
      </c>
      <c r="B49" s="92">
        <f ca="1"/>
        <v>20.6</v>
      </c>
      <c r="C49" s="93">
        <f ca="1"/>
        <v>20.6</v>
      </c>
      <c r="D49" s="93">
        <f ca="1"/>
        <v>20.6</v>
      </c>
      <c r="E49" s="93">
        <f ca="1"/>
        <v>20.6</v>
      </c>
      <c r="F49" s="93">
        <f ca="1"/>
        <v>20.6</v>
      </c>
      <c r="G49" s="93">
        <f ca="1"/>
        <v>20.6</v>
      </c>
      <c r="H49" s="93">
        <f ca="1"/>
        <v>20.6</v>
      </c>
      <c r="I49" s="93">
        <f ca="1"/>
        <v>20.6</v>
      </c>
      <c r="J49" s="93">
        <f ca="1"/>
        <v>20.6</v>
      </c>
      <c r="K49" s="93">
        <f ca="1"/>
        <v>20.6</v>
      </c>
      <c r="L49" s="93">
        <f ca="1"/>
        <v>20.6</v>
      </c>
      <c r="M49" s="94">
        <f ca="1"/>
        <v>20.6</v>
      </c>
      <c r="N49" s="163">
        <f t="shared" ca="1" si="5"/>
        <v>247.19999999999996</v>
      </c>
      <c r="O49" s="108">
        <f ca="1"/>
        <v>1.34621027623317E-2</v>
      </c>
    </row>
    <row r="50" spans="1:15">
      <c r="A50" s="110" t="str">
        <v>Despesas Fixas Marketing online</v>
      </c>
      <c r="B50" s="92">
        <v>0</v>
      </c>
      <c r="C50" s="93">
        <v>0</v>
      </c>
      <c r="D50" s="93">
        <v>0</v>
      </c>
      <c r="E50" s="93">
        <v>0</v>
      </c>
      <c r="F50" s="93">
        <v>0</v>
      </c>
      <c r="G50" s="93">
        <v>0</v>
      </c>
      <c r="H50" s="93">
        <v>0</v>
      </c>
      <c r="I50" s="93">
        <v>0</v>
      </c>
      <c r="J50" s="93">
        <v>0</v>
      </c>
      <c r="K50" s="93">
        <v>0</v>
      </c>
      <c r="L50" s="93">
        <v>0</v>
      </c>
      <c r="M50" s="94">
        <v>0</v>
      </c>
      <c r="N50" s="163">
        <f>SUM(B50:M50)</f>
        <v>0</v>
      </c>
      <c r="O50" s="108">
        <f ca="1"/>
        <v>0</v>
      </c>
    </row>
    <row r="51" spans="1:15">
      <c r="A51" s="110" t="str">
        <v>Despesas Variáveis Marketing off-line</v>
      </c>
      <c r="B51" s="92">
        <f ca="1"/>
        <v>20.6</v>
      </c>
      <c r="C51" s="93">
        <f ca="1"/>
        <v>20.6</v>
      </c>
      <c r="D51" s="93">
        <f ca="1"/>
        <v>20.6</v>
      </c>
      <c r="E51" s="93">
        <f ca="1"/>
        <v>20.6</v>
      </c>
      <c r="F51" s="93">
        <f ca="1"/>
        <v>20.6</v>
      </c>
      <c r="G51" s="93">
        <f ca="1"/>
        <v>20.6</v>
      </c>
      <c r="H51" s="93">
        <f ca="1"/>
        <v>20.6</v>
      </c>
      <c r="I51" s="93">
        <f ca="1"/>
        <v>20.6</v>
      </c>
      <c r="J51" s="93">
        <f ca="1"/>
        <v>20.6</v>
      </c>
      <c r="K51" s="93">
        <f ca="1"/>
        <v>20.6</v>
      </c>
      <c r="L51" s="93">
        <f ca="1"/>
        <v>20.6</v>
      </c>
      <c r="M51" s="94">
        <f ca="1"/>
        <v>20.6</v>
      </c>
      <c r="N51" s="163">
        <f t="shared" ca="1" si="5"/>
        <v>247.19999999999996</v>
      </c>
      <c r="O51" s="108">
        <f ca="1"/>
        <v>1.34621027623317E-2</v>
      </c>
    </row>
    <row r="52" spans="1:15">
      <c r="A52" s="110" t="str">
        <v>Despesas Fixas Marketing off-line</v>
      </c>
      <c r="B52" s="92">
        <v>0</v>
      </c>
      <c r="C52" s="93">
        <v>0</v>
      </c>
      <c r="D52" s="93">
        <v>0</v>
      </c>
      <c r="E52" s="93">
        <v>0</v>
      </c>
      <c r="F52" s="93">
        <v>0</v>
      </c>
      <c r="G52" s="93">
        <v>0</v>
      </c>
      <c r="H52" s="93">
        <v>0</v>
      </c>
      <c r="I52" s="93">
        <v>0</v>
      </c>
      <c r="J52" s="93">
        <v>0</v>
      </c>
      <c r="K52" s="93">
        <v>0</v>
      </c>
      <c r="L52" s="93">
        <v>0</v>
      </c>
      <c r="M52" s="94">
        <v>0</v>
      </c>
      <c r="N52" s="163">
        <f t="shared" si="5"/>
        <v>0</v>
      </c>
      <c r="O52" s="108">
        <f ca="1"/>
        <v>0</v>
      </c>
    </row>
    <row r="53" spans="1:15">
      <c r="A53" s="110" t="str">
        <v>Manutenção e reparações</v>
      </c>
      <c r="B53" s="92">
        <v>0</v>
      </c>
      <c r="C53" s="93">
        <v>0</v>
      </c>
      <c r="D53" s="93">
        <v>0</v>
      </c>
      <c r="E53" s="93">
        <v>0</v>
      </c>
      <c r="F53" s="93">
        <v>0</v>
      </c>
      <c r="G53" s="93">
        <v>0</v>
      </c>
      <c r="H53" s="93">
        <v>0</v>
      </c>
      <c r="I53" s="93">
        <v>0</v>
      </c>
      <c r="J53" s="93">
        <v>0</v>
      </c>
      <c r="K53" s="93">
        <v>0</v>
      </c>
      <c r="L53" s="93">
        <v>0</v>
      </c>
      <c r="M53" s="94">
        <v>0</v>
      </c>
      <c r="N53" s="163">
        <f t="shared" si="5"/>
        <v>0</v>
      </c>
      <c r="O53" s="108">
        <f ca="1"/>
        <v>0</v>
      </c>
    </row>
    <row r="54" spans="1:15" ht="15.75" thickBot="1">
      <c r="A54" s="110" t="str">
        <v>Outras despesas Imprevistas</v>
      </c>
      <c r="B54" s="92">
        <f ca="1"/>
        <v>2.496</v>
      </c>
      <c r="C54" s="93">
        <f ca="1"/>
        <v>2.496</v>
      </c>
      <c r="D54" s="93">
        <f ca="1"/>
        <v>2.496</v>
      </c>
      <c r="E54" s="93">
        <f ca="1"/>
        <v>2.496</v>
      </c>
      <c r="F54" s="93">
        <f ca="1"/>
        <v>2.496</v>
      </c>
      <c r="G54" s="93">
        <f ca="1"/>
        <v>2.496</v>
      </c>
      <c r="H54" s="93">
        <f ca="1"/>
        <v>2.496</v>
      </c>
      <c r="I54" s="93">
        <f ca="1"/>
        <v>2.496</v>
      </c>
      <c r="J54" s="93">
        <f ca="1"/>
        <v>2.496</v>
      </c>
      <c r="K54" s="93">
        <f ca="1"/>
        <v>2.496</v>
      </c>
      <c r="L54" s="93">
        <f ca="1"/>
        <v>2.496</v>
      </c>
      <c r="M54" s="94">
        <f ca="1"/>
        <v>2.496</v>
      </c>
      <c r="N54" s="163">
        <f t="shared" ca="1" si="5"/>
        <v>29.951999999999995</v>
      </c>
      <c r="O54" s="108">
        <f ca="1"/>
        <v>1.6311363346980545E-3</v>
      </c>
    </row>
    <row r="55" spans="1:15" ht="15.75" thickBot="1">
      <c r="A55" s="2472" t="str">
        <f>'G.F. 0'!A55</f>
        <v>Total Outros gastos fixos</v>
      </c>
      <c r="B55" s="2979">
        <f ca="1">SUM(B33:B54)</f>
        <v>43.696000000000005</v>
      </c>
      <c r="C55" s="2980">
        <f t="shared" ref="C55:L55" ca="1" si="6">SUM(C33:C54)</f>
        <v>43.696000000000005</v>
      </c>
      <c r="D55" s="2980">
        <f t="shared" ca="1" si="6"/>
        <v>43.696000000000005</v>
      </c>
      <c r="E55" s="2980">
        <f t="shared" ca="1" si="6"/>
        <v>43.696000000000005</v>
      </c>
      <c r="F55" s="2980">
        <f ca="1">SUM(F33:F54)</f>
        <v>43.696000000000005</v>
      </c>
      <c r="G55" s="2980">
        <f t="shared" ca="1" si="6"/>
        <v>43.696000000000005</v>
      </c>
      <c r="H55" s="2980">
        <f t="shared" ca="1" si="6"/>
        <v>43.696000000000005</v>
      </c>
      <c r="I55" s="2980">
        <f t="shared" ca="1" si="6"/>
        <v>43.696000000000005</v>
      </c>
      <c r="J55" s="2980">
        <f t="shared" ca="1" si="6"/>
        <v>43.696000000000005</v>
      </c>
      <c r="K55" s="2980">
        <f t="shared" ca="1" si="6"/>
        <v>43.696000000000005</v>
      </c>
      <c r="L55" s="2980">
        <f t="shared" ca="1" si="6"/>
        <v>43.696000000000005</v>
      </c>
      <c r="M55" s="85">
        <f ca="1">SUM(M33:M54)</f>
        <v>43.696000000000005</v>
      </c>
      <c r="N55" s="87">
        <f ca="1">SUM(N33:N54)</f>
        <v>524.35199999999986</v>
      </c>
      <c r="O55" s="113">
        <f ca="1">N55/$N$58</f>
        <v>2.8555341859361452E-2</v>
      </c>
    </row>
    <row r="56" spans="1:15">
      <c r="A56" s="88"/>
      <c r="B56" s="101"/>
      <c r="C56" s="101"/>
      <c r="D56" s="101"/>
      <c r="E56" s="101"/>
      <c r="F56" s="101"/>
      <c r="G56" s="101"/>
      <c r="H56" s="101"/>
      <c r="I56" s="101"/>
      <c r="J56" s="101"/>
      <c r="K56" s="101"/>
      <c r="L56" s="101"/>
      <c r="M56" s="101"/>
      <c r="N56" s="62"/>
      <c r="O56" s="100"/>
    </row>
    <row r="57" spans="1:15" ht="15.75" thickBot="1">
      <c r="A57" s="88"/>
      <c r="B57" s="101"/>
      <c r="C57" s="101"/>
      <c r="D57" s="101"/>
      <c r="E57" s="101"/>
      <c r="F57" s="101"/>
      <c r="G57" s="101"/>
      <c r="H57" s="101"/>
      <c r="I57" s="101"/>
      <c r="J57" s="101"/>
      <c r="K57" s="101"/>
      <c r="L57" s="101"/>
      <c r="M57" s="101"/>
      <c r="N57" s="62"/>
      <c r="O57" s="100"/>
    </row>
    <row r="58" spans="1:15" ht="15.75" thickBot="1">
      <c r="A58" s="2474" t="str">
        <f>'G.F. 0'!A58</f>
        <v>Total Gastos Fixos</v>
      </c>
      <c r="B58" s="2981">
        <f t="array" ref="B58:M58" ca="1">B27:M27+B55:M55</f>
        <v>1511.9232727272727</v>
      </c>
      <c r="C58" s="2982">
        <f ca="1"/>
        <v>1511.9232727272727</v>
      </c>
      <c r="D58" s="2982">
        <f ca="1"/>
        <v>1511.9232727272727</v>
      </c>
      <c r="E58" s="2982">
        <f ca="1"/>
        <v>1536.3209999999999</v>
      </c>
      <c r="F58" s="2982">
        <f ca="1"/>
        <v>1536.3209999999999</v>
      </c>
      <c r="G58" s="2982">
        <f ca="1"/>
        <v>1536.3209999999999</v>
      </c>
      <c r="H58" s="2982">
        <f ca="1"/>
        <v>1536.3209999999999</v>
      </c>
      <c r="I58" s="2982">
        <f ca="1"/>
        <v>1536.3209999999999</v>
      </c>
      <c r="J58" s="2982">
        <f ca="1"/>
        <v>1536.3209999999999</v>
      </c>
      <c r="K58" s="2982">
        <f ca="1"/>
        <v>1536.3209999999999</v>
      </c>
      <c r="L58" s="2982">
        <f ca="1"/>
        <v>1536.3209999999999</v>
      </c>
      <c r="M58" s="2983">
        <f ca="1"/>
        <v>1536.3209999999999</v>
      </c>
      <c r="N58" s="152">
        <f ca="1">N27+N55</f>
        <v>18362.658818181815</v>
      </c>
      <c r="O58" s="100"/>
    </row>
    <row r="59" spans="1:15" ht="15.75" thickBot="1">
      <c r="O59" s="100"/>
    </row>
    <row r="60" spans="1:15" ht="15.75" thickBot="1">
      <c r="A60" s="153" t="str">
        <f>'G.F. 0'!A60</f>
        <v>IVA deducível dos Gastos fixos</v>
      </c>
      <c r="B60" s="2984">
        <f ca="1">Parametros!$F$33*SUM(B37:B54)</f>
        <v>9.1761600000000012</v>
      </c>
      <c r="C60" s="2985">
        <f ca="1">Parametros!$F$33*SUM(C37:C54)</f>
        <v>9.1761600000000012</v>
      </c>
      <c r="D60" s="2985">
        <f ca="1">Parametros!$F$33*SUM(D37:D54)</f>
        <v>9.1761600000000012</v>
      </c>
      <c r="E60" s="2985">
        <f ca="1">Parametros!$F$33*SUM(E37:E54)</f>
        <v>9.1761600000000012</v>
      </c>
      <c r="F60" s="2985">
        <f ca="1">Parametros!$F$33*SUM(F37:F54)</f>
        <v>9.1761600000000012</v>
      </c>
      <c r="G60" s="2985">
        <f ca="1">Parametros!$F$33*SUM(G37:G54)</f>
        <v>9.1761600000000012</v>
      </c>
      <c r="H60" s="2985">
        <f ca="1">Parametros!$F$33*SUM(H37:H54)</f>
        <v>9.1761600000000012</v>
      </c>
      <c r="I60" s="2985">
        <f ca="1">Parametros!$F$33*SUM(I37:I54)</f>
        <v>9.1761600000000012</v>
      </c>
      <c r="J60" s="2985">
        <f ca="1">Parametros!$F$33*SUM(J37:J54)</f>
        <v>9.1761600000000012</v>
      </c>
      <c r="K60" s="2985">
        <f ca="1">Parametros!$F$33*SUM(K37:K54)</f>
        <v>9.1761600000000012</v>
      </c>
      <c r="L60" s="2985">
        <f ca="1">Parametros!$F$33*SUM(L37:L54)</f>
        <v>9.1761600000000012</v>
      </c>
      <c r="M60" s="2986">
        <f ca="1">Parametros!$F$33*SUM(M37:M54)</f>
        <v>9.1761600000000012</v>
      </c>
      <c r="N60" s="152">
        <f ca="1">SUM(B60:M60)</f>
        <v>110.11391999999999</v>
      </c>
    </row>
  </sheetData>
  <sheetProtection sheet="1" objects="1" scenarios="1"/>
  <phoneticPr fontId="4" type="noConversion"/>
  <printOptions horizontalCentered="1"/>
  <pageMargins left="0.75" right="0.75" top="0.56999999999999995" bottom="0.52" header="0" footer="0"/>
  <pageSetup paperSize="9" scale="60" orientation="landscape" horizont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indexed="42"/>
    <pageSetUpPr fitToPage="1"/>
  </sheetPr>
  <dimension ref="A1:O60"/>
  <sheetViews>
    <sheetView topLeftCell="A20" workbookViewId="0"/>
  </sheetViews>
  <sheetFormatPr baseColWidth="10" defaultColWidth="11" defaultRowHeight="15"/>
  <cols>
    <col min="1" max="1" width="31.375" style="36" customWidth="1"/>
    <col min="2" max="13" width="11.125" style="36" customWidth="1"/>
    <col min="14" max="14" width="12.75" style="36" customWidth="1"/>
    <col min="15" max="15" width="10.375" style="36" customWidth="1"/>
    <col min="16" max="16384" width="11" style="36"/>
  </cols>
  <sheetData>
    <row r="1" spans="1:15" s="99" customFormat="1" ht="22.5">
      <c r="A1" s="68" t="str">
        <f>'G.F. 0'!A1</f>
        <v>Previsão de Gastos Fixos da empresa</v>
      </c>
      <c r="B1" s="68"/>
      <c r="C1" s="68"/>
      <c r="D1" s="68"/>
      <c r="E1" s="532" t="str">
        <f>Parametros!D$77</f>
        <v>Ano 2:  2028</v>
      </c>
      <c r="F1" s="68"/>
    </row>
    <row r="2" spans="1:15" s="99" customFormat="1" ht="22.5">
      <c r="A2" s="68" t="str">
        <f>'Dados Básicos'!B9</f>
        <v>WWW, S.L.</v>
      </c>
      <c r="B2" s="68"/>
      <c r="C2" s="68"/>
      <c r="D2" s="68"/>
      <c r="E2" s="68"/>
      <c r="F2" s="68"/>
      <c r="G2" s="68"/>
    </row>
    <row r="3" spans="1:15" ht="15.75" thickBot="1">
      <c r="B3" s="62"/>
      <c r="C3" s="62"/>
      <c r="D3" s="62"/>
      <c r="E3" s="62"/>
      <c r="F3" s="62"/>
      <c r="G3" s="62"/>
    </row>
    <row r="4" spans="1:15" ht="15.75" thickBot="1">
      <c r="A4" s="2851" t="str">
        <f>'G.F. 0'!A4</f>
        <v>Gastos de pessoal</v>
      </c>
      <c r="B4" s="164" t="str">
        <f t="array" ref="B4:M4">meses</f>
        <v>janeiro</v>
      </c>
      <c r="C4" s="165" t="str">
        <v>fevereiro</v>
      </c>
      <c r="D4" s="165" t="str">
        <v>março</v>
      </c>
      <c r="E4" s="165" t="str">
        <v>abril</v>
      </c>
      <c r="F4" s="165" t="str">
        <v>maio</v>
      </c>
      <c r="G4" s="165" t="str">
        <v>junho</v>
      </c>
      <c r="H4" s="165" t="str">
        <v>julho</v>
      </c>
      <c r="I4" s="165" t="str">
        <v>agosto</v>
      </c>
      <c r="J4" s="165" t="str">
        <v>setembro</v>
      </c>
      <c r="K4" s="165" t="str">
        <v>outubro</v>
      </c>
      <c r="L4" s="165" t="str">
        <v>novembro</v>
      </c>
      <c r="M4" s="166" t="str">
        <v>dezembro</v>
      </c>
      <c r="N4" s="105" t="str">
        <f>'G.F. 0'!N4</f>
        <v>Totais</v>
      </c>
      <c r="O4" s="105" t="s">
        <v>6</v>
      </c>
    </row>
    <row r="5" spans="1:15" ht="15.75" thickBot="1">
      <c r="A5" s="2137"/>
      <c r="B5" s="120"/>
      <c r="C5" s="121"/>
      <c r="D5" s="121"/>
      <c r="E5" s="121"/>
      <c r="F5" s="121"/>
      <c r="G5" s="121"/>
      <c r="H5" s="121"/>
      <c r="I5" s="121"/>
      <c r="J5" s="121"/>
      <c r="K5" s="121"/>
      <c r="L5" s="121"/>
      <c r="M5" s="122"/>
      <c r="N5" s="118"/>
      <c r="O5" s="119"/>
    </row>
    <row r="6" spans="1:15">
      <c r="A6" s="2849" t="str">
        <f>'G.F. 0'!A6</f>
        <v>Ordenados e salários</v>
      </c>
      <c r="B6" s="89"/>
      <c r="C6" s="90"/>
      <c r="D6" s="90"/>
      <c r="E6" s="90"/>
      <c r="F6" s="90"/>
      <c r="G6" s="90"/>
      <c r="H6" s="90"/>
      <c r="I6" s="90"/>
      <c r="J6" s="90"/>
      <c r="K6" s="90"/>
      <c r="L6" s="90"/>
      <c r="M6" s="91"/>
      <c r="N6" s="77"/>
      <c r="O6" s="107"/>
    </row>
    <row r="7" spans="1:15">
      <c r="A7" s="2852" t="str">
        <f t="array" ref="A7:A14">catlaborales</f>
        <v>Emprsários em nome individual</v>
      </c>
      <c r="B7" s="92">
        <f t="array" ref="B7:M14">'RR.HH.'!$D19:$D26*'Quadro Pessoal'!C47:N54</f>
        <v>1297.92</v>
      </c>
      <c r="C7" s="93">
        <v>1297.92</v>
      </c>
      <c r="D7" s="93">
        <v>1297.92</v>
      </c>
      <c r="E7" s="93">
        <v>1297.92</v>
      </c>
      <c r="F7" s="93">
        <v>1297.92</v>
      </c>
      <c r="G7" s="93">
        <v>1297.92</v>
      </c>
      <c r="H7" s="93">
        <v>1297.92</v>
      </c>
      <c r="I7" s="93">
        <v>1297.92</v>
      </c>
      <c r="J7" s="93">
        <v>1297.92</v>
      </c>
      <c r="K7" s="93">
        <v>1297.92</v>
      </c>
      <c r="L7" s="93">
        <v>1297.92</v>
      </c>
      <c r="M7" s="94">
        <v>1297.92</v>
      </c>
      <c r="N7" s="98">
        <f t="shared" ref="N7:N14" si="0">SUM(B7:M7)</f>
        <v>15575.04</v>
      </c>
      <c r="O7" s="108">
        <f t="array" aca="1" ref="O7:O15" ca="1">N7:N15/$N$27</f>
        <v>0.83333670245280156</v>
      </c>
    </row>
    <row r="8" spans="1:15">
      <c r="A8" s="2852" t="str">
        <v>Outros trab. Independentes</v>
      </c>
      <c r="B8" s="92">
        <v>0</v>
      </c>
      <c r="C8" s="93">
        <v>0</v>
      </c>
      <c r="D8" s="93">
        <v>0</v>
      </c>
      <c r="E8" s="93">
        <v>0</v>
      </c>
      <c r="F8" s="93">
        <v>0</v>
      </c>
      <c r="G8" s="93">
        <v>0</v>
      </c>
      <c r="H8" s="93">
        <v>0</v>
      </c>
      <c r="I8" s="93">
        <v>0</v>
      </c>
      <c r="J8" s="93">
        <v>0</v>
      </c>
      <c r="K8" s="93">
        <v>0</v>
      </c>
      <c r="L8" s="93">
        <v>0</v>
      </c>
      <c r="M8" s="94">
        <v>0</v>
      </c>
      <c r="N8" s="98">
        <f t="shared" si="0"/>
        <v>0</v>
      </c>
      <c r="O8" s="108">
        <f ca="1"/>
        <v>0</v>
      </c>
    </row>
    <row r="9" spans="1:15">
      <c r="A9" s="2852" t="str">
        <v>Empregados</v>
      </c>
      <c r="B9" s="92">
        <v>0</v>
      </c>
      <c r="C9" s="93">
        <v>0</v>
      </c>
      <c r="D9" s="93">
        <v>0</v>
      </c>
      <c r="E9" s="93">
        <v>0</v>
      </c>
      <c r="F9" s="93">
        <v>0</v>
      </c>
      <c r="G9" s="93">
        <v>0</v>
      </c>
      <c r="H9" s="93">
        <v>0</v>
      </c>
      <c r="I9" s="93">
        <v>0</v>
      </c>
      <c r="J9" s="93">
        <v>0</v>
      </c>
      <c r="K9" s="93">
        <v>0</v>
      </c>
      <c r="L9" s="93">
        <v>0</v>
      </c>
      <c r="M9" s="94">
        <v>0</v>
      </c>
      <c r="N9" s="98">
        <f t="shared" si="0"/>
        <v>0</v>
      </c>
      <c r="O9" s="108">
        <f ca="1"/>
        <v>0</v>
      </c>
    </row>
    <row r="10" spans="1:15">
      <c r="A10" s="2852" t="str">
        <v/>
      </c>
      <c r="B10" s="92">
        <v>0</v>
      </c>
      <c r="C10" s="93">
        <v>0</v>
      </c>
      <c r="D10" s="93">
        <v>0</v>
      </c>
      <c r="E10" s="93">
        <v>0</v>
      </c>
      <c r="F10" s="93">
        <v>0</v>
      </c>
      <c r="G10" s="93">
        <v>0</v>
      </c>
      <c r="H10" s="93">
        <v>0</v>
      </c>
      <c r="I10" s="93">
        <v>0</v>
      </c>
      <c r="J10" s="93">
        <v>0</v>
      </c>
      <c r="K10" s="93">
        <v>0</v>
      </c>
      <c r="L10" s="93">
        <v>0</v>
      </c>
      <c r="M10" s="94">
        <v>0</v>
      </c>
      <c r="N10" s="98">
        <f t="shared" si="0"/>
        <v>0</v>
      </c>
      <c r="O10" s="108">
        <f ca="1"/>
        <v>0</v>
      </c>
    </row>
    <row r="11" spans="1:15">
      <c r="A11" s="2852" t="str">
        <v/>
      </c>
      <c r="B11" s="92">
        <v>0</v>
      </c>
      <c r="C11" s="93">
        <v>0</v>
      </c>
      <c r="D11" s="93">
        <v>0</v>
      </c>
      <c r="E11" s="93">
        <v>0</v>
      </c>
      <c r="F11" s="93">
        <v>0</v>
      </c>
      <c r="G11" s="93">
        <v>0</v>
      </c>
      <c r="H11" s="93">
        <v>0</v>
      </c>
      <c r="I11" s="93">
        <v>0</v>
      </c>
      <c r="J11" s="93">
        <v>0</v>
      </c>
      <c r="K11" s="93">
        <v>0</v>
      </c>
      <c r="L11" s="93">
        <v>0</v>
      </c>
      <c r="M11" s="94">
        <v>0</v>
      </c>
      <c r="N11" s="98">
        <f t="shared" si="0"/>
        <v>0</v>
      </c>
      <c r="O11" s="108">
        <f ca="1"/>
        <v>0</v>
      </c>
    </row>
    <row r="12" spans="1:15">
      <c r="A12" s="2852" t="str">
        <v/>
      </c>
      <c r="B12" s="92">
        <v>0</v>
      </c>
      <c r="C12" s="93">
        <v>0</v>
      </c>
      <c r="D12" s="93">
        <v>0</v>
      </c>
      <c r="E12" s="93">
        <v>0</v>
      </c>
      <c r="F12" s="93">
        <v>0</v>
      </c>
      <c r="G12" s="93">
        <v>0</v>
      </c>
      <c r="H12" s="93">
        <v>0</v>
      </c>
      <c r="I12" s="93">
        <v>0</v>
      </c>
      <c r="J12" s="93">
        <v>0</v>
      </c>
      <c r="K12" s="93">
        <v>0</v>
      </c>
      <c r="L12" s="93">
        <v>0</v>
      </c>
      <c r="M12" s="94">
        <v>0</v>
      </c>
      <c r="N12" s="98">
        <f t="shared" si="0"/>
        <v>0</v>
      </c>
      <c r="O12" s="108">
        <f ca="1"/>
        <v>0</v>
      </c>
    </row>
    <row r="13" spans="1:15">
      <c r="A13" s="2852" t="str">
        <v/>
      </c>
      <c r="B13" s="92">
        <v>0</v>
      </c>
      <c r="C13" s="93">
        <v>0</v>
      </c>
      <c r="D13" s="93">
        <v>0</v>
      </c>
      <c r="E13" s="93">
        <v>0</v>
      </c>
      <c r="F13" s="93">
        <v>0</v>
      </c>
      <c r="G13" s="93">
        <v>0</v>
      </c>
      <c r="H13" s="93">
        <v>0</v>
      </c>
      <c r="I13" s="93">
        <v>0</v>
      </c>
      <c r="J13" s="93">
        <v>0</v>
      </c>
      <c r="K13" s="93">
        <v>0</v>
      </c>
      <c r="L13" s="93">
        <v>0</v>
      </c>
      <c r="M13" s="94">
        <v>0</v>
      </c>
      <c r="N13" s="98">
        <f t="shared" si="0"/>
        <v>0</v>
      </c>
      <c r="O13" s="108">
        <f ca="1"/>
        <v>0</v>
      </c>
    </row>
    <row r="14" spans="1:15">
      <c r="A14" s="2852" t="str">
        <v/>
      </c>
      <c r="B14" s="92">
        <v>0</v>
      </c>
      <c r="C14" s="93">
        <v>0</v>
      </c>
      <c r="D14" s="93">
        <v>0</v>
      </c>
      <c r="E14" s="93">
        <v>0</v>
      </c>
      <c r="F14" s="93">
        <v>0</v>
      </c>
      <c r="G14" s="93">
        <v>0</v>
      </c>
      <c r="H14" s="93">
        <v>0</v>
      </c>
      <c r="I14" s="93">
        <v>0</v>
      </c>
      <c r="J14" s="93">
        <v>0</v>
      </c>
      <c r="K14" s="93">
        <v>0</v>
      </c>
      <c r="L14" s="93">
        <v>0</v>
      </c>
      <c r="M14" s="94">
        <v>0</v>
      </c>
      <c r="N14" s="98">
        <f t="shared" si="0"/>
        <v>0</v>
      </c>
      <c r="O14" s="108">
        <f ca="1"/>
        <v>0</v>
      </c>
    </row>
    <row r="15" spans="1:15" ht="15.75" thickBot="1">
      <c r="A15" s="2850" t="str">
        <f>'G.F. 0'!A15</f>
        <v>Total Ordenados e salários</v>
      </c>
      <c r="B15" s="144">
        <f t="shared" ref="B15:M15" si="1">SUM(B7:B14)</f>
        <v>1297.92</v>
      </c>
      <c r="C15" s="145">
        <f t="shared" si="1"/>
        <v>1297.92</v>
      </c>
      <c r="D15" s="145">
        <f t="shared" si="1"/>
        <v>1297.92</v>
      </c>
      <c r="E15" s="145">
        <f t="shared" si="1"/>
        <v>1297.92</v>
      </c>
      <c r="F15" s="145">
        <f t="shared" si="1"/>
        <v>1297.92</v>
      </c>
      <c r="G15" s="145">
        <f t="shared" si="1"/>
        <v>1297.92</v>
      </c>
      <c r="H15" s="145">
        <f t="shared" si="1"/>
        <v>1297.92</v>
      </c>
      <c r="I15" s="145">
        <f t="shared" si="1"/>
        <v>1297.92</v>
      </c>
      <c r="J15" s="145">
        <f t="shared" si="1"/>
        <v>1297.92</v>
      </c>
      <c r="K15" s="145">
        <f t="shared" si="1"/>
        <v>1297.92</v>
      </c>
      <c r="L15" s="145">
        <f t="shared" si="1"/>
        <v>1297.92</v>
      </c>
      <c r="M15" s="146">
        <f t="shared" si="1"/>
        <v>1297.92</v>
      </c>
      <c r="N15" s="143">
        <f>SUM(B15:M15)</f>
        <v>15575.04</v>
      </c>
      <c r="O15" s="112">
        <f ca="1"/>
        <v>0.83333670245280156</v>
      </c>
    </row>
    <row r="16" spans="1:15" ht="15.75" thickBot="1">
      <c r="A16" s="2853"/>
      <c r="B16" s="134"/>
      <c r="C16" s="135"/>
      <c r="D16" s="135"/>
      <c r="E16" s="135"/>
      <c r="F16" s="135"/>
      <c r="G16" s="135"/>
      <c r="H16" s="135"/>
      <c r="I16" s="135"/>
      <c r="J16" s="135"/>
      <c r="K16" s="135"/>
      <c r="L16" s="135"/>
      <c r="M16" s="136"/>
      <c r="N16" s="130"/>
      <c r="O16" s="131"/>
    </row>
    <row r="17" spans="1:15">
      <c r="A17" s="2849" t="str">
        <f t="array" ref="A17:A20">'G.F. 0'!A17:A20</f>
        <v>Seguros Sociáis</v>
      </c>
      <c r="B17" s="89"/>
      <c r="C17" s="90"/>
      <c r="D17" s="90"/>
      <c r="E17" s="90"/>
      <c r="F17" s="90"/>
      <c r="G17" s="90"/>
      <c r="H17" s="90"/>
      <c r="I17" s="90"/>
      <c r="J17" s="90"/>
      <c r="K17" s="90"/>
      <c r="L17" s="90"/>
      <c r="M17" s="91"/>
      <c r="N17" s="138"/>
      <c r="O17" s="107"/>
    </row>
    <row r="18" spans="1:15">
      <c r="A18" s="151" t="str">
        <v>Seg. Social Sócios (Trab. Independentes)</v>
      </c>
      <c r="B18" s="92">
        <f t="array" ref="B18:M18" ca="1">'Seguridade Sócial'!B35:M35*('Quadro Pessoal'!C47:N47+'Quadro Pessoal'!C48:N48)</f>
        <v>244.625</v>
      </c>
      <c r="C18" s="93">
        <f ca="1"/>
        <v>244.625</v>
      </c>
      <c r="D18" s="93">
        <f ca="1"/>
        <v>244.625</v>
      </c>
      <c r="E18" s="93">
        <f ca="1"/>
        <v>264.5619375</v>
      </c>
      <c r="F18" s="93">
        <f ca="1"/>
        <v>264.5619375</v>
      </c>
      <c r="G18" s="93">
        <f ca="1"/>
        <v>264.5619375</v>
      </c>
      <c r="H18" s="93">
        <f ca="1"/>
        <v>264.5619375</v>
      </c>
      <c r="I18" s="93">
        <f ca="1"/>
        <v>264.5619375</v>
      </c>
      <c r="J18" s="93">
        <f ca="1"/>
        <v>264.5619375</v>
      </c>
      <c r="K18" s="93">
        <f ca="1"/>
        <v>264.5619375</v>
      </c>
      <c r="L18" s="93">
        <f ca="1"/>
        <v>264.5619375</v>
      </c>
      <c r="M18" s="94">
        <f ca="1"/>
        <v>264.5619375</v>
      </c>
      <c r="N18" s="98">
        <f ca="1">SUM(B18:M18)</f>
        <v>3114.9324375000006</v>
      </c>
      <c r="O18" s="108">
        <f t="array" ref="O18:O20" ca="1">N18:N20/$N$27</f>
        <v>0.16666329754719844</v>
      </c>
    </row>
    <row r="19" spans="1:15">
      <c r="A19" s="151" t="str">
        <v>Seg. Social Empregados</v>
      </c>
      <c r="B19" s="92">
        <f t="array" ref="B19">SUM(B9:B14*'RR.HH.'!$D39:$D44)</f>
        <v>0</v>
      </c>
      <c r="C19" s="93">
        <f t="array" ref="C19">SUM(C9:C14*'RR.HH.'!$D39:$D44)</f>
        <v>0</v>
      </c>
      <c r="D19" s="93">
        <f t="array" ref="D19">SUM(D9:D14*'RR.HH.'!$D39:$D44)</f>
        <v>0</v>
      </c>
      <c r="E19" s="93">
        <f t="array" ref="E19">SUM(E9:E14*'RR.HH.'!$D39:$D44)</f>
        <v>0</v>
      </c>
      <c r="F19" s="93">
        <f t="array" ref="F19">SUM(F9:F14*'RR.HH.'!$D39:$D44)</f>
        <v>0</v>
      </c>
      <c r="G19" s="93">
        <f t="array" ref="G19">SUM(G9:G14*'RR.HH.'!$D39:$D44)</f>
        <v>0</v>
      </c>
      <c r="H19" s="93">
        <f t="array" ref="H19">SUM(H9:H14*'RR.HH.'!$D39:$D44)</f>
        <v>0</v>
      </c>
      <c r="I19" s="93">
        <f t="array" ref="I19">SUM(I9:I14*'RR.HH.'!$D39:$D44)</f>
        <v>0</v>
      </c>
      <c r="J19" s="93">
        <f t="array" ref="J19">SUM(J9:J14*'RR.HH.'!$D39:$D44)</f>
        <v>0</v>
      </c>
      <c r="K19" s="93">
        <f t="array" ref="K19">SUM(K9:K14*'RR.HH.'!$D39:$D44)</f>
        <v>0</v>
      </c>
      <c r="L19" s="93">
        <f t="array" ref="L19">SUM(L9:L14*'RR.HH.'!$D39:$D44)</f>
        <v>0</v>
      </c>
      <c r="M19" s="94">
        <f t="array" ref="M19">SUM(M9:M14*'RR.HH.'!$D39:$D44)</f>
        <v>0</v>
      </c>
      <c r="N19" s="98">
        <f>SUM(B19:M19)</f>
        <v>0</v>
      </c>
      <c r="O19" s="108">
        <f ca="1"/>
        <v>0</v>
      </c>
    </row>
    <row r="20" spans="1:15" ht="15.75" thickBot="1">
      <c r="A20" s="2850" t="str">
        <v>Total Seguros Sociáis</v>
      </c>
      <c r="B20" s="144">
        <f t="shared" ref="B20:M20" ca="1" si="2">SUM(B18:B19)</f>
        <v>244.625</v>
      </c>
      <c r="C20" s="145">
        <f t="shared" ca="1" si="2"/>
        <v>244.625</v>
      </c>
      <c r="D20" s="145">
        <f t="shared" ca="1" si="2"/>
        <v>244.625</v>
      </c>
      <c r="E20" s="145">
        <f t="shared" ca="1" si="2"/>
        <v>264.5619375</v>
      </c>
      <c r="F20" s="145">
        <f t="shared" ca="1" si="2"/>
        <v>264.5619375</v>
      </c>
      <c r="G20" s="145">
        <f t="shared" ca="1" si="2"/>
        <v>264.5619375</v>
      </c>
      <c r="H20" s="145">
        <f t="shared" ca="1" si="2"/>
        <v>264.5619375</v>
      </c>
      <c r="I20" s="145">
        <f t="shared" ca="1" si="2"/>
        <v>264.5619375</v>
      </c>
      <c r="J20" s="145">
        <f t="shared" ca="1" si="2"/>
        <v>264.5619375</v>
      </c>
      <c r="K20" s="145">
        <f t="shared" ca="1" si="2"/>
        <v>264.5619375</v>
      </c>
      <c r="L20" s="145">
        <f t="shared" ca="1" si="2"/>
        <v>264.5619375</v>
      </c>
      <c r="M20" s="146">
        <f t="shared" ca="1" si="2"/>
        <v>264.5619375</v>
      </c>
      <c r="N20" s="143">
        <f ca="1">SUM(B20:M20)</f>
        <v>3114.9324375000006</v>
      </c>
      <c r="O20" s="112">
        <f ca="1"/>
        <v>0.16666329754719844</v>
      </c>
    </row>
    <row r="21" spans="1:15" ht="15.75" thickBot="1">
      <c r="A21" s="2853"/>
      <c r="B21" s="134"/>
      <c r="C21" s="135"/>
      <c r="D21" s="135"/>
      <c r="E21" s="135"/>
      <c r="F21" s="135"/>
      <c r="G21" s="135"/>
      <c r="H21" s="135"/>
      <c r="I21" s="135"/>
      <c r="J21" s="135"/>
      <c r="K21" s="135"/>
      <c r="L21" s="135"/>
      <c r="M21" s="136"/>
      <c r="N21" s="130"/>
      <c r="O21" s="131"/>
    </row>
    <row r="22" spans="1:15">
      <c r="A22" s="2849" t="str">
        <f t="array" ref="A22:A25">'G.F. 0'!A22:A25</f>
        <v>Altas e baixas do pessoal</v>
      </c>
      <c r="B22" s="89"/>
      <c r="C22" s="90"/>
      <c r="D22" s="90"/>
      <c r="E22" s="90"/>
      <c r="F22" s="90"/>
      <c r="G22" s="90"/>
      <c r="H22" s="90"/>
      <c r="I22" s="90"/>
      <c r="J22" s="90"/>
      <c r="K22" s="90"/>
      <c r="L22" s="90"/>
      <c r="M22" s="91"/>
      <c r="N22" s="138"/>
      <c r="O22" s="107"/>
    </row>
    <row r="23" spans="1:15">
      <c r="A23" s="151" t="str">
        <v>Altas e baixas de sócios</v>
      </c>
      <c r="B23" s="95">
        <f t="array" ref="B23:M24">'RR.HH.'!$D53:$D54*'Quadro Pessoal'!C58:N59</f>
        <v>0</v>
      </c>
      <c r="C23" s="96">
        <v>0</v>
      </c>
      <c r="D23" s="96">
        <v>0</v>
      </c>
      <c r="E23" s="96">
        <v>0</v>
      </c>
      <c r="F23" s="96">
        <v>0</v>
      </c>
      <c r="G23" s="96">
        <v>0</v>
      </c>
      <c r="H23" s="96">
        <v>0</v>
      </c>
      <c r="I23" s="96">
        <v>0</v>
      </c>
      <c r="J23" s="96">
        <v>0</v>
      </c>
      <c r="K23" s="96">
        <v>0</v>
      </c>
      <c r="L23" s="96">
        <v>0</v>
      </c>
      <c r="M23" s="97">
        <v>0</v>
      </c>
      <c r="N23" s="98">
        <f>SUM(B23:M23)</f>
        <v>0</v>
      </c>
      <c r="O23" s="108">
        <f t="array" aca="1" ref="O23:O25" ca="1">N23:N25/$N$27</f>
        <v>0</v>
      </c>
    </row>
    <row r="24" spans="1:15">
      <c r="A24" s="151" t="str">
        <v>Altas de empregados</v>
      </c>
      <c r="B24" s="95">
        <v>0</v>
      </c>
      <c r="C24" s="96">
        <v>0</v>
      </c>
      <c r="D24" s="96">
        <v>0</v>
      </c>
      <c r="E24" s="96">
        <v>0</v>
      </c>
      <c r="F24" s="96">
        <v>0</v>
      </c>
      <c r="G24" s="96">
        <v>0</v>
      </c>
      <c r="H24" s="96">
        <v>0</v>
      </c>
      <c r="I24" s="96">
        <v>0</v>
      </c>
      <c r="J24" s="96">
        <v>0</v>
      </c>
      <c r="K24" s="96">
        <v>0</v>
      </c>
      <c r="L24" s="96">
        <v>0</v>
      </c>
      <c r="M24" s="97">
        <v>0</v>
      </c>
      <c r="N24" s="98">
        <f>SUM(B24:M24)</f>
        <v>0</v>
      </c>
      <c r="O24" s="108">
        <f ca="1"/>
        <v>0</v>
      </c>
    </row>
    <row r="25" spans="1:15" ht="15.75" thickBot="1">
      <c r="A25" s="2850" t="str">
        <v>Total Altas e baixas do pessoal</v>
      </c>
      <c r="B25" s="144">
        <f>SUM(B23:B24)</f>
        <v>0</v>
      </c>
      <c r="C25" s="145">
        <f t="shared" ref="C25:M25" si="3">SUM(C23:C24)</f>
        <v>0</v>
      </c>
      <c r="D25" s="145">
        <f t="shared" si="3"/>
        <v>0</v>
      </c>
      <c r="E25" s="145">
        <f t="shared" si="3"/>
        <v>0</v>
      </c>
      <c r="F25" s="145">
        <f t="shared" si="3"/>
        <v>0</v>
      </c>
      <c r="G25" s="145">
        <f t="shared" si="3"/>
        <v>0</v>
      </c>
      <c r="H25" s="145">
        <f t="shared" si="3"/>
        <v>0</v>
      </c>
      <c r="I25" s="145">
        <f t="shared" si="3"/>
        <v>0</v>
      </c>
      <c r="J25" s="145">
        <f t="shared" si="3"/>
        <v>0</v>
      </c>
      <c r="K25" s="145">
        <f t="shared" si="3"/>
        <v>0</v>
      </c>
      <c r="L25" s="145">
        <f t="shared" si="3"/>
        <v>0</v>
      </c>
      <c r="M25" s="146">
        <f t="shared" si="3"/>
        <v>0</v>
      </c>
      <c r="N25" s="143">
        <f>SUM(B25:M25)</f>
        <v>0</v>
      </c>
      <c r="O25" s="112">
        <f ca="1"/>
        <v>0</v>
      </c>
    </row>
    <row r="26" spans="1:15" ht="15.75" thickBot="1">
      <c r="A26" s="2854"/>
      <c r="B26" s="148"/>
      <c r="C26" s="132"/>
      <c r="D26" s="132"/>
      <c r="E26" s="132"/>
      <c r="F26" s="132"/>
      <c r="G26" s="132"/>
      <c r="H26" s="132"/>
      <c r="I26" s="132"/>
      <c r="J26" s="132"/>
      <c r="K26" s="132"/>
      <c r="L26" s="132"/>
      <c r="M26" s="133"/>
      <c r="N26" s="125"/>
      <c r="O26" s="126"/>
    </row>
    <row r="27" spans="1:15" ht="15.75" thickBot="1">
      <c r="A27" s="2472" t="str">
        <f>'G.F. 0'!A27</f>
        <v>Total Gastos de pessoal</v>
      </c>
      <c r="B27" s="2979">
        <f t="shared" ref="B27:N27" ca="1" si="4">B25+B20+B15</f>
        <v>1542.5450000000001</v>
      </c>
      <c r="C27" s="2980">
        <f t="shared" ca="1" si="4"/>
        <v>1542.5450000000001</v>
      </c>
      <c r="D27" s="2980">
        <f t="shared" ca="1" si="4"/>
        <v>1542.5450000000001</v>
      </c>
      <c r="E27" s="2980">
        <f t="shared" ca="1" si="4"/>
        <v>1562.4819375000002</v>
      </c>
      <c r="F27" s="2980">
        <f t="shared" ca="1" si="4"/>
        <v>1562.4819375000002</v>
      </c>
      <c r="G27" s="2980">
        <f t="shared" ca="1" si="4"/>
        <v>1562.4819375000002</v>
      </c>
      <c r="H27" s="2980">
        <f t="shared" ca="1" si="4"/>
        <v>1562.4819375000002</v>
      </c>
      <c r="I27" s="2980">
        <f t="shared" ca="1" si="4"/>
        <v>1562.4819375000002</v>
      </c>
      <c r="J27" s="2980">
        <f t="shared" ca="1" si="4"/>
        <v>1562.4819375000002</v>
      </c>
      <c r="K27" s="2980">
        <f t="shared" ca="1" si="4"/>
        <v>1562.4819375000002</v>
      </c>
      <c r="L27" s="2980">
        <f t="shared" ca="1" si="4"/>
        <v>1562.4819375000002</v>
      </c>
      <c r="M27" s="85">
        <f t="shared" ca="1" si="4"/>
        <v>1562.4819375000002</v>
      </c>
      <c r="N27" s="84">
        <f t="shared" ca="1" si="4"/>
        <v>18689.972437500001</v>
      </c>
      <c r="O27" s="113">
        <f ca="1">N27/$N$58</f>
        <v>0.97061440156328926</v>
      </c>
    </row>
    <row r="28" spans="1:15">
      <c r="A28" s="102"/>
      <c r="B28" s="86"/>
      <c r="C28" s="86"/>
      <c r="D28" s="86"/>
      <c r="E28" s="86"/>
      <c r="F28" s="86"/>
      <c r="G28" s="86"/>
      <c r="H28" s="86"/>
      <c r="I28" s="86"/>
      <c r="J28" s="86"/>
      <c r="K28" s="86"/>
      <c r="L28" s="86"/>
      <c r="M28" s="86"/>
      <c r="N28" s="86"/>
      <c r="O28" s="103"/>
    </row>
    <row r="29" spans="1:15">
      <c r="A29" s="88"/>
      <c r="B29" s="86"/>
      <c r="C29" s="86"/>
      <c r="D29" s="86"/>
      <c r="E29" s="86"/>
      <c r="F29" s="86"/>
      <c r="G29" s="86"/>
      <c r="H29" s="86"/>
      <c r="I29" s="86"/>
      <c r="J29" s="86"/>
      <c r="K29" s="86"/>
      <c r="L29" s="86"/>
      <c r="M29" s="86"/>
      <c r="N29" s="86"/>
      <c r="O29" s="100"/>
    </row>
    <row r="30" spans="1:15">
      <c r="A30" s="88"/>
      <c r="B30" s="86"/>
      <c r="C30" s="86"/>
      <c r="D30" s="86"/>
      <c r="E30" s="86"/>
      <c r="F30" s="86"/>
      <c r="G30" s="86"/>
      <c r="H30" s="86"/>
      <c r="I30" s="86"/>
      <c r="J30" s="86"/>
      <c r="K30" s="86"/>
      <c r="L30" s="86"/>
      <c r="M30" s="86"/>
      <c r="N30" s="86"/>
      <c r="O30" s="100"/>
    </row>
    <row r="31" spans="1:15" ht="15.75" thickBot="1">
      <c r="A31" s="88"/>
      <c r="B31" s="86"/>
      <c r="C31" s="86"/>
      <c r="D31" s="86"/>
      <c r="E31" s="86"/>
      <c r="F31" s="86"/>
      <c r="G31" s="86"/>
      <c r="H31" s="86"/>
      <c r="I31" s="86"/>
      <c r="J31" s="86"/>
      <c r="K31" s="86"/>
      <c r="L31" s="86"/>
      <c r="M31" s="86"/>
      <c r="N31" s="86"/>
      <c r="O31" s="100"/>
    </row>
    <row r="32" spans="1:15" ht="15.75" thickBot="1">
      <c r="A32" s="155" t="str">
        <f>'G.F. 0'!A32</f>
        <v>Outros gastos fixos</v>
      </c>
      <c r="B32" s="164" t="str">
        <f t="array" ref="B32:M32">meses</f>
        <v>janeiro</v>
      </c>
      <c r="C32" s="165" t="str">
        <v>fevereiro</v>
      </c>
      <c r="D32" s="165" t="str">
        <v>março</v>
      </c>
      <c r="E32" s="165" t="str">
        <v>abril</v>
      </c>
      <c r="F32" s="165" t="str">
        <v>maio</v>
      </c>
      <c r="G32" s="165" t="str">
        <v>junho</v>
      </c>
      <c r="H32" s="165" t="str">
        <v>julho</v>
      </c>
      <c r="I32" s="165" t="str">
        <v>agosto</v>
      </c>
      <c r="J32" s="165" t="str">
        <v>setembro</v>
      </c>
      <c r="K32" s="165" t="str">
        <v>outubro</v>
      </c>
      <c r="L32" s="165" t="str">
        <v>novembro</v>
      </c>
      <c r="M32" s="166" t="str">
        <v>dezembro</v>
      </c>
      <c r="N32" s="105" t="str">
        <f>'G.F. 0'!N32</f>
        <v>Totais</v>
      </c>
      <c r="O32" s="105" t="s">
        <v>6</v>
      </c>
    </row>
    <row r="33" spans="1:15">
      <c r="A33" s="111" t="str">
        <f t="array" ref="A33:A54">'Despesas Fixas Dados'!A6:A27</f>
        <v>Impostos: IAE, IBI, ...</v>
      </c>
      <c r="B33" s="156">
        <f t="array" ref="B33:M54">IFERROR('Despesas Fixas Dados'!$V6:$V27*'G.F. 1'!$B33:$M54/'G.F. 1'!$N33:$N54,'Despesas Fixas Dados'!$V6:$V27/12)</f>
        <v>0</v>
      </c>
      <c r="C33" s="157">
        <v>0</v>
      </c>
      <c r="D33" s="157">
        <v>0</v>
      </c>
      <c r="E33" s="157">
        <v>0</v>
      </c>
      <c r="F33" s="157">
        <v>0</v>
      </c>
      <c r="G33" s="157">
        <v>0</v>
      </c>
      <c r="H33" s="157">
        <v>0</v>
      </c>
      <c r="I33" s="157">
        <v>0</v>
      </c>
      <c r="J33" s="157">
        <v>0</v>
      </c>
      <c r="K33" s="157">
        <v>0</v>
      </c>
      <c r="L33" s="157">
        <v>0</v>
      </c>
      <c r="M33" s="158">
        <v>0</v>
      </c>
      <c r="N33" s="162">
        <f t="shared" ref="N33:N41" si="5">SUM(B33:M33)</f>
        <v>0</v>
      </c>
      <c r="O33" s="107">
        <f t="array" aca="1" ref="O33:O54" ca="1">N33:N54/$N$58</f>
        <v>0</v>
      </c>
    </row>
    <row r="34" spans="1:15">
      <c r="A34" s="110" t="str">
        <v>Outras despesas fixas ( Sem IVA )</v>
      </c>
      <c r="B34" s="78">
        <v>0</v>
      </c>
      <c r="C34" s="79">
        <v>0</v>
      </c>
      <c r="D34" s="79">
        <v>0</v>
      </c>
      <c r="E34" s="79">
        <v>0</v>
      </c>
      <c r="F34" s="79">
        <v>0</v>
      </c>
      <c r="G34" s="79">
        <v>0</v>
      </c>
      <c r="H34" s="79">
        <v>0</v>
      </c>
      <c r="I34" s="79">
        <v>0</v>
      </c>
      <c r="J34" s="79">
        <v>0</v>
      </c>
      <c r="K34" s="79">
        <v>0</v>
      </c>
      <c r="L34" s="79">
        <v>0</v>
      </c>
      <c r="M34" s="80">
        <v>0</v>
      </c>
      <c r="N34" s="163">
        <f t="shared" si="5"/>
        <v>0</v>
      </c>
      <c r="O34" s="108">
        <f ca="1"/>
        <v>0</v>
      </c>
    </row>
    <row r="35" spans="1:15">
      <c r="A35" s="110" t="str">
        <v>Priémios de Seguros</v>
      </c>
      <c r="B35" s="78">
        <v>0</v>
      </c>
      <c r="C35" s="79">
        <v>0</v>
      </c>
      <c r="D35" s="79">
        <v>0</v>
      </c>
      <c r="E35" s="79">
        <v>0</v>
      </c>
      <c r="F35" s="79">
        <v>0</v>
      </c>
      <c r="G35" s="79">
        <v>0</v>
      </c>
      <c r="H35" s="79">
        <v>0</v>
      </c>
      <c r="I35" s="79">
        <v>0</v>
      </c>
      <c r="J35" s="79">
        <v>0</v>
      </c>
      <c r="K35" s="79">
        <v>0</v>
      </c>
      <c r="L35" s="79">
        <v>0</v>
      </c>
      <c r="M35" s="80">
        <v>0</v>
      </c>
      <c r="N35" s="163">
        <f t="shared" si="5"/>
        <v>0</v>
      </c>
      <c r="O35" s="108">
        <f ca="1"/>
        <v>0</v>
      </c>
    </row>
    <row r="36" spans="1:15">
      <c r="A36" s="110" t="str">
        <v>Ordem / asociação profissional</v>
      </c>
      <c r="B36" s="78">
        <v>0</v>
      </c>
      <c r="C36" s="79">
        <v>0</v>
      </c>
      <c r="D36" s="79">
        <v>0</v>
      </c>
      <c r="E36" s="79">
        <v>0</v>
      </c>
      <c r="F36" s="79">
        <v>0</v>
      </c>
      <c r="G36" s="79">
        <v>0</v>
      </c>
      <c r="H36" s="79">
        <v>0</v>
      </c>
      <c r="I36" s="79">
        <v>0</v>
      </c>
      <c r="J36" s="79">
        <v>0</v>
      </c>
      <c r="K36" s="79">
        <v>0</v>
      </c>
      <c r="L36" s="79">
        <v>0</v>
      </c>
      <c r="M36" s="80">
        <v>0</v>
      </c>
      <c r="N36" s="163">
        <f t="shared" si="5"/>
        <v>0</v>
      </c>
      <c r="O36" s="108">
        <f ca="1"/>
        <v>0</v>
      </c>
    </row>
    <row r="37" spans="1:15">
      <c r="A37" s="110" t="str">
        <v>Suministro de Electricidade</v>
      </c>
      <c r="B37" s="78">
        <v>0</v>
      </c>
      <c r="C37" s="79">
        <v>0</v>
      </c>
      <c r="D37" s="79">
        <v>0</v>
      </c>
      <c r="E37" s="79">
        <v>0</v>
      </c>
      <c r="F37" s="79">
        <v>0</v>
      </c>
      <c r="G37" s="79">
        <v>0</v>
      </c>
      <c r="H37" s="79">
        <v>0</v>
      </c>
      <c r="I37" s="79">
        <v>0</v>
      </c>
      <c r="J37" s="79">
        <v>0</v>
      </c>
      <c r="K37" s="79">
        <v>0</v>
      </c>
      <c r="L37" s="79">
        <v>0</v>
      </c>
      <c r="M37" s="80">
        <v>0</v>
      </c>
      <c r="N37" s="163">
        <f t="shared" si="5"/>
        <v>0</v>
      </c>
      <c r="O37" s="108">
        <f ca="1"/>
        <v>0</v>
      </c>
    </row>
    <row r="38" spans="1:15">
      <c r="A38" s="110" t="str">
        <v>Cuotas periódicas software e IA</v>
      </c>
      <c r="B38" s="78">
        <v>0</v>
      </c>
      <c r="C38" s="79">
        <v>0</v>
      </c>
      <c r="D38" s="79">
        <v>0</v>
      </c>
      <c r="E38" s="79">
        <v>0</v>
      </c>
      <c r="F38" s="79">
        <v>0</v>
      </c>
      <c r="G38" s="79">
        <v>0</v>
      </c>
      <c r="H38" s="79">
        <v>0</v>
      </c>
      <c r="I38" s="79">
        <v>0</v>
      </c>
      <c r="J38" s="79">
        <v>0</v>
      </c>
      <c r="K38" s="79">
        <v>0</v>
      </c>
      <c r="L38" s="79">
        <v>0</v>
      </c>
      <c r="M38" s="80">
        <v>0</v>
      </c>
      <c r="N38" s="163">
        <f t="shared" si="5"/>
        <v>0</v>
      </c>
      <c r="O38" s="108">
        <f ca="1"/>
        <v>0</v>
      </c>
    </row>
    <row r="39" spans="1:15">
      <c r="A39" s="110" t="str">
        <v>Água, taxas saneamiento e lixo</v>
      </c>
      <c r="B39" s="78">
        <v>0</v>
      </c>
      <c r="C39" s="79">
        <v>0</v>
      </c>
      <c r="D39" s="79">
        <v>0</v>
      </c>
      <c r="E39" s="79">
        <v>0</v>
      </c>
      <c r="F39" s="79">
        <v>0</v>
      </c>
      <c r="G39" s="79">
        <v>0</v>
      </c>
      <c r="H39" s="79">
        <v>0</v>
      </c>
      <c r="I39" s="79">
        <v>0</v>
      </c>
      <c r="J39" s="79">
        <v>0</v>
      </c>
      <c r="K39" s="79">
        <v>0</v>
      </c>
      <c r="L39" s="79">
        <v>0</v>
      </c>
      <c r="M39" s="80">
        <v>0</v>
      </c>
      <c r="N39" s="163">
        <f t="shared" si="5"/>
        <v>0</v>
      </c>
      <c r="O39" s="108">
        <f ca="1"/>
        <v>0</v>
      </c>
    </row>
    <row r="40" spans="1:15">
      <c r="A40" s="110" t="str">
        <v>Outros suministros (gaz, etc.)</v>
      </c>
      <c r="B40" s="78">
        <v>0</v>
      </c>
      <c r="C40" s="79">
        <v>0</v>
      </c>
      <c r="D40" s="79">
        <v>0</v>
      </c>
      <c r="E40" s="79">
        <v>0</v>
      </c>
      <c r="F40" s="79">
        <v>0</v>
      </c>
      <c r="G40" s="79">
        <v>0</v>
      </c>
      <c r="H40" s="79">
        <v>0</v>
      </c>
      <c r="I40" s="79">
        <v>0</v>
      </c>
      <c r="J40" s="79">
        <v>0</v>
      </c>
      <c r="K40" s="79">
        <v>0</v>
      </c>
      <c r="L40" s="79">
        <v>0</v>
      </c>
      <c r="M40" s="80">
        <v>0</v>
      </c>
      <c r="N40" s="163">
        <f t="shared" si="5"/>
        <v>0</v>
      </c>
      <c r="O40" s="108">
        <f ca="1"/>
        <v>0</v>
      </c>
    </row>
    <row r="41" spans="1:15">
      <c r="A41" s="110" t="str">
        <v>Telefonia / Internet / Comunicações</v>
      </c>
      <c r="B41" s="78">
        <v>0</v>
      </c>
      <c r="C41" s="79">
        <v>0</v>
      </c>
      <c r="D41" s="79">
        <v>0</v>
      </c>
      <c r="E41" s="79">
        <v>0</v>
      </c>
      <c r="F41" s="79">
        <v>0</v>
      </c>
      <c r="G41" s="79">
        <v>0</v>
      </c>
      <c r="H41" s="79">
        <v>0</v>
      </c>
      <c r="I41" s="79">
        <v>0</v>
      </c>
      <c r="J41" s="79">
        <v>0</v>
      </c>
      <c r="K41" s="79">
        <v>0</v>
      </c>
      <c r="L41" s="79">
        <v>0</v>
      </c>
      <c r="M41" s="80">
        <v>0</v>
      </c>
      <c r="N41" s="163">
        <f t="shared" si="5"/>
        <v>0</v>
      </c>
      <c r="O41" s="108">
        <f ca="1"/>
        <v>0</v>
      </c>
    </row>
    <row r="42" spans="1:15">
      <c r="A42" s="110" t="str">
        <v>Alojamento e serviços web</v>
      </c>
      <c r="B42" s="78">
        <v>0</v>
      </c>
      <c r="C42" s="79">
        <v>0</v>
      </c>
      <c r="D42" s="79">
        <v>0</v>
      </c>
      <c r="E42" s="79">
        <v>0</v>
      </c>
      <c r="F42" s="79">
        <v>0</v>
      </c>
      <c r="G42" s="79">
        <v>0</v>
      </c>
      <c r="H42" s="79">
        <v>0</v>
      </c>
      <c r="I42" s="79">
        <v>0</v>
      </c>
      <c r="J42" s="79">
        <v>0</v>
      </c>
      <c r="K42" s="79">
        <v>0</v>
      </c>
      <c r="L42" s="79">
        <v>0</v>
      </c>
      <c r="M42" s="80">
        <v>0</v>
      </c>
      <c r="N42" s="163">
        <f t="shared" ref="N42:N50" si="6">SUM(B42:M42)</f>
        <v>0</v>
      </c>
      <c r="O42" s="108">
        <f ca="1"/>
        <v>0</v>
      </c>
    </row>
    <row r="43" spans="1:15">
      <c r="A43" s="110" t="str">
        <v>Alarma / Empresa de seguridade</v>
      </c>
      <c r="B43" s="78">
        <v>0</v>
      </c>
      <c r="C43" s="79">
        <v>0</v>
      </c>
      <c r="D43" s="79">
        <v>0</v>
      </c>
      <c r="E43" s="79">
        <v>0</v>
      </c>
      <c r="F43" s="79">
        <v>0</v>
      </c>
      <c r="G43" s="79">
        <v>0</v>
      </c>
      <c r="H43" s="79">
        <v>0</v>
      </c>
      <c r="I43" s="79">
        <v>0</v>
      </c>
      <c r="J43" s="79">
        <v>0</v>
      </c>
      <c r="K43" s="79">
        <v>0</v>
      </c>
      <c r="L43" s="79">
        <v>0</v>
      </c>
      <c r="M43" s="80">
        <v>0</v>
      </c>
      <c r="N43" s="163">
        <f t="shared" si="6"/>
        <v>0</v>
      </c>
      <c r="O43" s="108">
        <f ca="1"/>
        <v>0</v>
      </c>
    </row>
    <row r="44" spans="1:15">
      <c r="A44" s="110" t="str">
        <v>Material de escritório / papelaria</v>
      </c>
      <c r="B44" s="78">
        <v>0</v>
      </c>
      <c r="C44" s="79">
        <v>0</v>
      </c>
      <c r="D44" s="79">
        <v>0</v>
      </c>
      <c r="E44" s="79">
        <v>0</v>
      </c>
      <c r="F44" s="79">
        <v>0</v>
      </c>
      <c r="G44" s="79">
        <v>0</v>
      </c>
      <c r="H44" s="79">
        <v>0</v>
      </c>
      <c r="I44" s="79">
        <v>0</v>
      </c>
      <c r="J44" s="79">
        <v>0</v>
      </c>
      <c r="K44" s="79">
        <v>0</v>
      </c>
      <c r="L44" s="79">
        <v>0</v>
      </c>
      <c r="M44" s="80">
        <v>0</v>
      </c>
      <c r="N44" s="163">
        <f t="shared" si="6"/>
        <v>0</v>
      </c>
      <c r="O44" s="108">
        <f ca="1"/>
        <v>0</v>
      </c>
    </row>
    <row r="45" spans="1:15">
      <c r="A45" s="110" t="str">
        <v>Congresos / Salões / Viágems</v>
      </c>
      <c r="B45" s="78">
        <v>0</v>
      </c>
      <c r="C45" s="79">
        <v>0</v>
      </c>
      <c r="D45" s="79">
        <v>0</v>
      </c>
      <c r="E45" s="79">
        <v>0</v>
      </c>
      <c r="F45" s="79">
        <v>0</v>
      </c>
      <c r="G45" s="79">
        <v>0</v>
      </c>
      <c r="H45" s="79">
        <v>0</v>
      </c>
      <c r="I45" s="79">
        <v>0</v>
      </c>
      <c r="J45" s="79">
        <v>0</v>
      </c>
      <c r="K45" s="79">
        <v>0</v>
      </c>
      <c r="L45" s="79">
        <v>0</v>
      </c>
      <c r="M45" s="80">
        <v>0</v>
      </c>
      <c r="N45" s="163">
        <f t="shared" si="6"/>
        <v>0</v>
      </c>
      <c r="O45" s="108">
        <f ca="1"/>
        <v>0</v>
      </c>
    </row>
    <row r="46" spans="1:15">
      <c r="A46" s="110" t="str">
        <v>Transporte e desplaçamentos</v>
      </c>
      <c r="B46" s="78">
        <v>0</v>
      </c>
      <c r="C46" s="79">
        <v>0</v>
      </c>
      <c r="D46" s="79">
        <v>0</v>
      </c>
      <c r="E46" s="79">
        <v>0</v>
      </c>
      <c r="F46" s="79">
        <v>0</v>
      </c>
      <c r="G46" s="79">
        <v>0</v>
      </c>
      <c r="H46" s="79">
        <v>0</v>
      </c>
      <c r="I46" s="79">
        <v>0</v>
      </c>
      <c r="J46" s="79">
        <v>0</v>
      </c>
      <c r="K46" s="79">
        <v>0</v>
      </c>
      <c r="L46" s="79">
        <v>0</v>
      </c>
      <c r="M46" s="80">
        <v>0</v>
      </c>
      <c r="N46" s="163">
        <f t="shared" si="6"/>
        <v>0</v>
      </c>
      <c r="O46" s="108">
        <f ca="1"/>
        <v>0</v>
      </c>
    </row>
    <row r="47" spans="1:15">
      <c r="A47" s="110" t="str">
        <v>Asesoría e profissionais independentes</v>
      </c>
      <c r="B47" s="78">
        <v>0</v>
      </c>
      <c r="C47" s="79">
        <v>0</v>
      </c>
      <c r="D47" s="79">
        <v>0</v>
      </c>
      <c r="E47" s="79">
        <v>0</v>
      </c>
      <c r="F47" s="79">
        <v>0</v>
      </c>
      <c r="G47" s="79">
        <v>0</v>
      </c>
      <c r="H47" s="79">
        <v>0</v>
      </c>
      <c r="I47" s="79">
        <v>0</v>
      </c>
      <c r="J47" s="79">
        <v>0</v>
      </c>
      <c r="K47" s="79">
        <v>0</v>
      </c>
      <c r="L47" s="79">
        <v>0</v>
      </c>
      <c r="M47" s="80">
        <v>0</v>
      </c>
      <c r="N47" s="163">
        <f t="shared" si="6"/>
        <v>0</v>
      </c>
      <c r="O47" s="108">
        <f ca="1"/>
        <v>0</v>
      </c>
    </row>
    <row r="48" spans="1:15">
      <c r="A48" s="110" t="str">
        <v>Arrendamentos / alugueres</v>
      </c>
      <c r="B48" s="78">
        <v>0</v>
      </c>
      <c r="C48" s="79">
        <v>0</v>
      </c>
      <c r="D48" s="79">
        <v>0</v>
      </c>
      <c r="E48" s="79">
        <v>0</v>
      </c>
      <c r="F48" s="79">
        <v>0</v>
      </c>
      <c r="G48" s="79">
        <v>0</v>
      </c>
      <c r="H48" s="79">
        <v>0</v>
      </c>
      <c r="I48" s="79">
        <v>0</v>
      </c>
      <c r="J48" s="79">
        <v>0</v>
      </c>
      <c r="K48" s="79">
        <v>0</v>
      </c>
      <c r="L48" s="79">
        <v>0</v>
      </c>
      <c r="M48" s="80">
        <v>0</v>
      </c>
      <c r="N48" s="163">
        <f t="shared" si="6"/>
        <v>0</v>
      </c>
      <c r="O48" s="108">
        <f ca="1"/>
        <v>0</v>
      </c>
    </row>
    <row r="49" spans="1:15">
      <c r="A49" s="110" t="str">
        <v>Despesas Variáveis Marketing online</v>
      </c>
      <c r="B49" s="78">
        <f ca="1"/>
        <v>22.278900000000004</v>
      </c>
      <c r="C49" s="79">
        <f ca="1"/>
        <v>22.278900000000004</v>
      </c>
      <c r="D49" s="79">
        <f ca="1"/>
        <v>22.278900000000004</v>
      </c>
      <c r="E49" s="79">
        <f ca="1"/>
        <v>22.278900000000004</v>
      </c>
      <c r="F49" s="79">
        <f ca="1"/>
        <v>22.278900000000004</v>
      </c>
      <c r="G49" s="79">
        <f ca="1"/>
        <v>22.278900000000004</v>
      </c>
      <c r="H49" s="79">
        <f ca="1"/>
        <v>22.278900000000004</v>
      </c>
      <c r="I49" s="79">
        <f ca="1"/>
        <v>22.278900000000004</v>
      </c>
      <c r="J49" s="79">
        <f ca="1"/>
        <v>22.278900000000004</v>
      </c>
      <c r="K49" s="79">
        <f ca="1"/>
        <v>22.278900000000004</v>
      </c>
      <c r="L49" s="79">
        <f ca="1"/>
        <v>22.278900000000004</v>
      </c>
      <c r="M49" s="80">
        <f ca="1"/>
        <v>22.278900000000004</v>
      </c>
      <c r="N49" s="163">
        <f t="shared" ca="1" si="6"/>
        <v>267.34679999999997</v>
      </c>
      <c r="O49" s="108">
        <f ca="1"/>
        <v>1.3883950613603485E-2</v>
      </c>
    </row>
    <row r="50" spans="1:15">
      <c r="A50" s="110" t="str">
        <v>Despesas Fixas Marketing online</v>
      </c>
      <c r="B50" s="78">
        <v>0</v>
      </c>
      <c r="C50" s="79">
        <v>0</v>
      </c>
      <c r="D50" s="79">
        <v>0</v>
      </c>
      <c r="E50" s="79">
        <v>0</v>
      </c>
      <c r="F50" s="79">
        <v>0</v>
      </c>
      <c r="G50" s="79">
        <v>0</v>
      </c>
      <c r="H50" s="79">
        <v>0</v>
      </c>
      <c r="I50" s="79">
        <v>0</v>
      </c>
      <c r="J50" s="79">
        <v>0</v>
      </c>
      <c r="K50" s="79">
        <v>0</v>
      </c>
      <c r="L50" s="79">
        <v>0</v>
      </c>
      <c r="M50" s="80">
        <v>0</v>
      </c>
      <c r="N50" s="163">
        <f t="shared" si="6"/>
        <v>0</v>
      </c>
      <c r="O50" s="108">
        <f ca="1"/>
        <v>0</v>
      </c>
    </row>
    <row r="51" spans="1:15">
      <c r="A51" s="110" t="str">
        <v>Despesas Variáveis Marketing off-line</v>
      </c>
      <c r="B51" s="78">
        <f ca="1"/>
        <v>22.278900000000004</v>
      </c>
      <c r="C51" s="79">
        <f ca="1"/>
        <v>22.278900000000004</v>
      </c>
      <c r="D51" s="79">
        <f ca="1"/>
        <v>22.278900000000004</v>
      </c>
      <c r="E51" s="79">
        <f ca="1"/>
        <v>22.278900000000004</v>
      </c>
      <c r="F51" s="79">
        <f ca="1"/>
        <v>22.278900000000004</v>
      </c>
      <c r="G51" s="79">
        <f ca="1"/>
        <v>22.278900000000004</v>
      </c>
      <c r="H51" s="79">
        <f ca="1"/>
        <v>22.278900000000004</v>
      </c>
      <c r="I51" s="79">
        <f ca="1"/>
        <v>22.278900000000004</v>
      </c>
      <c r="J51" s="79">
        <f ca="1"/>
        <v>22.278900000000004</v>
      </c>
      <c r="K51" s="79">
        <f ca="1"/>
        <v>22.278900000000004</v>
      </c>
      <c r="L51" s="79">
        <f ca="1"/>
        <v>22.278900000000004</v>
      </c>
      <c r="M51" s="80">
        <f ca="1"/>
        <v>22.278900000000004</v>
      </c>
      <c r="N51" s="163">
        <f ca="1">SUM(B51:M51)</f>
        <v>267.34679999999997</v>
      </c>
      <c r="O51" s="108">
        <f ca="1"/>
        <v>1.3883950613603485E-2</v>
      </c>
    </row>
    <row r="52" spans="1:15">
      <c r="A52" s="110" t="str">
        <v>Despesas Fixas Marketing off-line</v>
      </c>
      <c r="B52" s="78">
        <v>0</v>
      </c>
      <c r="C52" s="79">
        <v>0</v>
      </c>
      <c r="D52" s="79">
        <v>0</v>
      </c>
      <c r="E52" s="79">
        <v>0</v>
      </c>
      <c r="F52" s="79">
        <v>0</v>
      </c>
      <c r="G52" s="79">
        <v>0</v>
      </c>
      <c r="H52" s="79">
        <v>0</v>
      </c>
      <c r="I52" s="79">
        <v>0</v>
      </c>
      <c r="J52" s="79">
        <v>0</v>
      </c>
      <c r="K52" s="79">
        <v>0</v>
      </c>
      <c r="L52" s="79">
        <v>0</v>
      </c>
      <c r="M52" s="80">
        <v>0</v>
      </c>
      <c r="N52" s="163">
        <f t="shared" ref="N52:N54" si="7">SUM(B52:M52)</f>
        <v>0</v>
      </c>
      <c r="O52" s="108">
        <f ca="1"/>
        <v>0</v>
      </c>
    </row>
    <row r="53" spans="1:15">
      <c r="A53" s="110" t="str">
        <v>Manutenção e reparações</v>
      </c>
      <c r="B53" s="78">
        <v>0</v>
      </c>
      <c r="C53" s="79">
        <v>0</v>
      </c>
      <c r="D53" s="79">
        <v>0</v>
      </c>
      <c r="E53" s="79">
        <v>0</v>
      </c>
      <c r="F53" s="79">
        <v>0</v>
      </c>
      <c r="G53" s="79">
        <v>0</v>
      </c>
      <c r="H53" s="79">
        <v>0</v>
      </c>
      <c r="I53" s="79">
        <v>0</v>
      </c>
      <c r="J53" s="79">
        <v>0</v>
      </c>
      <c r="K53" s="79">
        <v>0</v>
      </c>
      <c r="L53" s="79">
        <v>0</v>
      </c>
      <c r="M53" s="80">
        <v>0</v>
      </c>
      <c r="N53" s="163">
        <f t="shared" si="7"/>
        <v>0</v>
      </c>
      <c r="O53" s="108">
        <f ca="1"/>
        <v>0</v>
      </c>
    </row>
    <row r="54" spans="1:15" ht="15.75" thickBot="1">
      <c r="A54" s="110" t="str">
        <v>Outras despesas Imprevistas</v>
      </c>
      <c r="B54" s="78">
        <f ca="1"/>
        <v>2.5958400000000004</v>
      </c>
      <c r="C54" s="79">
        <f ca="1"/>
        <v>2.5958400000000004</v>
      </c>
      <c r="D54" s="79">
        <f ca="1"/>
        <v>2.5958400000000004</v>
      </c>
      <c r="E54" s="79">
        <f ca="1"/>
        <v>2.5958400000000004</v>
      </c>
      <c r="F54" s="79">
        <f ca="1"/>
        <v>2.5958400000000004</v>
      </c>
      <c r="G54" s="79">
        <f ca="1"/>
        <v>2.5958400000000004</v>
      </c>
      <c r="H54" s="79">
        <f ca="1"/>
        <v>2.5958400000000004</v>
      </c>
      <c r="I54" s="79">
        <f ca="1"/>
        <v>2.5958400000000004</v>
      </c>
      <c r="J54" s="79">
        <f ca="1"/>
        <v>2.5958400000000004</v>
      </c>
      <c r="K54" s="79">
        <f ca="1"/>
        <v>2.5958400000000004</v>
      </c>
      <c r="L54" s="79">
        <f ca="1"/>
        <v>2.5958400000000004</v>
      </c>
      <c r="M54" s="80">
        <f ca="1"/>
        <v>2.5958400000000004</v>
      </c>
      <c r="N54" s="163">
        <f t="shared" ca="1" si="7"/>
        <v>31.150079999999999</v>
      </c>
      <c r="O54" s="108">
        <f ca="1"/>
        <v>1.6176972095039016E-3</v>
      </c>
    </row>
    <row r="55" spans="1:15" ht="15.75" thickBot="1">
      <c r="A55" s="2472" t="str">
        <f>'G.F. 0'!A55</f>
        <v>Total Outros gastos fixos</v>
      </c>
      <c r="B55" s="2979">
        <f ca="1">SUM(B33:B54)</f>
        <v>47.15364000000001</v>
      </c>
      <c r="C55" s="2980">
        <f t="shared" ref="C55:L55" ca="1" si="8">SUM(C33:C54)</f>
        <v>47.15364000000001</v>
      </c>
      <c r="D55" s="2980">
        <f t="shared" ca="1" si="8"/>
        <v>47.15364000000001</v>
      </c>
      <c r="E55" s="2980">
        <f t="shared" ca="1" si="8"/>
        <v>47.15364000000001</v>
      </c>
      <c r="F55" s="2980">
        <f ca="1">SUM(F33:F54)</f>
        <v>47.15364000000001</v>
      </c>
      <c r="G55" s="2980">
        <f t="shared" ca="1" si="8"/>
        <v>47.15364000000001</v>
      </c>
      <c r="H55" s="2980">
        <f t="shared" ca="1" si="8"/>
        <v>47.15364000000001</v>
      </c>
      <c r="I55" s="2980">
        <f t="shared" ca="1" si="8"/>
        <v>47.15364000000001</v>
      </c>
      <c r="J55" s="2980">
        <f t="shared" ca="1" si="8"/>
        <v>47.15364000000001</v>
      </c>
      <c r="K55" s="2980">
        <f t="shared" ca="1" si="8"/>
        <v>47.15364000000001</v>
      </c>
      <c r="L55" s="2980">
        <f t="shared" ca="1" si="8"/>
        <v>47.15364000000001</v>
      </c>
      <c r="M55" s="85">
        <f ca="1">SUM(M33:M54)</f>
        <v>47.15364000000001</v>
      </c>
      <c r="N55" s="87">
        <f ca="1">SUM(N33:N54)</f>
        <v>565.84367999999995</v>
      </c>
      <c r="O55" s="113">
        <f ca="1">N55/$N$58</f>
        <v>2.9385598436710871E-2</v>
      </c>
    </row>
    <row r="56" spans="1:15">
      <c r="A56" s="88"/>
      <c r="B56" s="101"/>
      <c r="C56" s="101"/>
      <c r="D56" s="101"/>
      <c r="E56" s="101"/>
      <c r="F56" s="101"/>
      <c r="G56" s="101"/>
      <c r="H56" s="101"/>
      <c r="I56" s="101"/>
      <c r="J56" s="101"/>
      <c r="K56" s="101"/>
      <c r="L56" s="101"/>
      <c r="M56" s="101"/>
      <c r="N56" s="62"/>
      <c r="O56" s="100"/>
    </row>
    <row r="57" spans="1:15" ht="15.75" thickBot="1">
      <c r="A57" s="88"/>
      <c r="B57" s="101"/>
      <c r="C57" s="101"/>
      <c r="D57" s="101"/>
      <c r="E57" s="101"/>
      <c r="F57" s="101"/>
      <c r="G57" s="101"/>
      <c r="H57" s="101"/>
      <c r="I57" s="101"/>
      <c r="J57" s="101"/>
      <c r="K57" s="101"/>
      <c r="L57" s="101"/>
      <c r="M57" s="101"/>
      <c r="N57" s="62"/>
      <c r="O57" s="100"/>
    </row>
    <row r="58" spans="1:15" ht="15.75" thickBot="1">
      <c r="A58" s="2474" t="str">
        <f>'G.F. 0'!A58</f>
        <v>Total Gastos Fixos</v>
      </c>
      <c r="B58" s="2981">
        <f t="array" ref="B58:M58" ca="1">B27:M27+B55:M55</f>
        <v>1589.6986400000001</v>
      </c>
      <c r="C58" s="2982">
        <f ca="1"/>
        <v>1589.6986400000001</v>
      </c>
      <c r="D58" s="2982">
        <f ca="1"/>
        <v>1589.6986400000001</v>
      </c>
      <c r="E58" s="2982">
        <f ca="1"/>
        <v>1609.6355775000002</v>
      </c>
      <c r="F58" s="2982">
        <f ca="1"/>
        <v>1609.6355775000002</v>
      </c>
      <c r="G58" s="2982">
        <f ca="1"/>
        <v>1609.6355775000002</v>
      </c>
      <c r="H58" s="2982">
        <f ca="1"/>
        <v>1609.6355775000002</v>
      </c>
      <c r="I58" s="2982">
        <f ca="1"/>
        <v>1609.6355775000002</v>
      </c>
      <c r="J58" s="2982">
        <f ca="1"/>
        <v>1609.6355775000002</v>
      </c>
      <c r="K58" s="2982">
        <f ca="1"/>
        <v>1609.6355775000002</v>
      </c>
      <c r="L58" s="2982">
        <f ca="1"/>
        <v>1609.6355775000002</v>
      </c>
      <c r="M58" s="2983">
        <f ca="1"/>
        <v>1609.6355775000002</v>
      </c>
      <c r="N58" s="152">
        <f ca="1">N27+N55</f>
        <v>19255.816117499999</v>
      </c>
      <c r="O58" s="100"/>
    </row>
    <row r="59" spans="1:15" ht="15.75" thickBot="1">
      <c r="O59" s="100"/>
    </row>
    <row r="60" spans="1:15" ht="15.75" thickBot="1">
      <c r="A60" s="153" t="str">
        <f>'G.F. 0'!A60</f>
        <v>IVA deducível dos Gastos fixos</v>
      </c>
      <c r="B60" s="2984">
        <f ca="1">Parametros!$F$33*SUM(B37:B54)</f>
        <v>9.9022644000000017</v>
      </c>
      <c r="C60" s="2985">
        <f ca="1">Parametros!$F$33*SUM(C37:C54)</f>
        <v>9.9022644000000017</v>
      </c>
      <c r="D60" s="2985">
        <f ca="1">Parametros!$F$33*SUM(D37:D54)</f>
        <v>9.9022644000000017</v>
      </c>
      <c r="E60" s="2985">
        <f ca="1">Parametros!$F$33*SUM(E37:E54)</f>
        <v>9.9022644000000017</v>
      </c>
      <c r="F60" s="2985">
        <f ca="1">Parametros!$F$33*SUM(F37:F54)</f>
        <v>9.9022644000000017</v>
      </c>
      <c r="G60" s="2985">
        <f ca="1">Parametros!$F$33*SUM(G37:G54)</f>
        <v>9.9022644000000017</v>
      </c>
      <c r="H60" s="2985">
        <f ca="1">Parametros!$F$33*SUM(H37:H54)</f>
        <v>9.9022644000000017</v>
      </c>
      <c r="I60" s="2985">
        <f ca="1">Parametros!$F$33*SUM(I37:I54)</f>
        <v>9.9022644000000017</v>
      </c>
      <c r="J60" s="2985">
        <f ca="1">Parametros!$F$33*SUM(J37:J54)</f>
        <v>9.9022644000000017</v>
      </c>
      <c r="K60" s="2985">
        <f ca="1">Parametros!$F$33*SUM(K37:K54)</f>
        <v>9.9022644000000017</v>
      </c>
      <c r="L60" s="2985">
        <f ca="1">Parametros!$F$33*SUM(L37:L54)</f>
        <v>9.9022644000000017</v>
      </c>
      <c r="M60" s="2986">
        <f ca="1">Parametros!$F$33*SUM(M37:M54)</f>
        <v>9.9022644000000017</v>
      </c>
      <c r="N60" s="152">
        <f ca="1">SUM(B60:M60)</f>
        <v>118.82717280000004</v>
      </c>
    </row>
  </sheetData>
  <sheetProtection sheet="1" objects="1" scenarios="1"/>
  <phoneticPr fontId="4" type="noConversion"/>
  <printOptions horizontalCentered="1"/>
  <pageMargins left="0.75" right="0.75" top="0.6692913385826772" bottom="0.52" header="0" footer="0"/>
  <pageSetup paperSize="9" scale="59" orientation="landscape" horizont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5">
    <tabColor indexed="42"/>
    <pageSetUpPr fitToPage="1"/>
  </sheetPr>
  <dimension ref="A1:O60"/>
  <sheetViews>
    <sheetView workbookViewId="0"/>
  </sheetViews>
  <sheetFormatPr baseColWidth="10" defaultColWidth="11" defaultRowHeight="15"/>
  <cols>
    <col min="1" max="1" width="31.375" style="36" customWidth="1"/>
    <col min="2" max="13" width="11.125" style="36" customWidth="1"/>
    <col min="14" max="14" width="12.75" style="36" customWidth="1"/>
    <col min="15" max="15" width="10.375" style="36" customWidth="1"/>
    <col min="16" max="16384" width="11" style="36"/>
  </cols>
  <sheetData>
    <row r="1" spans="1:15" s="99" customFormat="1" ht="22.5">
      <c r="A1" s="68" t="str">
        <f>'G.F. 0'!A1</f>
        <v>Previsão de Gastos Fixos da empresa</v>
      </c>
      <c r="B1" s="68"/>
      <c r="C1" s="68"/>
      <c r="D1" s="68"/>
      <c r="E1" s="532" t="str">
        <f>Parametros!E$77</f>
        <v>Ano 3:  2029</v>
      </c>
      <c r="F1" s="68"/>
    </row>
    <row r="2" spans="1:15" s="99" customFormat="1" ht="22.5">
      <c r="A2" s="68" t="str">
        <f>'Dados Básicos'!B9</f>
        <v>WWW, S.L.</v>
      </c>
      <c r="B2" s="68"/>
      <c r="C2" s="68"/>
      <c r="D2" s="68"/>
      <c r="E2" s="68"/>
      <c r="F2" s="68"/>
      <c r="G2" s="68"/>
    </row>
    <row r="3" spans="1:15" ht="15.75" thickBot="1">
      <c r="B3" s="62"/>
      <c r="C3" s="62"/>
      <c r="D3" s="62"/>
      <c r="E3" s="62"/>
      <c r="F3" s="62"/>
      <c r="G3" s="62"/>
    </row>
    <row r="4" spans="1:15" ht="15.75" thickBot="1">
      <c r="A4" s="2851" t="str">
        <f>'G.F. 0'!A4</f>
        <v>Gastos de pessoal</v>
      </c>
      <c r="B4" s="164" t="str">
        <f t="array" ref="B4:M4">meses</f>
        <v>janeiro</v>
      </c>
      <c r="C4" s="165" t="str">
        <v>fevereiro</v>
      </c>
      <c r="D4" s="165" t="str">
        <v>março</v>
      </c>
      <c r="E4" s="165" t="str">
        <v>abril</v>
      </c>
      <c r="F4" s="165" t="str">
        <v>maio</v>
      </c>
      <c r="G4" s="165" t="str">
        <v>junho</v>
      </c>
      <c r="H4" s="165" t="str">
        <v>julho</v>
      </c>
      <c r="I4" s="165" t="str">
        <v>agosto</v>
      </c>
      <c r="J4" s="165" t="str">
        <v>setembro</v>
      </c>
      <c r="K4" s="165" t="str">
        <v>outubro</v>
      </c>
      <c r="L4" s="165" t="str">
        <v>novembro</v>
      </c>
      <c r="M4" s="166" t="str">
        <v>dezembro</v>
      </c>
      <c r="N4" s="105" t="str">
        <f>'G.F. 0'!N4</f>
        <v>Totais</v>
      </c>
      <c r="O4" s="105" t="s">
        <v>6</v>
      </c>
    </row>
    <row r="5" spans="1:15" ht="15.75" thickBot="1">
      <c r="A5" s="2137"/>
      <c r="B5" s="120"/>
      <c r="C5" s="121"/>
      <c r="D5" s="121"/>
      <c r="E5" s="121"/>
      <c r="F5" s="121"/>
      <c r="G5" s="121"/>
      <c r="H5" s="121"/>
      <c r="I5" s="121"/>
      <c r="J5" s="121"/>
      <c r="K5" s="121"/>
      <c r="L5" s="121"/>
      <c r="M5" s="122"/>
      <c r="N5" s="118"/>
      <c r="O5" s="119"/>
    </row>
    <row r="6" spans="1:15">
      <c r="A6" s="2849" t="str">
        <f>'G.F. 0'!A6</f>
        <v>Ordenados e salários</v>
      </c>
      <c r="B6" s="89"/>
      <c r="C6" s="90"/>
      <c r="D6" s="90"/>
      <c r="E6" s="90"/>
      <c r="F6" s="90"/>
      <c r="G6" s="90"/>
      <c r="H6" s="90"/>
      <c r="I6" s="90"/>
      <c r="J6" s="90"/>
      <c r="K6" s="90"/>
      <c r="L6" s="90"/>
      <c r="M6" s="91"/>
      <c r="N6" s="77"/>
      <c r="O6" s="107"/>
    </row>
    <row r="7" spans="1:15">
      <c r="A7" s="2852" t="str">
        <f t="array" ref="A7:A14">catlaborales</f>
        <v>Emprsários em nome individual</v>
      </c>
      <c r="B7" s="92">
        <f t="array" ref="B7:M14">'RR.HH.'!$E19:$E26*'Quadro Pessoal'!C66:N73</f>
        <v>1349.8368</v>
      </c>
      <c r="C7" s="93">
        <v>1349.8368</v>
      </c>
      <c r="D7" s="93">
        <v>1349.8368</v>
      </c>
      <c r="E7" s="93">
        <v>1349.8368</v>
      </c>
      <c r="F7" s="93">
        <v>1349.8368</v>
      </c>
      <c r="G7" s="93">
        <v>1349.8368</v>
      </c>
      <c r="H7" s="93">
        <v>1349.8368</v>
      </c>
      <c r="I7" s="93">
        <v>1349.8368</v>
      </c>
      <c r="J7" s="93">
        <v>1349.8368</v>
      </c>
      <c r="K7" s="93">
        <v>1349.8368</v>
      </c>
      <c r="L7" s="93">
        <v>1349.8368</v>
      </c>
      <c r="M7" s="94">
        <v>1349.8368</v>
      </c>
      <c r="N7" s="98">
        <f t="shared" ref="N7:N14" si="0">SUM(B7:M7)</f>
        <v>16198.041600000004</v>
      </c>
      <c r="O7" s="108">
        <f t="array" aca="1" ref="O7:O15" ca="1">N7:N15/$N$27</f>
        <v>0.82778179919769312</v>
      </c>
    </row>
    <row r="8" spans="1:15">
      <c r="A8" s="2852" t="str">
        <v>Outros trab. Independentes</v>
      </c>
      <c r="B8" s="92">
        <v>0</v>
      </c>
      <c r="C8" s="93">
        <v>0</v>
      </c>
      <c r="D8" s="93">
        <v>0</v>
      </c>
      <c r="E8" s="93">
        <v>0</v>
      </c>
      <c r="F8" s="93">
        <v>0</v>
      </c>
      <c r="G8" s="93">
        <v>0</v>
      </c>
      <c r="H8" s="93">
        <v>0</v>
      </c>
      <c r="I8" s="93">
        <v>0</v>
      </c>
      <c r="J8" s="93">
        <v>0</v>
      </c>
      <c r="K8" s="93">
        <v>0</v>
      </c>
      <c r="L8" s="93">
        <v>0</v>
      </c>
      <c r="M8" s="94">
        <v>0</v>
      </c>
      <c r="N8" s="98">
        <f t="shared" si="0"/>
        <v>0</v>
      </c>
      <c r="O8" s="108">
        <f ca="1"/>
        <v>0</v>
      </c>
    </row>
    <row r="9" spans="1:15">
      <c r="A9" s="2852" t="str">
        <v>Empregados</v>
      </c>
      <c r="B9" s="92">
        <v>0</v>
      </c>
      <c r="C9" s="93">
        <v>0</v>
      </c>
      <c r="D9" s="93">
        <v>0</v>
      </c>
      <c r="E9" s="93">
        <v>0</v>
      </c>
      <c r="F9" s="93">
        <v>0</v>
      </c>
      <c r="G9" s="93">
        <v>0</v>
      </c>
      <c r="H9" s="93">
        <v>0</v>
      </c>
      <c r="I9" s="93">
        <v>0</v>
      </c>
      <c r="J9" s="93">
        <v>0</v>
      </c>
      <c r="K9" s="93">
        <v>0</v>
      </c>
      <c r="L9" s="93">
        <v>0</v>
      </c>
      <c r="M9" s="94">
        <v>0</v>
      </c>
      <c r="N9" s="98">
        <f t="shared" si="0"/>
        <v>0</v>
      </c>
      <c r="O9" s="108">
        <f ca="1"/>
        <v>0</v>
      </c>
    </row>
    <row r="10" spans="1:15">
      <c r="A10" s="2852" t="str">
        <v/>
      </c>
      <c r="B10" s="92">
        <v>0</v>
      </c>
      <c r="C10" s="93">
        <v>0</v>
      </c>
      <c r="D10" s="93">
        <v>0</v>
      </c>
      <c r="E10" s="93">
        <v>0</v>
      </c>
      <c r="F10" s="93">
        <v>0</v>
      </c>
      <c r="G10" s="93">
        <v>0</v>
      </c>
      <c r="H10" s="93">
        <v>0</v>
      </c>
      <c r="I10" s="93">
        <v>0</v>
      </c>
      <c r="J10" s="93">
        <v>0</v>
      </c>
      <c r="K10" s="93">
        <v>0</v>
      </c>
      <c r="L10" s="93">
        <v>0</v>
      </c>
      <c r="M10" s="94">
        <v>0</v>
      </c>
      <c r="N10" s="98">
        <f t="shared" si="0"/>
        <v>0</v>
      </c>
      <c r="O10" s="108">
        <f ca="1"/>
        <v>0</v>
      </c>
    </row>
    <row r="11" spans="1:15">
      <c r="A11" s="2852" t="str">
        <v/>
      </c>
      <c r="B11" s="92">
        <v>0</v>
      </c>
      <c r="C11" s="93">
        <v>0</v>
      </c>
      <c r="D11" s="93">
        <v>0</v>
      </c>
      <c r="E11" s="93">
        <v>0</v>
      </c>
      <c r="F11" s="93">
        <v>0</v>
      </c>
      <c r="G11" s="93">
        <v>0</v>
      </c>
      <c r="H11" s="93">
        <v>0</v>
      </c>
      <c r="I11" s="93">
        <v>0</v>
      </c>
      <c r="J11" s="93">
        <v>0</v>
      </c>
      <c r="K11" s="93">
        <v>0</v>
      </c>
      <c r="L11" s="93">
        <v>0</v>
      </c>
      <c r="M11" s="94">
        <v>0</v>
      </c>
      <c r="N11" s="98">
        <f t="shared" si="0"/>
        <v>0</v>
      </c>
      <c r="O11" s="108">
        <f ca="1"/>
        <v>0</v>
      </c>
    </row>
    <row r="12" spans="1:15">
      <c r="A12" s="2852" t="str">
        <v/>
      </c>
      <c r="B12" s="92">
        <v>0</v>
      </c>
      <c r="C12" s="93">
        <v>0</v>
      </c>
      <c r="D12" s="93">
        <v>0</v>
      </c>
      <c r="E12" s="93">
        <v>0</v>
      </c>
      <c r="F12" s="93">
        <v>0</v>
      </c>
      <c r="G12" s="93">
        <v>0</v>
      </c>
      <c r="H12" s="93">
        <v>0</v>
      </c>
      <c r="I12" s="93">
        <v>0</v>
      </c>
      <c r="J12" s="93">
        <v>0</v>
      </c>
      <c r="K12" s="93">
        <v>0</v>
      </c>
      <c r="L12" s="93">
        <v>0</v>
      </c>
      <c r="M12" s="94">
        <v>0</v>
      </c>
      <c r="N12" s="98">
        <f t="shared" si="0"/>
        <v>0</v>
      </c>
      <c r="O12" s="108">
        <f ca="1"/>
        <v>0</v>
      </c>
    </row>
    <row r="13" spans="1:15">
      <c r="A13" s="2852" t="str">
        <v/>
      </c>
      <c r="B13" s="92">
        <v>0</v>
      </c>
      <c r="C13" s="93">
        <v>0</v>
      </c>
      <c r="D13" s="93">
        <v>0</v>
      </c>
      <c r="E13" s="93">
        <v>0</v>
      </c>
      <c r="F13" s="93">
        <v>0</v>
      </c>
      <c r="G13" s="93">
        <v>0</v>
      </c>
      <c r="H13" s="93">
        <v>0</v>
      </c>
      <c r="I13" s="93">
        <v>0</v>
      </c>
      <c r="J13" s="93">
        <v>0</v>
      </c>
      <c r="K13" s="93">
        <v>0</v>
      </c>
      <c r="L13" s="93">
        <v>0</v>
      </c>
      <c r="M13" s="94">
        <v>0</v>
      </c>
      <c r="N13" s="98">
        <f t="shared" si="0"/>
        <v>0</v>
      </c>
      <c r="O13" s="108">
        <f ca="1"/>
        <v>0</v>
      </c>
    </row>
    <row r="14" spans="1:15">
      <c r="A14" s="2852" t="str">
        <v/>
      </c>
      <c r="B14" s="92">
        <v>0</v>
      </c>
      <c r="C14" s="93">
        <v>0</v>
      </c>
      <c r="D14" s="93">
        <v>0</v>
      </c>
      <c r="E14" s="93">
        <v>0</v>
      </c>
      <c r="F14" s="93">
        <v>0</v>
      </c>
      <c r="G14" s="93">
        <v>0</v>
      </c>
      <c r="H14" s="93">
        <v>0</v>
      </c>
      <c r="I14" s="93">
        <v>0</v>
      </c>
      <c r="J14" s="93">
        <v>0</v>
      </c>
      <c r="K14" s="93">
        <v>0</v>
      </c>
      <c r="L14" s="93">
        <v>0</v>
      </c>
      <c r="M14" s="94">
        <v>0</v>
      </c>
      <c r="N14" s="98">
        <f t="shared" si="0"/>
        <v>0</v>
      </c>
      <c r="O14" s="108">
        <f ca="1"/>
        <v>0</v>
      </c>
    </row>
    <row r="15" spans="1:15" ht="15.75" thickBot="1">
      <c r="A15" s="2850" t="str">
        <f>'G.F. 0'!A15</f>
        <v>Total Ordenados e salários</v>
      </c>
      <c r="B15" s="144">
        <f t="shared" ref="B15:M15" si="1">SUM(B7:B14)</f>
        <v>1349.8368</v>
      </c>
      <c r="C15" s="145">
        <f t="shared" si="1"/>
        <v>1349.8368</v>
      </c>
      <c r="D15" s="145">
        <f t="shared" si="1"/>
        <v>1349.8368</v>
      </c>
      <c r="E15" s="145">
        <f t="shared" si="1"/>
        <v>1349.8368</v>
      </c>
      <c r="F15" s="145">
        <f t="shared" si="1"/>
        <v>1349.8368</v>
      </c>
      <c r="G15" s="145">
        <f t="shared" si="1"/>
        <v>1349.8368</v>
      </c>
      <c r="H15" s="145">
        <f t="shared" si="1"/>
        <v>1349.8368</v>
      </c>
      <c r="I15" s="145">
        <f t="shared" si="1"/>
        <v>1349.8368</v>
      </c>
      <c r="J15" s="145">
        <f t="shared" si="1"/>
        <v>1349.8368</v>
      </c>
      <c r="K15" s="145">
        <f t="shared" si="1"/>
        <v>1349.8368</v>
      </c>
      <c r="L15" s="145">
        <f t="shared" si="1"/>
        <v>1349.8368</v>
      </c>
      <c r="M15" s="146">
        <f t="shared" si="1"/>
        <v>1349.8368</v>
      </c>
      <c r="N15" s="143">
        <f>SUM(B15:M15)</f>
        <v>16198.041600000004</v>
      </c>
      <c r="O15" s="112">
        <f ca="1"/>
        <v>0.82778179919769312</v>
      </c>
    </row>
    <row r="16" spans="1:15" ht="15.75" thickBot="1">
      <c r="A16" s="2853"/>
      <c r="B16" s="134"/>
      <c r="C16" s="135"/>
      <c r="D16" s="135"/>
      <c r="E16" s="135"/>
      <c r="F16" s="135"/>
      <c r="G16" s="135"/>
      <c r="H16" s="135"/>
      <c r="I16" s="135"/>
      <c r="J16" s="135"/>
      <c r="K16" s="135"/>
      <c r="L16" s="135"/>
      <c r="M16" s="136"/>
      <c r="N16" s="130"/>
      <c r="O16" s="131"/>
    </row>
    <row r="17" spans="1:15">
      <c r="A17" s="2849" t="str">
        <f t="array" ref="A17:A20">'G.F. 0'!A17:A20</f>
        <v>Seguros Sociáis</v>
      </c>
      <c r="B17" s="89"/>
      <c r="C17" s="90"/>
      <c r="D17" s="90"/>
      <c r="E17" s="90"/>
      <c r="F17" s="90"/>
      <c r="G17" s="90"/>
      <c r="H17" s="90"/>
      <c r="I17" s="90"/>
      <c r="J17" s="90"/>
      <c r="K17" s="90"/>
      <c r="L17" s="90"/>
      <c r="M17" s="91"/>
      <c r="N17" s="138"/>
      <c r="O17" s="107"/>
    </row>
    <row r="18" spans="1:15">
      <c r="A18" s="151" t="str">
        <v>Seg. Social Sócios (Trab. Independentes)</v>
      </c>
      <c r="B18" s="92">
        <f t="array" ref="B18:M18" ca="1">'Seguridade Sócial'!B44:M44*('Quadro Pessoal'!C66:N66+'Quadro Pessoal'!C67:N67)</f>
        <v>264.5619375</v>
      </c>
      <c r="C18" s="93">
        <f ca="1"/>
        <v>264.5619375</v>
      </c>
      <c r="D18" s="93">
        <f ca="1"/>
        <v>264.5619375</v>
      </c>
      <c r="E18" s="93">
        <f ca="1"/>
        <v>286.25349673749997</v>
      </c>
      <c r="F18" s="93">
        <f ca="1"/>
        <v>286.25349673749997</v>
      </c>
      <c r="G18" s="93">
        <f ca="1"/>
        <v>286.25349673749997</v>
      </c>
      <c r="H18" s="93">
        <f ca="1"/>
        <v>286.25349673749997</v>
      </c>
      <c r="I18" s="93">
        <f ca="1"/>
        <v>286.25349673749997</v>
      </c>
      <c r="J18" s="93">
        <f ca="1"/>
        <v>286.25349673749997</v>
      </c>
      <c r="K18" s="93">
        <f ca="1"/>
        <v>286.25349673749997</v>
      </c>
      <c r="L18" s="93">
        <f ca="1"/>
        <v>286.25349673749997</v>
      </c>
      <c r="M18" s="94">
        <f ca="1"/>
        <v>286.25349673749997</v>
      </c>
      <c r="N18" s="98">
        <f ca="1">SUM(B18:M18)</f>
        <v>3369.9672831374996</v>
      </c>
      <c r="O18" s="108">
        <f t="array" ref="O18:O20" ca="1">N18:N20/$N$27</f>
        <v>0.1722182008023069</v>
      </c>
    </row>
    <row r="19" spans="1:15">
      <c r="A19" s="151" t="str">
        <v>Seg. Social Empregados</v>
      </c>
      <c r="B19" s="92">
        <f t="array" ref="B19">SUM(B9:B14*'RR.HH.'!$E39:$E44)</f>
        <v>0</v>
      </c>
      <c r="C19" s="93">
        <f t="array" ref="C19">SUM(C9:C14*'RR.HH.'!$E39:$E44)</f>
        <v>0</v>
      </c>
      <c r="D19" s="93">
        <f t="array" ref="D19">SUM(D9:D14*'RR.HH.'!$E39:$E44)</f>
        <v>0</v>
      </c>
      <c r="E19" s="93">
        <f t="array" ref="E19">SUM(E9:E14*'RR.HH.'!$E39:$E44)</f>
        <v>0</v>
      </c>
      <c r="F19" s="93">
        <f t="array" ref="F19">SUM(F9:F14*'RR.HH.'!$E39:$E44)</f>
        <v>0</v>
      </c>
      <c r="G19" s="93">
        <f t="array" ref="G19">SUM(G9:G14*'RR.HH.'!$E39:$E44)</f>
        <v>0</v>
      </c>
      <c r="H19" s="93">
        <f t="array" ref="H19">SUM(H9:H14*'RR.HH.'!$E39:$E44)</f>
        <v>0</v>
      </c>
      <c r="I19" s="93">
        <f t="array" ref="I19">SUM(I9:I14*'RR.HH.'!$E39:$E44)</f>
        <v>0</v>
      </c>
      <c r="J19" s="93">
        <f t="array" ref="J19">SUM(J9:J14*'RR.HH.'!$E39:$E44)</f>
        <v>0</v>
      </c>
      <c r="K19" s="93">
        <f t="array" ref="K19">SUM(K9:K14*'RR.HH.'!$E39:$E44)</f>
        <v>0</v>
      </c>
      <c r="L19" s="93">
        <f t="array" ref="L19">SUM(L9:L14*'RR.HH.'!$E39:$E44)</f>
        <v>0</v>
      </c>
      <c r="M19" s="94">
        <f t="array" ref="M19">SUM(M9:M14*'RR.HH.'!$E39:$E44)</f>
        <v>0</v>
      </c>
      <c r="N19" s="98">
        <f>SUM(B19:M19)</f>
        <v>0</v>
      </c>
      <c r="O19" s="108">
        <f ca="1"/>
        <v>0</v>
      </c>
    </row>
    <row r="20" spans="1:15" ht="15.75" thickBot="1">
      <c r="A20" s="2850" t="str">
        <v>Total Seguros Sociáis</v>
      </c>
      <c r="B20" s="144">
        <f t="shared" ref="B20:M20" ca="1" si="2">SUM(B18:B19)</f>
        <v>264.5619375</v>
      </c>
      <c r="C20" s="145">
        <f t="shared" ca="1" si="2"/>
        <v>264.5619375</v>
      </c>
      <c r="D20" s="145">
        <f t="shared" ca="1" si="2"/>
        <v>264.5619375</v>
      </c>
      <c r="E20" s="145">
        <f t="shared" ca="1" si="2"/>
        <v>286.25349673749997</v>
      </c>
      <c r="F20" s="145">
        <f t="shared" ca="1" si="2"/>
        <v>286.25349673749997</v>
      </c>
      <c r="G20" s="145">
        <f t="shared" ca="1" si="2"/>
        <v>286.25349673749997</v>
      </c>
      <c r="H20" s="145">
        <f t="shared" ca="1" si="2"/>
        <v>286.25349673749997</v>
      </c>
      <c r="I20" s="145">
        <f t="shared" ca="1" si="2"/>
        <v>286.25349673749997</v>
      </c>
      <c r="J20" s="145">
        <f t="shared" ca="1" si="2"/>
        <v>286.25349673749997</v>
      </c>
      <c r="K20" s="145">
        <f t="shared" ca="1" si="2"/>
        <v>286.25349673749997</v>
      </c>
      <c r="L20" s="145">
        <f t="shared" ca="1" si="2"/>
        <v>286.25349673749997</v>
      </c>
      <c r="M20" s="146">
        <f t="shared" ca="1" si="2"/>
        <v>286.25349673749997</v>
      </c>
      <c r="N20" s="143">
        <f ca="1">SUM(B20:M20)</f>
        <v>3369.9672831374996</v>
      </c>
      <c r="O20" s="112">
        <f ca="1"/>
        <v>0.1722182008023069</v>
      </c>
    </row>
    <row r="21" spans="1:15" ht="15.75" thickBot="1">
      <c r="A21" s="2853"/>
      <c r="B21" s="134"/>
      <c r="C21" s="135"/>
      <c r="D21" s="135"/>
      <c r="E21" s="135"/>
      <c r="F21" s="135"/>
      <c r="G21" s="135"/>
      <c r="H21" s="135"/>
      <c r="I21" s="135"/>
      <c r="J21" s="135"/>
      <c r="K21" s="135"/>
      <c r="L21" s="135"/>
      <c r="M21" s="136"/>
      <c r="N21" s="130"/>
      <c r="O21" s="131"/>
    </row>
    <row r="22" spans="1:15">
      <c r="A22" s="2849" t="str">
        <f t="array" ref="A22:A25">'G.F. 0'!A22:A25</f>
        <v>Altas e baixas do pessoal</v>
      </c>
      <c r="B22" s="89"/>
      <c r="C22" s="90"/>
      <c r="D22" s="90"/>
      <c r="E22" s="90"/>
      <c r="F22" s="90"/>
      <c r="G22" s="90"/>
      <c r="H22" s="90"/>
      <c r="I22" s="90"/>
      <c r="J22" s="90"/>
      <c r="K22" s="90"/>
      <c r="L22" s="90"/>
      <c r="M22" s="91"/>
      <c r="N22" s="138"/>
      <c r="O22" s="107"/>
    </row>
    <row r="23" spans="1:15">
      <c r="A23" s="151" t="str">
        <v>Altas e baixas de sócios</v>
      </c>
      <c r="B23" s="95">
        <f t="array" ref="B23:M24">'RR.HH.'!$E53:$E54*'Quadro Pessoal'!C77:N78</f>
        <v>0</v>
      </c>
      <c r="C23" s="96">
        <v>0</v>
      </c>
      <c r="D23" s="96">
        <v>0</v>
      </c>
      <c r="E23" s="96">
        <v>0</v>
      </c>
      <c r="F23" s="96">
        <v>0</v>
      </c>
      <c r="G23" s="96">
        <v>0</v>
      </c>
      <c r="H23" s="96">
        <v>0</v>
      </c>
      <c r="I23" s="96">
        <v>0</v>
      </c>
      <c r="J23" s="96">
        <v>0</v>
      </c>
      <c r="K23" s="96">
        <v>0</v>
      </c>
      <c r="L23" s="96">
        <v>0</v>
      </c>
      <c r="M23" s="97">
        <v>0</v>
      </c>
      <c r="N23" s="98">
        <f>SUM(B23:M23)</f>
        <v>0</v>
      </c>
      <c r="O23" s="108">
        <f t="array" aca="1" ref="O23:O25" ca="1">N23:N25/$N$27</f>
        <v>0</v>
      </c>
    </row>
    <row r="24" spans="1:15">
      <c r="A24" s="151" t="str">
        <v>Altas de empregados</v>
      </c>
      <c r="B24" s="95">
        <v>0</v>
      </c>
      <c r="C24" s="96">
        <v>0</v>
      </c>
      <c r="D24" s="96">
        <v>0</v>
      </c>
      <c r="E24" s="96">
        <v>0</v>
      </c>
      <c r="F24" s="96">
        <v>0</v>
      </c>
      <c r="G24" s="96">
        <v>0</v>
      </c>
      <c r="H24" s="96">
        <v>0</v>
      </c>
      <c r="I24" s="96">
        <v>0</v>
      </c>
      <c r="J24" s="96">
        <v>0</v>
      </c>
      <c r="K24" s="96">
        <v>0</v>
      </c>
      <c r="L24" s="96">
        <v>0</v>
      </c>
      <c r="M24" s="97">
        <v>0</v>
      </c>
      <c r="N24" s="98">
        <f>SUM(B24:M24)</f>
        <v>0</v>
      </c>
      <c r="O24" s="108">
        <f ca="1"/>
        <v>0</v>
      </c>
    </row>
    <row r="25" spans="1:15" ht="15.75" thickBot="1">
      <c r="A25" s="2850" t="str">
        <v>Total Altas e baixas do pessoal</v>
      </c>
      <c r="B25" s="144">
        <f>SUM(B23:B24)</f>
        <v>0</v>
      </c>
      <c r="C25" s="145">
        <f t="shared" ref="C25:M25" si="3">SUM(C23:C24)</f>
        <v>0</v>
      </c>
      <c r="D25" s="145">
        <f t="shared" si="3"/>
        <v>0</v>
      </c>
      <c r="E25" s="145">
        <f t="shared" si="3"/>
        <v>0</v>
      </c>
      <c r="F25" s="145">
        <f t="shared" si="3"/>
        <v>0</v>
      </c>
      <c r="G25" s="145">
        <f t="shared" si="3"/>
        <v>0</v>
      </c>
      <c r="H25" s="145">
        <f t="shared" si="3"/>
        <v>0</v>
      </c>
      <c r="I25" s="145">
        <f t="shared" si="3"/>
        <v>0</v>
      </c>
      <c r="J25" s="145">
        <f t="shared" si="3"/>
        <v>0</v>
      </c>
      <c r="K25" s="145">
        <f t="shared" si="3"/>
        <v>0</v>
      </c>
      <c r="L25" s="145">
        <f t="shared" si="3"/>
        <v>0</v>
      </c>
      <c r="M25" s="146">
        <f t="shared" si="3"/>
        <v>0</v>
      </c>
      <c r="N25" s="143">
        <f>SUM(B25:M25)</f>
        <v>0</v>
      </c>
      <c r="O25" s="112">
        <f ca="1"/>
        <v>0</v>
      </c>
    </row>
    <row r="26" spans="1:15" ht="15.75" thickBot="1">
      <c r="A26" s="2854"/>
      <c r="B26" s="148"/>
      <c r="C26" s="132"/>
      <c r="D26" s="132"/>
      <c r="E26" s="132"/>
      <c r="F26" s="132"/>
      <c r="G26" s="132"/>
      <c r="H26" s="132"/>
      <c r="I26" s="132"/>
      <c r="J26" s="132"/>
      <c r="K26" s="132"/>
      <c r="L26" s="132"/>
      <c r="M26" s="133"/>
      <c r="N26" s="125"/>
      <c r="O26" s="126"/>
    </row>
    <row r="27" spans="1:15" ht="15.75" thickBot="1">
      <c r="A27" s="2472" t="str">
        <f>'G.F. 0'!A27</f>
        <v>Total Gastos de pessoal</v>
      </c>
      <c r="B27" s="2979">
        <f t="shared" ref="B27:N27" ca="1" si="4">B25+B20+B15</f>
        <v>1614.3987375000002</v>
      </c>
      <c r="C27" s="2980">
        <f t="shared" ca="1" si="4"/>
        <v>1614.3987375000002</v>
      </c>
      <c r="D27" s="2980">
        <f t="shared" ca="1" si="4"/>
        <v>1614.3987375000002</v>
      </c>
      <c r="E27" s="2980">
        <f t="shared" ca="1" si="4"/>
        <v>1636.0902967375</v>
      </c>
      <c r="F27" s="2980">
        <f t="shared" ca="1" si="4"/>
        <v>1636.0902967375</v>
      </c>
      <c r="G27" s="2980">
        <f t="shared" ca="1" si="4"/>
        <v>1636.0902967375</v>
      </c>
      <c r="H27" s="2980">
        <f t="shared" ca="1" si="4"/>
        <v>1636.0902967375</v>
      </c>
      <c r="I27" s="2980">
        <f t="shared" ca="1" si="4"/>
        <v>1636.0902967375</v>
      </c>
      <c r="J27" s="2980">
        <f t="shared" ca="1" si="4"/>
        <v>1636.0902967375</v>
      </c>
      <c r="K27" s="2980">
        <f t="shared" ca="1" si="4"/>
        <v>1636.0902967375</v>
      </c>
      <c r="L27" s="2980">
        <f t="shared" ca="1" si="4"/>
        <v>1636.0902967375</v>
      </c>
      <c r="M27" s="85">
        <f t="shared" ca="1" si="4"/>
        <v>1636.0902967375</v>
      </c>
      <c r="N27" s="84">
        <f t="shared" ca="1" si="4"/>
        <v>19568.008883137503</v>
      </c>
      <c r="O27" s="113">
        <f ca="1">N27/$N$58</f>
        <v>0.96972439999036464</v>
      </c>
    </row>
    <row r="28" spans="1:15">
      <c r="A28" s="102"/>
      <c r="B28" s="86"/>
      <c r="C28" s="86"/>
      <c r="D28" s="86"/>
      <c r="E28" s="86"/>
      <c r="F28" s="86"/>
      <c r="G28" s="86"/>
      <c r="H28" s="86"/>
      <c r="I28" s="86"/>
      <c r="J28" s="86"/>
      <c r="K28" s="86"/>
      <c r="L28" s="86"/>
      <c r="M28" s="86"/>
      <c r="N28" s="86"/>
      <c r="O28" s="103"/>
    </row>
    <row r="29" spans="1:15">
      <c r="A29" s="88"/>
      <c r="B29" s="86"/>
      <c r="C29" s="86"/>
      <c r="D29" s="86"/>
      <c r="E29" s="86"/>
      <c r="F29" s="86"/>
      <c r="G29" s="86"/>
      <c r="H29" s="86"/>
      <c r="I29" s="86"/>
      <c r="J29" s="86"/>
      <c r="K29" s="86"/>
      <c r="L29" s="86"/>
      <c r="M29" s="86"/>
      <c r="N29" s="86"/>
      <c r="O29" s="100"/>
    </row>
    <row r="30" spans="1:15">
      <c r="A30" s="88"/>
      <c r="B30" s="86"/>
      <c r="C30" s="86"/>
      <c r="D30" s="86"/>
      <c r="E30" s="86"/>
      <c r="F30" s="86"/>
      <c r="G30" s="86"/>
      <c r="H30" s="86"/>
      <c r="I30" s="86"/>
      <c r="J30" s="86"/>
      <c r="K30" s="86"/>
      <c r="L30" s="86"/>
      <c r="M30" s="86"/>
      <c r="N30" s="86"/>
      <c r="O30" s="100"/>
    </row>
    <row r="31" spans="1:15" ht="15.75" thickBot="1">
      <c r="A31" s="88"/>
      <c r="B31" s="86"/>
      <c r="C31" s="86"/>
      <c r="D31" s="86"/>
      <c r="E31" s="86"/>
      <c r="F31" s="86"/>
      <c r="G31" s="86"/>
      <c r="H31" s="86"/>
      <c r="I31" s="86"/>
      <c r="J31" s="86"/>
      <c r="K31" s="86"/>
      <c r="L31" s="86"/>
      <c r="M31" s="86"/>
      <c r="N31" s="86"/>
      <c r="O31" s="100"/>
    </row>
    <row r="32" spans="1:15" ht="15.75" thickBot="1">
      <c r="A32" s="155" t="str">
        <f>'G.F. 0'!A32</f>
        <v>Outros gastos fixos</v>
      </c>
      <c r="B32" s="164" t="str">
        <f t="array" ref="B32:M32">meses</f>
        <v>janeiro</v>
      </c>
      <c r="C32" s="165" t="str">
        <v>fevereiro</v>
      </c>
      <c r="D32" s="165" t="str">
        <v>março</v>
      </c>
      <c r="E32" s="165" t="str">
        <v>abril</v>
      </c>
      <c r="F32" s="165" t="str">
        <v>maio</v>
      </c>
      <c r="G32" s="165" t="str">
        <v>junho</v>
      </c>
      <c r="H32" s="165" t="str">
        <v>julho</v>
      </c>
      <c r="I32" s="165" t="str">
        <v>agosto</v>
      </c>
      <c r="J32" s="165" t="str">
        <v>setembro</v>
      </c>
      <c r="K32" s="165" t="str">
        <v>outubro</v>
      </c>
      <c r="L32" s="165" t="str">
        <v>novembro</v>
      </c>
      <c r="M32" s="166" t="str">
        <v>dezembro</v>
      </c>
      <c r="N32" s="105" t="str">
        <f>'G.F. 0'!N32</f>
        <v>Totais</v>
      </c>
      <c r="O32" s="105" t="s">
        <v>6</v>
      </c>
    </row>
    <row r="33" spans="1:15">
      <c r="A33" s="111" t="str">
        <f t="array" ref="A33:A54">'Despesas Fixas Dados'!A6:A27</f>
        <v>Impostos: IAE, IBI, ...</v>
      </c>
      <c r="B33" s="156">
        <f t="array" ref="B33:M54">IFERROR('Despesas Fixas Dados'!$W6:$W27*'G.F. 2'!$B33:$M54/'G.F. 2'!$N33:$N54,'Despesas Fixas Dados'!$W6:$W27/12)</f>
        <v>0</v>
      </c>
      <c r="C33" s="157">
        <v>0</v>
      </c>
      <c r="D33" s="157">
        <v>0</v>
      </c>
      <c r="E33" s="157">
        <v>0</v>
      </c>
      <c r="F33" s="157">
        <v>0</v>
      </c>
      <c r="G33" s="157">
        <v>0</v>
      </c>
      <c r="H33" s="157">
        <v>0</v>
      </c>
      <c r="I33" s="157">
        <v>0</v>
      </c>
      <c r="J33" s="157">
        <v>0</v>
      </c>
      <c r="K33" s="157">
        <v>0</v>
      </c>
      <c r="L33" s="157">
        <v>0</v>
      </c>
      <c r="M33" s="158">
        <v>0</v>
      </c>
      <c r="N33" s="162">
        <f t="shared" ref="N33:N54" si="5">SUM(B33:M33)</f>
        <v>0</v>
      </c>
      <c r="O33" s="107">
        <f t="array" aca="1" ref="O33:O54" ca="1">N33:N54/$N$58</f>
        <v>0</v>
      </c>
    </row>
    <row r="34" spans="1:15">
      <c r="A34" s="110" t="str">
        <v>Outras despesas fixas ( Sem IVA )</v>
      </c>
      <c r="B34" s="78">
        <v>0</v>
      </c>
      <c r="C34" s="79">
        <v>0</v>
      </c>
      <c r="D34" s="79">
        <v>0</v>
      </c>
      <c r="E34" s="79">
        <v>0</v>
      </c>
      <c r="F34" s="79">
        <v>0</v>
      </c>
      <c r="G34" s="79">
        <v>0</v>
      </c>
      <c r="H34" s="79">
        <v>0</v>
      </c>
      <c r="I34" s="79">
        <v>0</v>
      </c>
      <c r="J34" s="79">
        <v>0</v>
      </c>
      <c r="K34" s="79">
        <v>0</v>
      </c>
      <c r="L34" s="79">
        <v>0</v>
      </c>
      <c r="M34" s="80">
        <v>0</v>
      </c>
      <c r="N34" s="163">
        <f t="shared" si="5"/>
        <v>0</v>
      </c>
      <c r="O34" s="108">
        <f ca="1"/>
        <v>0</v>
      </c>
    </row>
    <row r="35" spans="1:15">
      <c r="A35" s="110" t="str">
        <v>Priémios de Seguros</v>
      </c>
      <c r="B35" s="78">
        <v>0</v>
      </c>
      <c r="C35" s="79">
        <v>0</v>
      </c>
      <c r="D35" s="79">
        <v>0</v>
      </c>
      <c r="E35" s="79">
        <v>0</v>
      </c>
      <c r="F35" s="79">
        <v>0</v>
      </c>
      <c r="G35" s="79">
        <v>0</v>
      </c>
      <c r="H35" s="79">
        <v>0</v>
      </c>
      <c r="I35" s="79">
        <v>0</v>
      </c>
      <c r="J35" s="79">
        <v>0</v>
      </c>
      <c r="K35" s="79">
        <v>0</v>
      </c>
      <c r="L35" s="79">
        <v>0</v>
      </c>
      <c r="M35" s="80">
        <v>0</v>
      </c>
      <c r="N35" s="163">
        <f t="shared" si="5"/>
        <v>0</v>
      </c>
      <c r="O35" s="108">
        <f ca="1"/>
        <v>0</v>
      </c>
    </row>
    <row r="36" spans="1:15">
      <c r="A36" s="110" t="str">
        <v>Ordem / asociação profissional</v>
      </c>
      <c r="B36" s="78">
        <v>0</v>
      </c>
      <c r="C36" s="79">
        <v>0</v>
      </c>
      <c r="D36" s="79">
        <v>0</v>
      </c>
      <c r="E36" s="79">
        <v>0</v>
      </c>
      <c r="F36" s="79">
        <v>0</v>
      </c>
      <c r="G36" s="79">
        <v>0</v>
      </c>
      <c r="H36" s="79">
        <v>0</v>
      </c>
      <c r="I36" s="79">
        <v>0</v>
      </c>
      <c r="J36" s="79">
        <v>0</v>
      </c>
      <c r="K36" s="79">
        <v>0</v>
      </c>
      <c r="L36" s="79">
        <v>0</v>
      </c>
      <c r="M36" s="80">
        <v>0</v>
      </c>
      <c r="N36" s="163">
        <f t="shared" si="5"/>
        <v>0</v>
      </c>
      <c r="O36" s="108">
        <f ca="1"/>
        <v>0</v>
      </c>
    </row>
    <row r="37" spans="1:15">
      <c r="A37" s="110" t="str">
        <v>Suministro de Electricidade</v>
      </c>
      <c r="B37" s="78">
        <v>0</v>
      </c>
      <c r="C37" s="79">
        <v>0</v>
      </c>
      <c r="D37" s="79">
        <v>0</v>
      </c>
      <c r="E37" s="79">
        <v>0</v>
      </c>
      <c r="F37" s="79">
        <v>0</v>
      </c>
      <c r="G37" s="79">
        <v>0</v>
      </c>
      <c r="H37" s="79">
        <v>0</v>
      </c>
      <c r="I37" s="79">
        <v>0</v>
      </c>
      <c r="J37" s="79">
        <v>0</v>
      </c>
      <c r="K37" s="79">
        <v>0</v>
      </c>
      <c r="L37" s="79">
        <v>0</v>
      </c>
      <c r="M37" s="80">
        <v>0</v>
      </c>
      <c r="N37" s="163">
        <f t="shared" si="5"/>
        <v>0</v>
      </c>
      <c r="O37" s="108">
        <f ca="1"/>
        <v>0</v>
      </c>
    </row>
    <row r="38" spans="1:15">
      <c r="A38" s="110" t="str">
        <v>Cuotas periódicas software e IA</v>
      </c>
      <c r="B38" s="78">
        <v>0</v>
      </c>
      <c r="C38" s="79">
        <v>0</v>
      </c>
      <c r="D38" s="79">
        <v>0</v>
      </c>
      <c r="E38" s="79">
        <v>0</v>
      </c>
      <c r="F38" s="79">
        <v>0</v>
      </c>
      <c r="G38" s="79">
        <v>0</v>
      </c>
      <c r="H38" s="79">
        <v>0</v>
      </c>
      <c r="I38" s="79">
        <v>0</v>
      </c>
      <c r="J38" s="79">
        <v>0</v>
      </c>
      <c r="K38" s="79">
        <v>0</v>
      </c>
      <c r="L38" s="79">
        <v>0</v>
      </c>
      <c r="M38" s="80">
        <v>0</v>
      </c>
      <c r="N38" s="163">
        <f t="shared" si="5"/>
        <v>0</v>
      </c>
      <c r="O38" s="108">
        <f ca="1"/>
        <v>0</v>
      </c>
    </row>
    <row r="39" spans="1:15">
      <c r="A39" s="110" t="str">
        <v>Água, taxas saneamiento e lixo</v>
      </c>
      <c r="B39" s="78">
        <v>0</v>
      </c>
      <c r="C39" s="79">
        <v>0</v>
      </c>
      <c r="D39" s="79">
        <v>0</v>
      </c>
      <c r="E39" s="79">
        <v>0</v>
      </c>
      <c r="F39" s="79">
        <v>0</v>
      </c>
      <c r="G39" s="79">
        <v>0</v>
      </c>
      <c r="H39" s="79">
        <v>0</v>
      </c>
      <c r="I39" s="79">
        <v>0</v>
      </c>
      <c r="J39" s="79">
        <v>0</v>
      </c>
      <c r="K39" s="79">
        <v>0</v>
      </c>
      <c r="L39" s="79">
        <v>0</v>
      </c>
      <c r="M39" s="80">
        <v>0</v>
      </c>
      <c r="N39" s="163">
        <f t="shared" si="5"/>
        <v>0</v>
      </c>
      <c r="O39" s="108">
        <f ca="1"/>
        <v>0</v>
      </c>
    </row>
    <row r="40" spans="1:15">
      <c r="A40" s="110" t="str">
        <v>Outros suministros (gaz, etc.)</v>
      </c>
      <c r="B40" s="78">
        <v>0</v>
      </c>
      <c r="C40" s="79">
        <v>0</v>
      </c>
      <c r="D40" s="79">
        <v>0</v>
      </c>
      <c r="E40" s="79">
        <v>0</v>
      </c>
      <c r="F40" s="79">
        <v>0</v>
      </c>
      <c r="G40" s="79">
        <v>0</v>
      </c>
      <c r="H40" s="79">
        <v>0</v>
      </c>
      <c r="I40" s="79">
        <v>0</v>
      </c>
      <c r="J40" s="79">
        <v>0</v>
      </c>
      <c r="K40" s="79">
        <v>0</v>
      </c>
      <c r="L40" s="79">
        <v>0</v>
      </c>
      <c r="M40" s="80">
        <v>0</v>
      </c>
      <c r="N40" s="163">
        <f t="shared" si="5"/>
        <v>0</v>
      </c>
      <c r="O40" s="108">
        <f ca="1"/>
        <v>0</v>
      </c>
    </row>
    <row r="41" spans="1:15">
      <c r="A41" s="110" t="str">
        <v>Telefonia / Internet / Comunicações</v>
      </c>
      <c r="B41" s="78">
        <v>0</v>
      </c>
      <c r="C41" s="79">
        <v>0</v>
      </c>
      <c r="D41" s="79">
        <v>0</v>
      </c>
      <c r="E41" s="79">
        <v>0</v>
      </c>
      <c r="F41" s="79">
        <v>0</v>
      </c>
      <c r="G41" s="79">
        <v>0</v>
      </c>
      <c r="H41" s="79">
        <v>0</v>
      </c>
      <c r="I41" s="79">
        <v>0</v>
      </c>
      <c r="J41" s="79">
        <v>0</v>
      </c>
      <c r="K41" s="79">
        <v>0</v>
      </c>
      <c r="L41" s="79">
        <v>0</v>
      </c>
      <c r="M41" s="80">
        <v>0</v>
      </c>
      <c r="N41" s="163">
        <f t="shared" si="5"/>
        <v>0</v>
      </c>
      <c r="O41" s="108">
        <f ca="1"/>
        <v>0</v>
      </c>
    </row>
    <row r="42" spans="1:15">
      <c r="A42" s="110" t="str">
        <v>Alojamento e serviços web</v>
      </c>
      <c r="B42" s="78">
        <v>0</v>
      </c>
      <c r="C42" s="79">
        <v>0</v>
      </c>
      <c r="D42" s="79">
        <v>0</v>
      </c>
      <c r="E42" s="79">
        <v>0</v>
      </c>
      <c r="F42" s="79">
        <v>0</v>
      </c>
      <c r="G42" s="79">
        <v>0</v>
      </c>
      <c r="H42" s="79">
        <v>0</v>
      </c>
      <c r="I42" s="79">
        <v>0</v>
      </c>
      <c r="J42" s="79">
        <v>0</v>
      </c>
      <c r="K42" s="79">
        <v>0</v>
      </c>
      <c r="L42" s="79">
        <v>0</v>
      </c>
      <c r="M42" s="80">
        <v>0</v>
      </c>
      <c r="N42" s="163">
        <f t="shared" si="5"/>
        <v>0</v>
      </c>
      <c r="O42" s="108">
        <f ca="1"/>
        <v>0</v>
      </c>
    </row>
    <row r="43" spans="1:15">
      <c r="A43" s="110" t="str">
        <v>Alarma / Empresa de seguridade</v>
      </c>
      <c r="B43" s="78">
        <v>0</v>
      </c>
      <c r="C43" s="79">
        <v>0</v>
      </c>
      <c r="D43" s="79">
        <v>0</v>
      </c>
      <c r="E43" s="79">
        <v>0</v>
      </c>
      <c r="F43" s="79">
        <v>0</v>
      </c>
      <c r="G43" s="79">
        <v>0</v>
      </c>
      <c r="H43" s="79">
        <v>0</v>
      </c>
      <c r="I43" s="79">
        <v>0</v>
      </c>
      <c r="J43" s="79">
        <v>0</v>
      </c>
      <c r="K43" s="79">
        <v>0</v>
      </c>
      <c r="L43" s="79">
        <v>0</v>
      </c>
      <c r="M43" s="80">
        <v>0</v>
      </c>
      <c r="N43" s="163">
        <f t="shared" si="5"/>
        <v>0</v>
      </c>
      <c r="O43" s="108">
        <f ca="1"/>
        <v>0</v>
      </c>
    </row>
    <row r="44" spans="1:15">
      <c r="A44" s="110" t="str">
        <v>Material de escritório / papelaria</v>
      </c>
      <c r="B44" s="78">
        <v>0</v>
      </c>
      <c r="C44" s="79">
        <v>0</v>
      </c>
      <c r="D44" s="79">
        <v>0</v>
      </c>
      <c r="E44" s="79">
        <v>0</v>
      </c>
      <c r="F44" s="79">
        <v>0</v>
      </c>
      <c r="G44" s="79">
        <v>0</v>
      </c>
      <c r="H44" s="79">
        <v>0</v>
      </c>
      <c r="I44" s="79">
        <v>0</v>
      </c>
      <c r="J44" s="79">
        <v>0</v>
      </c>
      <c r="K44" s="79">
        <v>0</v>
      </c>
      <c r="L44" s="79">
        <v>0</v>
      </c>
      <c r="M44" s="80">
        <v>0</v>
      </c>
      <c r="N44" s="163">
        <f t="shared" si="5"/>
        <v>0</v>
      </c>
      <c r="O44" s="108">
        <f ca="1"/>
        <v>0</v>
      </c>
    </row>
    <row r="45" spans="1:15">
      <c r="A45" s="110" t="str">
        <v>Congresos / Salões / Viágems</v>
      </c>
      <c r="B45" s="78">
        <v>0</v>
      </c>
      <c r="C45" s="79">
        <v>0</v>
      </c>
      <c r="D45" s="79">
        <v>0</v>
      </c>
      <c r="E45" s="79">
        <v>0</v>
      </c>
      <c r="F45" s="79">
        <v>0</v>
      </c>
      <c r="G45" s="79">
        <v>0</v>
      </c>
      <c r="H45" s="79">
        <v>0</v>
      </c>
      <c r="I45" s="79">
        <v>0</v>
      </c>
      <c r="J45" s="79">
        <v>0</v>
      </c>
      <c r="K45" s="79">
        <v>0</v>
      </c>
      <c r="L45" s="79">
        <v>0</v>
      </c>
      <c r="M45" s="80">
        <v>0</v>
      </c>
      <c r="N45" s="163">
        <f t="shared" si="5"/>
        <v>0</v>
      </c>
      <c r="O45" s="108">
        <f ca="1"/>
        <v>0</v>
      </c>
    </row>
    <row r="46" spans="1:15">
      <c r="A46" s="110" t="str">
        <v>Transporte e desplaçamentos</v>
      </c>
      <c r="B46" s="78">
        <v>0</v>
      </c>
      <c r="C46" s="79">
        <v>0</v>
      </c>
      <c r="D46" s="79">
        <v>0</v>
      </c>
      <c r="E46" s="79">
        <v>0</v>
      </c>
      <c r="F46" s="79">
        <v>0</v>
      </c>
      <c r="G46" s="79">
        <v>0</v>
      </c>
      <c r="H46" s="79">
        <v>0</v>
      </c>
      <c r="I46" s="79">
        <v>0</v>
      </c>
      <c r="J46" s="79">
        <v>0</v>
      </c>
      <c r="K46" s="79">
        <v>0</v>
      </c>
      <c r="L46" s="79">
        <v>0</v>
      </c>
      <c r="M46" s="80">
        <v>0</v>
      </c>
      <c r="N46" s="163">
        <f t="shared" si="5"/>
        <v>0</v>
      </c>
      <c r="O46" s="108">
        <f ca="1"/>
        <v>0</v>
      </c>
    </row>
    <row r="47" spans="1:15">
      <c r="A47" s="110" t="str">
        <v>Asesoría e profissionais independentes</v>
      </c>
      <c r="B47" s="78">
        <v>0</v>
      </c>
      <c r="C47" s="79">
        <v>0</v>
      </c>
      <c r="D47" s="79">
        <v>0</v>
      </c>
      <c r="E47" s="79">
        <v>0</v>
      </c>
      <c r="F47" s="79">
        <v>0</v>
      </c>
      <c r="G47" s="79">
        <v>0</v>
      </c>
      <c r="H47" s="79">
        <v>0</v>
      </c>
      <c r="I47" s="79">
        <v>0</v>
      </c>
      <c r="J47" s="79">
        <v>0</v>
      </c>
      <c r="K47" s="79">
        <v>0</v>
      </c>
      <c r="L47" s="79">
        <v>0</v>
      </c>
      <c r="M47" s="80">
        <v>0</v>
      </c>
      <c r="N47" s="163">
        <f t="shared" si="5"/>
        <v>0</v>
      </c>
      <c r="O47" s="108">
        <f ca="1"/>
        <v>0</v>
      </c>
    </row>
    <row r="48" spans="1:15">
      <c r="A48" s="110" t="str">
        <v>Arrendamentos / alugueres</v>
      </c>
      <c r="B48" s="78">
        <v>0</v>
      </c>
      <c r="C48" s="79">
        <v>0</v>
      </c>
      <c r="D48" s="79">
        <v>0</v>
      </c>
      <c r="E48" s="79">
        <v>0</v>
      </c>
      <c r="F48" s="79">
        <v>0</v>
      </c>
      <c r="G48" s="79">
        <v>0</v>
      </c>
      <c r="H48" s="79">
        <v>0</v>
      </c>
      <c r="I48" s="79">
        <v>0</v>
      </c>
      <c r="J48" s="79">
        <v>0</v>
      </c>
      <c r="K48" s="79">
        <v>0</v>
      </c>
      <c r="L48" s="79">
        <v>0</v>
      </c>
      <c r="M48" s="80">
        <v>0</v>
      </c>
      <c r="N48" s="163">
        <f t="shared" si="5"/>
        <v>0</v>
      </c>
      <c r="O48" s="108">
        <f ca="1"/>
        <v>0</v>
      </c>
    </row>
    <row r="49" spans="1:15">
      <c r="A49" s="110" t="str">
        <v>Despesas Variáveis Marketing online</v>
      </c>
      <c r="B49" s="78">
        <f ca="1"/>
        <v>24.105557620000006</v>
      </c>
      <c r="C49" s="79">
        <f ca="1"/>
        <v>24.105557620000006</v>
      </c>
      <c r="D49" s="79">
        <f ca="1"/>
        <v>24.105557620000006</v>
      </c>
      <c r="E49" s="79">
        <f ca="1"/>
        <v>24.105557620000006</v>
      </c>
      <c r="F49" s="79">
        <f ca="1"/>
        <v>24.105557620000006</v>
      </c>
      <c r="G49" s="79">
        <f ca="1"/>
        <v>24.105557620000006</v>
      </c>
      <c r="H49" s="79">
        <f ca="1"/>
        <v>24.105557620000006</v>
      </c>
      <c r="I49" s="79">
        <f ca="1"/>
        <v>24.105557620000006</v>
      </c>
      <c r="J49" s="79">
        <f ca="1"/>
        <v>24.105557620000006</v>
      </c>
      <c r="K49" s="79">
        <f ca="1"/>
        <v>24.105557620000006</v>
      </c>
      <c r="L49" s="79">
        <f ca="1"/>
        <v>24.105557620000006</v>
      </c>
      <c r="M49" s="80">
        <f ca="1"/>
        <v>24.105557620000006</v>
      </c>
      <c r="N49" s="163">
        <f t="shared" ca="1" si="5"/>
        <v>289.2666914400001</v>
      </c>
      <c r="O49" s="108">
        <f ca="1"/>
        <v>1.4335079796267738E-2</v>
      </c>
    </row>
    <row r="50" spans="1:15">
      <c r="A50" s="110" t="str">
        <v>Despesas Fixas Marketing online</v>
      </c>
      <c r="B50" s="78">
        <v>0</v>
      </c>
      <c r="C50" s="79">
        <v>0</v>
      </c>
      <c r="D50" s="79">
        <v>0</v>
      </c>
      <c r="E50" s="79">
        <v>0</v>
      </c>
      <c r="F50" s="79">
        <v>0</v>
      </c>
      <c r="G50" s="79">
        <v>0</v>
      </c>
      <c r="H50" s="79">
        <v>0</v>
      </c>
      <c r="I50" s="79">
        <v>0</v>
      </c>
      <c r="J50" s="79">
        <v>0</v>
      </c>
      <c r="K50" s="79">
        <v>0</v>
      </c>
      <c r="L50" s="79">
        <v>0</v>
      </c>
      <c r="M50" s="80">
        <v>0</v>
      </c>
      <c r="N50" s="163">
        <f t="shared" si="5"/>
        <v>0</v>
      </c>
      <c r="O50" s="108">
        <f ca="1"/>
        <v>0</v>
      </c>
    </row>
    <row r="51" spans="1:15">
      <c r="A51" s="110" t="str">
        <v>Despesas Variáveis Marketing off-line</v>
      </c>
      <c r="B51" s="78">
        <f ca="1"/>
        <v>24.105557620000006</v>
      </c>
      <c r="C51" s="79">
        <f ca="1"/>
        <v>24.105557620000006</v>
      </c>
      <c r="D51" s="79">
        <f ca="1"/>
        <v>24.105557620000006</v>
      </c>
      <c r="E51" s="79">
        <f ca="1"/>
        <v>24.105557620000006</v>
      </c>
      <c r="F51" s="79">
        <f ca="1"/>
        <v>24.105557620000006</v>
      </c>
      <c r="G51" s="79">
        <f ca="1"/>
        <v>24.105557620000006</v>
      </c>
      <c r="H51" s="79">
        <f ca="1"/>
        <v>24.105557620000006</v>
      </c>
      <c r="I51" s="79">
        <f ca="1"/>
        <v>24.105557620000006</v>
      </c>
      <c r="J51" s="79">
        <f ca="1"/>
        <v>24.105557620000006</v>
      </c>
      <c r="K51" s="79">
        <f ca="1"/>
        <v>24.105557620000006</v>
      </c>
      <c r="L51" s="79">
        <f ca="1"/>
        <v>24.105557620000006</v>
      </c>
      <c r="M51" s="80">
        <f ca="1"/>
        <v>24.105557620000006</v>
      </c>
      <c r="N51" s="163">
        <f t="shared" ca="1" si="5"/>
        <v>289.2666914400001</v>
      </c>
      <c r="O51" s="108">
        <f ca="1"/>
        <v>1.4335079796267738E-2</v>
      </c>
    </row>
    <row r="52" spans="1:15">
      <c r="A52" s="110" t="str">
        <v>Despesas Fixas Marketing off-line</v>
      </c>
      <c r="B52" s="78">
        <v>0</v>
      </c>
      <c r="C52" s="79">
        <v>0</v>
      </c>
      <c r="D52" s="79">
        <v>0</v>
      </c>
      <c r="E52" s="79">
        <v>0</v>
      </c>
      <c r="F52" s="79">
        <v>0</v>
      </c>
      <c r="G52" s="79">
        <v>0</v>
      </c>
      <c r="H52" s="79">
        <v>0</v>
      </c>
      <c r="I52" s="79">
        <v>0</v>
      </c>
      <c r="J52" s="79">
        <v>0</v>
      </c>
      <c r="K52" s="79">
        <v>0</v>
      </c>
      <c r="L52" s="79">
        <v>0</v>
      </c>
      <c r="M52" s="80">
        <v>0</v>
      </c>
      <c r="N52" s="163">
        <f t="shared" si="5"/>
        <v>0</v>
      </c>
      <c r="O52" s="108">
        <f ca="1"/>
        <v>0</v>
      </c>
    </row>
    <row r="53" spans="1:15">
      <c r="A53" s="110" t="str">
        <v>Manutenção e reparações</v>
      </c>
      <c r="B53" s="78">
        <v>0</v>
      </c>
      <c r="C53" s="79">
        <v>0</v>
      </c>
      <c r="D53" s="79">
        <v>0</v>
      </c>
      <c r="E53" s="79">
        <v>0</v>
      </c>
      <c r="F53" s="79">
        <v>0</v>
      </c>
      <c r="G53" s="79">
        <v>0</v>
      </c>
      <c r="H53" s="79">
        <v>0</v>
      </c>
      <c r="I53" s="79">
        <v>0</v>
      </c>
      <c r="J53" s="79">
        <v>0</v>
      </c>
      <c r="K53" s="79">
        <v>0</v>
      </c>
      <c r="L53" s="79">
        <v>0</v>
      </c>
      <c r="M53" s="80">
        <v>0</v>
      </c>
      <c r="N53" s="163">
        <f t="shared" si="5"/>
        <v>0</v>
      </c>
      <c r="O53" s="108">
        <f ca="1"/>
        <v>0</v>
      </c>
    </row>
    <row r="54" spans="1:15" ht="15.75" thickBot="1">
      <c r="A54" s="110" t="str">
        <v>Outras despesas Imprevistas</v>
      </c>
      <c r="B54" s="78">
        <f ca="1"/>
        <v>2.6996736000000006</v>
      </c>
      <c r="C54" s="79">
        <f ca="1"/>
        <v>2.6996736000000006</v>
      </c>
      <c r="D54" s="79">
        <f ca="1"/>
        <v>2.6996736000000006</v>
      </c>
      <c r="E54" s="79">
        <f ca="1"/>
        <v>2.6996736000000006</v>
      </c>
      <c r="F54" s="79">
        <f ca="1"/>
        <v>2.6996736000000006</v>
      </c>
      <c r="G54" s="79">
        <f ca="1"/>
        <v>2.6996736000000006</v>
      </c>
      <c r="H54" s="79">
        <f ca="1"/>
        <v>2.6996736000000006</v>
      </c>
      <c r="I54" s="79">
        <f ca="1"/>
        <v>2.6996736000000006</v>
      </c>
      <c r="J54" s="79">
        <f ca="1"/>
        <v>2.6996736000000006</v>
      </c>
      <c r="K54" s="79">
        <f ca="1"/>
        <v>2.6996736000000006</v>
      </c>
      <c r="L54" s="79">
        <f ca="1"/>
        <v>2.6996736000000006</v>
      </c>
      <c r="M54" s="80">
        <f ca="1"/>
        <v>2.6996736000000006</v>
      </c>
      <c r="N54" s="163">
        <f t="shared" ca="1" si="5"/>
        <v>32.396083200000007</v>
      </c>
      <c r="O54" s="108">
        <f ca="1"/>
        <v>1.605440417099855E-3</v>
      </c>
    </row>
    <row r="55" spans="1:15" ht="15.75" thickBot="1">
      <c r="A55" s="2472" t="str">
        <f>'G.F. 0'!A55</f>
        <v>Total Outros gastos fixos</v>
      </c>
      <c r="B55" s="2979">
        <f ca="1">SUM(B33:B54)</f>
        <v>50.910788840000009</v>
      </c>
      <c r="C55" s="2980">
        <f t="shared" ref="C55:L55" ca="1" si="6">SUM(C33:C54)</f>
        <v>50.910788840000009</v>
      </c>
      <c r="D55" s="2980">
        <f t="shared" ca="1" si="6"/>
        <v>50.910788840000009</v>
      </c>
      <c r="E55" s="2980">
        <f t="shared" ca="1" si="6"/>
        <v>50.910788840000009</v>
      </c>
      <c r="F55" s="2980">
        <f ca="1">SUM(F33:F54)</f>
        <v>50.910788840000009</v>
      </c>
      <c r="G55" s="2980">
        <f t="shared" ca="1" si="6"/>
        <v>50.910788840000009</v>
      </c>
      <c r="H55" s="2980">
        <f t="shared" ca="1" si="6"/>
        <v>50.910788840000009</v>
      </c>
      <c r="I55" s="2980">
        <f t="shared" ca="1" si="6"/>
        <v>50.910788840000009</v>
      </c>
      <c r="J55" s="2980">
        <f t="shared" ca="1" si="6"/>
        <v>50.910788840000009</v>
      </c>
      <c r="K55" s="2980">
        <f t="shared" ca="1" si="6"/>
        <v>50.910788840000009</v>
      </c>
      <c r="L55" s="2980">
        <f t="shared" ca="1" si="6"/>
        <v>50.910788840000009</v>
      </c>
      <c r="M55" s="85">
        <f ca="1">SUM(M33:M54)</f>
        <v>50.910788840000009</v>
      </c>
      <c r="N55" s="87">
        <f ca="1">SUM(N33:N54)</f>
        <v>610.92946608000022</v>
      </c>
      <c r="O55" s="113">
        <f ca="1">N55/$N$58</f>
        <v>3.027560000963533E-2</v>
      </c>
    </row>
    <row r="56" spans="1:15">
      <c r="A56" s="88"/>
      <c r="B56" s="101"/>
      <c r="C56" s="101"/>
      <c r="D56" s="101"/>
      <c r="E56" s="101"/>
      <c r="F56" s="101"/>
      <c r="G56" s="101"/>
      <c r="H56" s="101"/>
      <c r="I56" s="101"/>
      <c r="J56" s="101"/>
      <c r="K56" s="101"/>
      <c r="L56" s="101"/>
      <c r="M56" s="101"/>
      <c r="N56" s="62"/>
      <c r="O56" s="100"/>
    </row>
    <row r="57" spans="1:15" ht="15.75" thickBot="1">
      <c r="A57" s="88"/>
      <c r="B57" s="101"/>
      <c r="C57" s="101"/>
      <c r="D57" s="101"/>
      <c r="E57" s="101"/>
      <c r="F57" s="101"/>
      <c r="G57" s="101"/>
      <c r="H57" s="101"/>
      <c r="I57" s="101"/>
      <c r="J57" s="101"/>
      <c r="K57" s="101"/>
      <c r="L57" s="101"/>
      <c r="M57" s="101"/>
      <c r="N57" s="62"/>
      <c r="O57" s="100"/>
    </row>
    <row r="58" spans="1:15" ht="15.75" thickBot="1">
      <c r="A58" s="2474" t="str">
        <f>'G.F. 0'!A58</f>
        <v>Total Gastos Fixos</v>
      </c>
      <c r="B58" s="2981">
        <f t="array" ref="B58:M58" ca="1">B27:M27+B55:M55</f>
        <v>1665.30952634</v>
      </c>
      <c r="C58" s="2982">
        <f ca="1"/>
        <v>1665.30952634</v>
      </c>
      <c r="D58" s="2982">
        <f ca="1"/>
        <v>1665.30952634</v>
      </c>
      <c r="E58" s="2982">
        <f ca="1"/>
        <v>1687.0010855774999</v>
      </c>
      <c r="F58" s="2982">
        <f ca="1"/>
        <v>1687.0010855774999</v>
      </c>
      <c r="G58" s="2982">
        <f ca="1"/>
        <v>1687.0010855774999</v>
      </c>
      <c r="H58" s="2982">
        <f ca="1"/>
        <v>1687.0010855774999</v>
      </c>
      <c r="I58" s="2982">
        <f ca="1"/>
        <v>1687.0010855774999</v>
      </c>
      <c r="J58" s="2982">
        <f ca="1"/>
        <v>1687.0010855774999</v>
      </c>
      <c r="K58" s="2982">
        <f ca="1"/>
        <v>1687.0010855774999</v>
      </c>
      <c r="L58" s="2982">
        <f ca="1"/>
        <v>1687.0010855774999</v>
      </c>
      <c r="M58" s="2983">
        <f ca="1"/>
        <v>1687.0010855774999</v>
      </c>
      <c r="N58" s="152">
        <f ca="1">N27+N55</f>
        <v>20178.938349217504</v>
      </c>
      <c r="O58" s="100"/>
    </row>
    <row r="59" spans="1:15" ht="15.75" thickBot="1">
      <c r="O59" s="100"/>
    </row>
    <row r="60" spans="1:15" ht="15.75" thickBot="1">
      <c r="A60" s="153" t="str">
        <f>'G.F. 0'!A60</f>
        <v>IVA deducível dos Gastos fixos</v>
      </c>
      <c r="B60" s="2984">
        <f ca="1">Parametros!$F$33*SUM(B37:B54)</f>
        <v>10.691265656400002</v>
      </c>
      <c r="C60" s="2985">
        <f ca="1">Parametros!$F$33*SUM(C37:C54)</f>
        <v>10.691265656400002</v>
      </c>
      <c r="D60" s="2985">
        <f ca="1">Parametros!$F$33*SUM(D37:D54)</f>
        <v>10.691265656400002</v>
      </c>
      <c r="E60" s="2985">
        <f ca="1">Parametros!$F$33*SUM(E37:E54)</f>
        <v>10.691265656400002</v>
      </c>
      <c r="F60" s="2985">
        <f ca="1">Parametros!$F$33*SUM(F37:F54)</f>
        <v>10.691265656400002</v>
      </c>
      <c r="G60" s="2985">
        <f ca="1">Parametros!$F$33*SUM(G37:G54)</f>
        <v>10.691265656400002</v>
      </c>
      <c r="H60" s="2985">
        <f ca="1">Parametros!$F$33*SUM(H37:H54)</f>
        <v>10.691265656400002</v>
      </c>
      <c r="I60" s="2985">
        <f ca="1">Parametros!$F$33*SUM(I37:I54)</f>
        <v>10.691265656400002</v>
      </c>
      <c r="J60" s="2985">
        <f ca="1">Parametros!$F$33*SUM(J37:J54)</f>
        <v>10.691265656400002</v>
      </c>
      <c r="K60" s="2985">
        <f ca="1">Parametros!$F$33*SUM(K37:K54)</f>
        <v>10.691265656400002</v>
      </c>
      <c r="L60" s="2985">
        <f ca="1">Parametros!$F$33*SUM(L37:L54)</f>
        <v>10.691265656400002</v>
      </c>
      <c r="M60" s="2986">
        <f ca="1">Parametros!$F$33*SUM(M37:M54)</f>
        <v>10.691265656400002</v>
      </c>
      <c r="N60" s="152">
        <f ca="1">SUM(B60:M60)</f>
        <v>128.29518787680004</v>
      </c>
    </row>
  </sheetData>
  <sheetProtection sheet="1" objects="1" scenarios="1"/>
  <phoneticPr fontId="4" type="noConversion"/>
  <printOptions horizontalCentered="1"/>
  <pageMargins left="0.75" right="0.75" top="0.6692913385826772" bottom="0.52" header="0" footer="0"/>
  <pageSetup paperSize="9" scale="59" orientation="landscape" horizont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46">
    <tabColor indexed="42"/>
    <pageSetUpPr fitToPage="1"/>
  </sheetPr>
  <dimension ref="A1:O60"/>
  <sheetViews>
    <sheetView workbookViewId="0"/>
  </sheetViews>
  <sheetFormatPr baseColWidth="10" defaultColWidth="11" defaultRowHeight="15"/>
  <cols>
    <col min="1" max="1" width="31.375" style="36" customWidth="1"/>
    <col min="2" max="13" width="11.125" style="36" customWidth="1"/>
    <col min="14" max="14" width="12.75" style="36" customWidth="1"/>
    <col min="15" max="15" width="10.375" style="36" customWidth="1"/>
    <col min="16" max="16384" width="11" style="36"/>
  </cols>
  <sheetData>
    <row r="1" spans="1:15" s="99" customFormat="1" ht="22.5">
      <c r="A1" s="68" t="str">
        <f>'G.F. 0'!A1</f>
        <v>Previsão de Gastos Fixos da empresa</v>
      </c>
      <c r="B1" s="68"/>
      <c r="C1" s="68"/>
      <c r="D1" s="68"/>
      <c r="E1" s="532" t="str">
        <f>Parametros!F$77</f>
        <v>Ano 4:  2030</v>
      </c>
      <c r="F1" s="68"/>
    </row>
    <row r="2" spans="1:15" s="99" customFormat="1" ht="22.5">
      <c r="A2" s="68" t="str">
        <f>'Dados Básicos'!B9</f>
        <v>WWW, S.L.</v>
      </c>
      <c r="B2" s="68"/>
      <c r="C2" s="68"/>
      <c r="D2" s="68"/>
      <c r="E2" s="68"/>
      <c r="F2" s="68"/>
      <c r="G2" s="68"/>
    </row>
    <row r="3" spans="1:15" ht="15.75" thickBot="1">
      <c r="B3" s="62"/>
      <c r="C3" s="62"/>
      <c r="D3" s="62"/>
      <c r="E3" s="62"/>
      <c r="F3" s="62"/>
      <c r="G3" s="62"/>
    </row>
    <row r="4" spans="1:15" ht="15.75" thickBot="1">
      <c r="A4" s="2851" t="str">
        <f>'G.F. 0'!A4</f>
        <v>Gastos de pessoal</v>
      </c>
      <c r="B4" s="164" t="str">
        <f t="array" ref="B4:M4">meses</f>
        <v>janeiro</v>
      </c>
      <c r="C4" s="165" t="str">
        <v>fevereiro</v>
      </c>
      <c r="D4" s="165" t="str">
        <v>março</v>
      </c>
      <c r="E4" s="165" t="str">
        <v>abril</v>
      </c>
      <c r="F4" s="165" t="str">
        <v>maio</v>
      </c>
      <c r="G4" s="165" t="str">
        <v>junho</v>
      </c>
      <c r="H4" s="165" t="str">
        <v>julho</v>
      </c>
      <c r="I4" s="165" t="str">
        <v>agosto</v>
      </c>
      <c r="J4" s="165" t="str">
        <v>setembro</v>
      </c>
      <c r="K4" s="165" t="str">
        <v>outubro</v>
      </c>
      <c r="L4" s="165" t="str">
        <v>novembro</v>
      </c>
      <c r="M4" s="166" t="str">
        <v>dezembro</v>
      </c>
      <c r="N4" s="105" t="str">
        <f>'G.F. 0'!N4</f>
        <v>Totais</v>
      </c>
      <c r="O4" s="105" t="s">
        <v>6</v>
      </c>
    </row>
    <row r="5" spans="1:15" ht="15.75" thickBot="1">
      <c r="A5" s="2137"/>
      <c r="B5" s="120"/>
      <c r="C5" s="121"/>
      <c r="D5" s="121"/>
      <c r="E5" s="121"/>
      <c r="F5" s="121"/>
      <c r="G5" s="121"/>
      <c r="H5" s="121"/>
      <c r="I5" s="121"/>
      <c r="J5" s="121"/>
      <c r="K5" s="121"/>
      <c r="L5" s="121"/>
      <c r="M5" s="122"/>
      <c r="N5" s="118"/>
      <c r="O5" s="119"/>
    </row>
    <row r="6" spans="1:15">
      <c r="A6" s="2849" t="str">
        <f>'G.F. 0'!A6</f>
        <v>Ordenados e salários</v>
      </c>
      <c r="B6" s="89"/>
      <c r="C6" s="90"/>
      <c r="D6" s="90"/>
      <c r="E6" s="90"/>
      <c r="F6" s="90"/>
      <c r="G6" s="90"/>
      <c r="H6" s="90"/>
      <c r="I6" s="90"/>
      <c r="J6" s="90"/>
      <c r="K6" s="90"/>
      <c r="L6" s="90"/>
      <c r="M6" s="91"/>
      <c r="N6" s="77"/>
      <c r="O6" s="107"/>
    </row>
    <row r="7" spans="1:15">
      <c r="A7" s="2852" t="str">
        <f t="array" ref="A7:A14">catlaborales</f>
        <v>Emprsários em nome individual</v>
      </c>
      <c r="B7" s="92">
        <f t="array" ref="B7:M14">'RR.HH.'!$F19:$F26*'Quadro Pessoal'!C85:N92</f>
        <v>1403.8302720000002</v>
      </c>
      <c r="C7" s="93">
        <v>1403.8302720000002</v>
      </c>
      <c r="D7" s="93">
        <v>1403.8302720000002</v>
      </c>
      <c r="E7" s="93">
        <v>1403.8302720000002</v>
      </c>
      <c r="F7" s="93">
        <v>1403.8302720000002</v>
      </c>
      <c r="G7" s="93">
        <v>1403.8302720000002</v>
      </c>
      <c r="H7" s="93">
        <v>1403.8302720000002</v>
      </c>
      <c r="I7" s="93">
        <v>1403.8302720000002</v>
      </c>
      <c r="J7" s="93">
        <v>1403.8302720000002</v>
      </c>
      <c r="K7" s="93">
        <v>1403.8302720000002</v>
      </c>
      <c r="L7" s="93">
        <v>1403.8302720000002</v>
      </c>
      <c r="M7" s="94">
        <v>1403.8302720000002</v>
      </c>
      <c r="N7" s="98">
        <f t="shared" ref="N7:N14" si="0">SUM(B7:M7)</f>
        <v>16845.963263999998</v>
      </c>
      <c r="O7" s="108">
        <f t="array" aca="1" ref="O7:O15" ca="1">N7:N15/$N$27</f>
        <v>0.82213082951208083</v>
      </c>
    </row>
    <row r="8" spans="1:15">
      <c r="A8" s="2852" t="str">
        <v>Outros trab. Independentes</v>
      </c>
      <c r="B8" s="92">
        <v>0</v>
      </c>
      <c r="C8" s="93">
        <v>0</v>
      </c>
      <c r="D8" s="93">
        <v>0</v>
      </c>
      <c r="E8" s="93">
        <v>0</v>
      </c>
      <c r="F8" s="93">
        <v>0</v>
      </c>
      <c r="G8" s="93">
        <v>0</v>
      </c>
      <c r="H8" s="93">
        <v>0</v>
      </c>
      <c r="I8" s="93">
        <v>0</v>
      </c>
      <c r="J8" s="93">
        <v>0</v>
      </c>
      <c r="K8" s="93">
        <v>0</v>
      </c>
      <c r="L8" s="93">
        <v>0</v>
      </c>
      <c r="M8" s="94">
        <v>0</v>
      </c>
      <c r="N8" s="98">
        <f t="shared" si="0"/>
        <v>0</v>
      </c>
      <c r="O8" s="108">
        <f ca="1"/>
        <v>0</v>
      </c>
    </row>
    <row r="9" spans="1:15">
      <c r="A9" s="2852" t="str">
        <v>Empregados</v>
      </c>
      <c r="B9" s="92">
        <v>0</v>
      </c>
      <c r="C9" s="93">
        <v>0</v>
      </c>
      <c r="D9" s="93">
        <v>0</v>
      </c>
      <c r="E9" s="93">
        <v>0</v>
      </c>
      <c r="F9" s="93">
        <v>0</v>
      </c>
      <c r="G9" s="93">
        <v>0</v>
      </c>
      <c r="H9" s="93">
        <v>0</v>
      </c>
      <c r="I9" s="93">
        <v>0</v>
      </c>
      <c r="J9" s="93">
        <v>0</v>
      </c>
      <c r="K9" s="93">
        <v>0</v>
      </c>
      <c r="L9" s="93">
        <v>0</v>
      </c>
      <c r="M9" s="94">
        <v>0</v>
      </c>
      <c r="N9" s="98">
        <f t="shared" si="0"/>
        <v>0</v>
      </c>
      <c r="O9" s="108">
        <f ca="1"/>
        <v>0</v>
      </c>
    </row>
    <row r="10" spans="1:15">
      <c r="A10" s="2852" t="str">
        <v/>
      </c>
      <c r="B10" s="92">
        <v>0</v>
      </c>
      <c r="C10" s="93">
        <v>0</v>
      </c>
      <c r="D10" s="93">
        <v>0</v>
      </c>
      <c r="E10" s="93">
        <v>0</v>
      </c>
      <c r="F10" s="93">
        <v>0</v>
      </c>
      <c r="G10" s="93">
        <v>0</v>
      </c>
      <c r="H10" s="93">
        <v>0</v>
      </c>
      <c r="I10" s="93">
        <v>0</v>
      </c>
      <c r="J10" s="93">
        <v>0</v>
      </c>
      <c r="K10" s="93">
        <v>0</v>
      </c>
      <c r="L10" s="93">
        <v>0</v>
      </c>
      <c r="M10" s="94">
        <v>0</v>
      </c>
      <c r="N10" s="98">
        <f t="shared" si="0"/>
        <v>0</v>
      </c>
      <c r="O10" s="108">
        <f ca="1"/>
        <v>0</v>
      </c>
    </row>
    <row r="11" spans="1:15">
      <c r="A11" s="2852" t="str">
        <v/>
      </c>
      <c r="B11" s="92">
        <v>0</v>
      </c>
      <c r="C11" s="93">
        <v>0</v>
      </c>
      <c r="D11" s="93">
        <v>0</v>
      </c>
      <c r="E11" s="93">
        <v>0</v>
      </c>
      <c r="F11" s="93">
        <v>0</v>
      </c>
      <c r="G11" s="93">
        <v>0</v>
      </c>
      <c r="H11" s="93">
        <v>0</v>
      </c>
      <c r="I11" s="93">
        <v>0</v>
      </c>
      <c r="J11" s="93">
        <v>0</v>
      </c>
      <c r="K11" s="93">
        <v>0</v>
      </c>
      <c r="L11" s="93">
        <v>0</v>
      </c>
      <c r="M11" s="94">
        <v>0</v>
      </c>
      <c r="N11" s="98">
        <f t="shared" si="0"/>
        <v>0</v>
      </c>
      <c r="O11" s="108">
        <f ca="1"/>
        <v>0</v>
      </c>
    </row>
    <row r="12" spans="1:15">
      <c r="A12" s="2852" t="str">
        <v/>
      </c>
      <c r="B12" s="92">
        <v>0</v>
      </c>
      <c r="C12" s="93">
        <v>0</v>
      </c>
      <c r="D12" s="93">
        <v>0</v>
      </c>
      <c r="E12" s="93">
        <v>0</v>
      </c>
      <c r="F12" s="93">
        <v>0</v>
      </c>
      <c r="G12" s="93">
        <v>0</v>
      </c>
      <c r="H12" s="93">
        <v>0</v>
      </c>
      <c r="I12" s="93">
        <v>0</v>
      </c>
      <c r="J12" s="93">
        <v>0</v>
      </c>
      <c r="K12" s="93">
        <v>0</v>
      </c>
      <c r="L12" s="93">
        <v>0</v>
      </c>
      <c r="M12" s="94">
        <v>0</v>
      </c>
      <c r="N12" s="98">
        <f t="shared" si="0"/>
        <v>0</v>
      </c>
      <c r="O12" s="108">
        <f ca="1"/>
        <v>0</v>
      </c>
    </row>
    <row r="13" spans="1:15">
      <c r="A13" s="2852" t="str">
        <v/>
      </c>
      <c r="B13" s="92">
        <v>0</v>
      </c>
      <c r="C13" s="93">
        <v>0</v>
      </c>
      <c r="D13" s="93">
        <v>0</v>
      </c>
      <c r="E13" s="93">
        <v>0</v>
      </c>
      <c r="F13" s="93">
        <v>0</v>
      </c>
      <c r="G13" s="93">
        <v>0</v>
      </c>
      <c r="H13" s="93">
        <v>0</v>
      </c>
      <c r="I13" s="93">
        <v>0</v>
      </c>
      <c r="J13" s="93">
        <v>0</v>
      </c>
      <c r="K13" s="93">
        <v>0</v>
      </c>
      <c r="L13" s="93">
        <v>0</v>
      </c>
      <c r="M13" s="94">
        <v>0</v>
      </c>
      <c r="N13" s="98">
        <f t="shared" si="0"/>
        <v>0</v>
      </c>
      <c r="O13" s="108">
        <f ca="1"/>
        <v>0</v>
      </c>
    </row>
    <row r="14" spans="1:15">
      <c r="A14" s="2852" t="str">
        <v/>
      </c>
      <c r="B14" s="92">
        <v>0</v>
      </c>
      <c r="C14" s="93">
        <v>0</v>
      </c>
      <c r="D14" s="93">
        <v>0</v>
      </c>
      <c r="E14" s="93">
        <v>0</v>
      </c>
      <c r="F14" s="93">
        <v>0</v>
      </c>
      <c r="G14" s="93">
        <v>0</v>
      </c>
      <c r="H14" s="93">
        <v>0</v>
      </c>
      <c r="I14" s="93">
        <v>0</v>
      </c>
      <c r="J14" s="93">
        <v>0</v>
      </c>
      <c r="K14" s="93">
        <v>0</v>
      </c>
      <c r="L14" s="93">
        <v>0</v>
      </c>
      <c r="M14" s="94">
        <v>0</v>
      </c>
      <c r="N14" s="98">
        <f t="shared" si="0"/>
        <v>0</v>
      </c>
      <c r="O14" s="108">
        <f ca="1"/>
        <v>0</v>
      </c>
    </row>
    <row r="15" spans="1:15" ht="15.75" thickBot="1">
      <c r="A15" s="2850" t="str">
        <f>'G.F. 0'!A15</f>
        <v>Total Ordenados e salários</v>
      </c>
      <c r="B15" s="144">
        <f t="shared" ref="B15:M15" si="1">SUM(B7:B14)</f>
        <v>1403.8302720000002</v>
      </c>
      <c r="C15" s="145">
        <f t="shared" si="1"/>
        <v>1403.8302720000002</v>
      </c>
      <c r="D15" s="145">
        <f t="shared" si="1"/>
        <v>1403.8302720000002</v>
      </c>
      <c r="E15" s="145">
        <f t="shared" si="1"/>
        <v>1403.8302720000002</v>
      </c>
      <c r="F15" s="145">
        <f t="shared" si="1"/>
        <v>1403.8302720000002</v>
      </c>
      <c r="G15" s="145">
        <f t="shared" si="1"/>
        <v>1403.8302720000002</v>
      </c>
      <c r="H15" s="145">
        <f t="shared" si="1"/>
        <v>1403.8302720000002</v>
      </c>
      <c r="I15" s="145">
        <f t="shared" si="1"/>
        <v>1403.8302720000002</v>
      </c>
      <c r="J15" s="145">
        <f t="shared" si="1"/>
        <v>1403.8302720000002</v>
      </c>
      <c r="K15" s="145">
        <f t="shared" si="1"/>
        <v>1403.8302720000002</v>
      </c>
      <c r="L15" s="145">
        <f t="shared" si="1"/>
        <v>1403.8302720000002</v>
      </c>
      <c r="M15" s="146">
        <f t="shared" si="1"/>
        <v>1403.8302720000002</v>
      </c>
      <c r="N15" s="143">
        <f>SUM(B15:M15)</f>
        <v>16845.963263999998</v>
      </c>
      <c r="O15" s="112">
        <f ca="1"/>
        <v>0.82213082951208083</v>
      </c>
    </row>
    <row r="16" spans="1:15" ht="15.75" thickBot="1">
      <c r="A16" s="2853"/>
      <c r="B16" s="134"/>
      <c r="C16" s="135"/>
      <c r="D16" s="135"/>
      <c r="E16" s="135"/>
      <c r="F16" s="135"/>
      <c r="G16" s="135"/>
      <c r="H16" s="135"/>
      <c r="I16" s="135"/>
      <c r="J16" s="135"/>
      <c r="K16" s="135"/>
      <c r="L16" s="135"/>
      <c r="M16" s="136"/>
      <c r="N16" s="130"/>
      <c r="O16" s="131"/>
    </row>
    <row r="17" spans="1:15">
      <c r="A17" s="2849" t="str">
        <f t="array" ref="A17:A20">'G.F. 0'!A17:A20</f>
        <v>Seguros Sociáis</v>
      </c>
      <c r="B17" s="89"/>
      <c r="C17" s="90"/>
      <c r="D17" s="90"/>
      <c r="E17" s="90"/>
      <c r="F17" s="90"/>
      <c r="G17" s="90"/>
      <c r="H17" s="90"/>
      <c r="I17" s="90"/>
      <c r="J17" s="90"/>
      <c r="K17" s="90"/>
      <c r="L17" s="90"/>
      <c r="M17" s="91"/>
      <c r="N17" s="138"/>
      <c r="O17" s="107"/>
    </row>
    <row r="18" spans="1:15">
      <c r="A18" s="151" t="str">
        <v>Seg. Social Sócios (Trab. Independentes)</v>
      </c>
      <c r="B18" s="92">
        <f t="array" ref="B18:M18" ca="1">'Seguridade Sócial'!B53:M53*('Quadro Pessoal'!C85:N85+'Quadro Pessoal'!C86:N86)</f>
        <v>286.25349673749997</v>
      </c>
      <c r="C18" s="93">
        <f ca="1"/>
        <v>286.25349673749997</v>
      </c>
      <c r="D18" s="93">
        <f ca="1"/>
        <v>286.25349673749997</v>
      </c>
      <c r="E18" s="93">
        <f ca="1"/>
        <v>309.54306047025</v>
      </c>
      <c r="F18" s="93">
        <f ca="1"/>
        <v>309.54306047025</v>
      </c>
      <c r="G18" s="93">
        <f ca="1"/>
        <v>309.54306047025</v>
      </c>
      <c r="H18" s="93">
        <f ca="1"/>
        <v>309.54306047025</v>
      </c>
      <c r="I18" s="93">
        <f ca="1"/>
        <v>309.54306047025</v>
      </c>
      <c r="J18" s="93">
        <f ca="1"/>
        <v>309.54306047025</v>
      </c>
      <c r="K18" s="93">
        <f ca="1"/>
        <v>309.54306047025</v>
      </c>
      <c r="L18" s="93">
        <f ca="1"/>
        <v>309.54306047025</v>
      </c>
      <c r="M18" s="94">
        <f ca="1"/>
        <v>309.54306047025</v>
      </c>
      <c r="N18" s="98">
        <f ca="1">SUM(B18:M18)</f>
        <v>3644.6480344447509</v>
      </c>
      <c r="O18" s="108">
        <f t="array" ref="O18:O20" ca="1">N18:N20/$N$27</f>
        <v>0.17786917048791911</v>
      </c>
    </row>
    <row r="19" spans="1:15">
      <c r="A19" s="151" t="str">
        <v>Seg. Social Empregados</v>
      </c>
      <c r="B19" s="92">
        <f t="array" ref="B19">SUM(B9:B14*'RR.HH.'!$F39:$F44)</f>
        <v>0</v>
      </c>
      <c r="C19" s="93">
        <f t="array" ref="C19">SUM(C9:C14*'RR.HH.'!$F39:$F44)</f>
        <v>0</v>
      </c>
      <c r="D19" s="93">
        <f t="array" ref="D19">SUM(D9:D14*'RR.HH.'!$F39:$F44)</f>
        <v>0</v>
      </c>
      <c r="E19" s="93">
        <f t="array" ref="E19">SUM(E9:E14*'RR.HH.'!$F39:$F44)</f>
        <v>0</v>
      </c>
      <c r="F19" s="93">
        <f t="array" ref="F19">SUM(F9:F14*'RR.HH.'!$F39:$F44)</f>
        <v>0</v>
      </c>
      <c r="G19" s="93">
        <f t="array" ref="G19">SUM(G9:G14*'RR.HH.'!$F39:$F44)</f>
        <v>0</v>
      </c>
      <c r="H19" s="93">
        <f t="array" ref="H19">SUM(H9:H14*'RR.HH.'!$F39:$F44)</f>
        <v>0</v>
      </c>
      <c r="I19" s="93">
        <f t="array" ref="I19">SUM(I9:I14*'RR.HH.'!$F39:$F44)</f>
        <v>0</v>
      </c>
      <c r="J19" s="93">
        <f t="array" ref="J19">SUM(J9:J14*'RR.HH.'!$F39:$F44)</f>
        <v>0</v>
      </c>
      <c r="K19" s="93">
        <f t="array" ref="K19">SUM(K9:K14*'RR.HH.'!$F39:$F44)</f>
        <v>0</v>
      </c>
      <c r="L19" s="93">
        <f t="array" ref="L19">SUM(L9:L14*'RR.HH.'!$F39:$F44)</f>
        <v>0</v>
      </c>
      <c r="M19" s="94">
        <f t="array" ref="M19">SUM(M9:M14*'RR.HH.'!$F39:$F44)</f>
        <v>0</v>
      </c>
      <c r="N19" s="98">
        <f>SUM(B19:M19)</f>
        <v>0</v>
      </c>
      <c r="O19" s="108">
        <f ca="1"/>
        <v>0</v>
      </c>
    </row>
    <row r="20" spans="1:15" ht="15.75" thickBot="1">
      <c r="A20" s="2850" t="str">
        <v>Total Seguros Sociáis</v>
      </c>
      <c r="B20" s="144">
        <f t="shared" ref="B20:M20" ca="1" si="2">SUM(B18:B19)</f>
        <v>286.25349673749997</v>
      </c>
      <c r="C20" s="145">
        <f t="shared" ca="1" si="2"/>
        <v>286.25349673749997</v>
      </c>
      <c r="D20" s="145">
        <f t="shared" ca="1" si="2"/>
        <v>286.25349673749997</v>
      </c>
      <c r="E20" s="145">
        <f t="shared" ca="1" si="2"/>
        <v>309.54306047025</v>
      </c>
      <c r="F20" s="145">
        <f t="shared" ca="1" si="2"/>
        <v>309.54306047025</v>
      </c>
      <c r="G20" s="145">
        <f t="shared" ca="1" si="2"/>
        <v>309.54306047025</v>
      </c>
      <c r="H20" s="145">
        <f t="shared" ca="1" si="2"/>
        <v>309.54306047025</v>
      </c>
      <c r="I20" s="145">
        <f t="shared" ca="1" si="2"/>
        <v>309.54306047025</v>
      </c>
      <c r="J20" s="145">
        <f t="shared" ca="1" si="2"/>
        <v>309.54306047025</v>
      </c>
      <c r="K20" s="145">
        <f t="shared" ca="1" si="2"/>
        <v>309.54306047025</v>
      </c>
      <c r="L20" s="145">
        <f t="shared" ca="1" si="2"/>
        <v>309.54306047025</v>
      </c>
      <c r="M20" s="146">
        <f t="shared" ca="1" si="2"/>
        <v>309.54306047025</v>
      </c>
      <c r="N20" s="143">
        <f ca="1">SUM(B20:M20)</f>
        <v>3644.6480344447509</v>
      </c>
      <c r="O20" s="112">
        <f ca="1"/>
        <v>0.17786917048791911</v>
      </c>
    </row>
    <row r="21" spans="1:15" ht="15.75" thickBot="1">
      <c r="A21" s="2853"/>
      <c r="B21" s="134"/>
      <c r="C21" s="135"/>
      <c r="D21" s="135"/>
      <c r="E21" s="135"/>
      <c r="F21" s="135"/>
      <c r="G21" s="135"/>
      <c r="H21" s="135"/>
      <c r="I21" s="135"/>
      <c r="J21" s="135"/>
      <c r="K21" s="135"/>
      <c r="L21" s="135"/>
      <c r="M21" s="136"/>
      <c r="N21" s="130"/>
      <c r="O21" s="131"/>
    </row>
    <row r="22" spans="1:15">
      <c r="A22" s="2849" t="str">
        <f t="array" ref="A22:A25">'G.F. 0'!A22:A25</f>
        <v>Altas e baixas do pessoal</v>
      </c>
      <c r="B22" s="89"/>
      <c r="C22" s="90"/>
      <c r="D22" s="90"/>
      <c r="E22" s="90"/>
      <c r="F22" s="90"/>
      <c r="G22" s="90"/>
      <c r="H22" s="90"/>
      <c r="I22" s="90"/>
      <c r="J22" s="90"/>
      <c r="K22" s="90"/>
      <c r="L22" s="90"/>
      <c r="M22" s="91"/>
      <c r="N22" s="138"/>
      <c r="O22" s="107"/>
    </row>
    <row r="23" spans="1:15">
      <c r="A23" s="151" t="str">
        <v>Altas e baixas de sócios</v>
      </c>
      <c r="B23" s="95">
        <f t="array" ref="B23:M24">'RR.HH.'!$F53:$F54*'Quadro Pessoal'!C96:N97</f>
        <v>0</v>
      </c>
      <c r="C23" s="96">
        <v>0</v>
      </c>
      <c r="D23" s="96">
        <v>0</v>
      </c>
      <c r="E23" s="96">
        <v>0</v>
      </c>
      <c r="F23" s="96">
        <v>0</v>
      </c>
      <c r="G23" s="96">
        <v>0</v>
      </c>
      <c r="H23" s="96">
        <v>0</v>
      </c>
      <c r="I23" s="96">
        <v>0</v>
      </c>
      <c r="J23" s="96">
        <v>0</v>
      </c>
      <c r="K23" s="96">
        <v>0</v>
      </c>
      <c r="L23" s="96">
        <v>0</v>
      </c>
      <c r="M23" s="97">
        <v>0</v>
      </c>
      <c r="N23" s="98">
        <f>SUM(B23:M23)</f>
        <v>0</v>
      </c>
      <c r="O23" s="108">
        <f t="array" aca="1" ref="O23:O25" ca="1">N23:N25/$N$27</f>
        <v>0</v>
      </c>
    </row>
    <row r="24" spans="1:15">
      <c r="A24" s="151" t="str">
        <v>Altas de empregados</v>
      </c>
      <c r="B24" s="95">
        <v>0</v>
      </c>
      <c r="C24" s="96">
        <v>0</v>
      </c>
      <c r="D24" s="96">
        <v>0</v>
      </c>
      <c r="E24" s="96">
        <v>0</v>
      </c>
      <c r="F24" s="96">
        <v>0</v>
      </c>
      <c r="G24" s="96">
        <v>0</v>
      </c>
      <c r="H24" s="96">
        <v>0</v>
      </c>
      <c r="I24" s="96">
        <v>0</v>
      </c>
      <c r="J24" s="96">
        <v>0</v>
      </c>
      <c r="K24" s="96">
        <v>0</v>
      </c>
      <c r="L24" s="96">
        <v>0</v>
      </c>
      <c r="M24" s="97">
        <v>0</v>
      </c>
      <c r="N24" s="98">
        <f>SUM(B24:M24)</f>
        <v>0</v>
      </c>
      <c r="O24" s="108">
        <f ca="1"/>
        <v>0</v>
      </c>
    </row>
    <row r="25" spans="1:15" ht="15.75" thickBot="1">
      <c r="A25" s="2850" t="str">
        <v>Total Altas e baixas do pessoal</v>
      </c>
      <c r="B25" s="144">
        <f>SUM(B23:B24)</f>
        <v>0</v>
      </c>
      <c r="C25" s="145">
        <f t="shared" ref="C25:M25" si="3">SUM(C23:C24)</f>
        <v>0</v>
      </c>
      <c r="D25" s="145">
        <f t="shared" si="3"/>
        <v>0</v>
      </c>
      <c r="E25" s="145">
        <f t="shared" si="3"/>
        <v>0</v>
      </c>
      <c r="F25" s="145">
        <f t="shared" si="3"/>
        <v>0</v>
      </c>
      <c r="G25" s="145">
        <f t="shared" si="3"/>
        <v>0</v>
      </c>
      <c r="H25" s="145">
        <f t="shared" si="3"/>
        <v>0</v>
      </c>
      <c r="I25" s="145">
        <f t="shared" si="3"/>
        <v>0</v>
      </c>
      <c r="J25" s="145">
        <f t="shared" si="3"/>
        <v>0</v>
      </c>
      <c r="K25" s="145">
        <f t="shared" si="3"/>
        <v>0</v>
      </c>
      <c r="L25" s="145">
        <f t="shared" si="3"/>
        <v>0</v>
      </c>
      <c r="M25" s="146">
        <f t="shared" si="3"/>
        <v>0</v>
      </c>
      <c r="N25" s="143">
        <f>SUM(B25:M25)</f>
        <v>0</v>
      </c>
      <c r="O25" s="112">
        <f ca="1"/>
        <v>0</v>
      </c>
    </row>
    <row r="26" spans="1:15" ht="15.75" thickBot="1">
      <c r="A26" s="2854"/>
      <c r="B26" s="148"/>
      <c r="C26" s="132"/>
      <c r="D26" s="132"/>
      <c r="E26" s="132"/>
      <c r="F26" s="132"/>
      <c r="G26" s="132"/>
      <c r="H26" s="132"/>
      <c r="I26" s="132"/>
      <c r="J26" s="132"/>
      <c r="K26" s="132"/>
      <c r="L26" s="132"/>
      <c r="M26" s="133"/>
      <c r="N26" s="125"/>
      <c r="O26" s="126"/>
    </row>
    <row r="27" spans="1:15" ht="15.75" thickBot="1">
      <c r="A27" s="2472" t="str">
        <f>'G.F. 0'!A27</f>
        <v>Total Gastos de pessoal</v>
      </c>
      <c r="B27" s="2979">
        <f t="shared" ref="B27:N27" ca="1" si="4">B25+B20+B15</f>
        <v>1690.0837687375001</v>
      </c>
      <c r="C27" s="2980">
        <f t="shared" ca="1" si="4"/>
        <v>1690.0837687375001</v>
      </c>
      <c r="D27" s="2980">
        <f t="shared" ca="1" si="4"/>
        <v>1690.0837687375001</v>
      </c>
      <c r="E27" s="2980">
        <f t="shared" ca="1" si="4"/>
        <v>1713.3733324702503</v>
      </c>
      <c r="F27" s="2980">
        <f t="shared" ca="1" si="4"/>
        <v>1713.3733324702503</v>
      </c>
      <c r="G27" s="2980">
        <f t="shared" ca="1" si="4"/>
        <v>1713.3733324702503</v>
      </c>
      <c r="H27" s="2980">
        <f t="shared" ca="1" si="4"/>
        <v>1713.3733324702503</v>
      </c>
      <c r="I27" s="2980">
        <f t="shared" ca="1" si="4"/>
        <v>1713.3733324702503</v>
      </c>
      <c r="J27" s="2980">
        <f t="shared" ca="1" si="4"/>
        <v>1713.3733324702503</v>
      </c>
      <c r="K27" s="2980">
        <f t="shared" ca="1" si="4"/>
        <v>1713.3733324702503</v>
      </c>
      <c r="L27" s="2980">
        <f t="shared" ca="1" si="4"/>
        <v>1713.3733324702503</v>
      </c>
      <c r="M27" s="85">
        <f t="shared" ca="1" si="4"/>
        <v>1713.3733324702503</v>
      </c>
      <c r="N27" s="84">
        <f t="shared" ca="1" si="4"/>
        <v>20490.61129844475</v>
      </c>
      <c r="O27" s="113">
        <f ca="1">N27/$N$58</f>
        <v>0.96882753322064163</v>
      </c>
    </row>
    <row r="28" spans="1:15">
      <c r="A28" s="102"/>
      <c r="B28" s="86"/>
      <c r="C28" s="86"/>
      <c r="D28" s="86"/>
      <c r="E28" s="86"/>
      <c r="F28" s="86"/>
      <c r="G28" s="86"/>
      <c r="H28" s="86"/>
      <c r="I28" s="86"/>
      <c r="J28" s="86"/>
      <c r="K28" s="86"/>
      <c r="L28" s="86"/>
      <c r="M28" s="86"/>
      <c r="N28" s="86"/>
      <c r="O28" s="103"/>
    </row>
    <row r="29" spans="1:15">
      <c r="A29" s="88"/>
      <c r="B29" s="86"/>
      <c r="C29" s="86"/>
      <c r="D29" s="86"/>
      <c r="E29" s="86"/>
      <c r="F29" s="86"/>
      <c r="G29" s="86"/>
      <c r="H29" s="86"/>
      <c r="I29" s="86"/>
      <c r="J29" s="86"/>
      <c r="K29" s="86"/>
      <c r="L29" s="86"/>
      <c r="M29" s="86"/>
      <c r="N29" s="86"/>
      <c r="O29" s="100"/>
    </row>
    <row r="30" spans="1:15">
      <c r="A30" s="88"/>
      <c r="B30" s="86"/>
      <c r="C30" s="86"/>
      <c r="D30" s="86"/>
      <c r="E30" s="86"/>
      <c r="F30" s="86"/>
      <c r="G30" s="86"/>
      <c r="H30" s="86"/>
      <c r="I30" s="86"/>
      <c r="J30" s="86"/>
      <c r="K30" s="86"/>
      <c r="L30" s="86"/>
      <c r="M30" s="86"/>
      <c r="N30" s="86"/>
      <c r="O30" s="100"/>
    </row>
    <row r="31" spans="1:15" ht="15.75" thickBot="1">
      <c r="A31" s="88"/>
      <c r="B31" s="86"/>
      <c r="C31" s="86"/>
      <c r="D31" s="86"/>
      <c r="E31" s="86"/>
      <c r="F31" s="86"/>
      <c r="G31" s="86"/>
      <c r="H31" s="86"/>
      <c r="I31" s="86"/>
      <c r="J31" s="86"/>
      <c r="K31" s="86"/>
      <c r="L31" s="86"/>
      <c r="M31" s="86"/>
      <c r="N31" s="86"/>
      <c r="O31" s="100"/>
    </row>
    <row r="32" spans="1:15" ht="15.75" thickBot="1">
      <c r="A32" s="155" t="str">
        <f>'G.F. 0'!A32</f>
        <v>Outros gastos fixos</v>
      </c>
      <c r="B32" s="164" t="str">
        <f t="array" ref="B32:M32">meses</f>
        <v>janeiro</v>
      </c>
      <c r="C32" s="165" t="str">
        <v>fevereiro</v>
      </c>
      <c r="D32" s="165" t="str">
        <v>março</v>
      </c>
      <c r="E32" s="165" t="str">
        <v>abril</v>
      </c>
      <c r="F32" s="165" t="str">
        <v>maio</v>
      </c>
      <c r="G32" s="165" t="str">
        <v>junho</v>
      </c>
      <c r="H32" s="165" t="str">
        <v>julho</v>
      </c>
      <c r="I32" s="165" t="str">
        <v>agosto</v>
      </c>
      <c r="J32" s="165" t="str">
        <v>setembro</v>
      </c>
      <c r="K32" s="165" t="str">
        <v>outubro</v>
      </c>
      <c r="L32" s="165" t="str">
        <v>novembro</v>
      </c>
      <c r="M32" s="166" t="str">
        <v>dezembro</v>
      </c>
      <c r="N32" s="105" t="str">
        <f>'G.F. 0'!N32</f>
        <v>Totais</v>
      </c>
      <c r="O32" s="105" t="s">
        <v>6</v>
      </c>
    </row>
    <row r="33" spans="1:15">
      <c r="A33" s="111" t="str">
        <f t="array" ref="A33:A54">'Despesas Fixas Dados'!A6:A27</f>
        <v>Impostos: IAE, IBI, ...</v>
      </c>
      <c r="B33" s="156">
        <f t="array" ref="B33:M54">IFERROR('Despesas Fixas Dados'!$X6:$X27*'G.F. 3'!$B33:$M54/'G.F. 3'!$N33:$N54,'Despesas Fixas Dados'!$X6:$X27/12)</f>
        <v>0</v>
      </c>
      <c r="C33" s="157">
        <v>0</v>
      </c>
      <c r="D33" s="157">
        <v>0</v>
      </c>
      <c r="E33" s="157">
        <v>0</v>
      </c>
      <c r="F33" s="157">
        <v>0</v>
      </c>
      <c r="G33" s="157">
        <v>0</v>
      </c>
      <c r="H33" s="157">
        <v>0</v>
      </c>
      <c r="I33" s="157">
        <v>0</v>
      </c>
      <c r="J33" s="157">
        <v>0</v>
      </c>
      <c r="K33" s="157">
        <v>0</v>
      </c>
      <c r="L33" s="157">
        <v>0</v>
      </c>
      <c r="M33" s="158">
        <v>0</v>
      </c>
      <c r="N33" s="162">
        <f t="shared" ref="N33:N54" si="5">SUM(B33:M33)</f>
        <v>0</v>
      </c>
      <c r="O33" s="107">
        <f t="array" aca="1" ref="O33:O54" ca="1">N33:N54/$N$58</f>
        <v>0</v>
      </c>
    </row>
    <row r="34" spans="1:15">
      <c r="A34" s="110" t="str">
        <v>Outras despesas fixas ( Sem IVA )</v>
      </c>
      <c r="B34" s="78">
        <v>0</v>
      </c>
      <c r="C34" s="79">
        <v>0</v>
      </c>
      <c r="D34" s="79">
        <v>0</v>
      </c>
      <c r="E34" s="79">
        <v>0</v>
      </c>
      <c r="F34" s="79">
        <v>0</v>
      </c>
      <c r="G34" s="79">
        <v>0</v>
      </c>
      <c r="H34" s="79">
        <v>0</v>
      </c>
      <c r="I34" s="79">
        <v>0</v>
      </c>
      <c r="J34" s="79">
        <v>0</v>
      </c>
      <c r="K34" s="79">
        <v>0</v>
      </c>
      <c r="L34" s="79">
        <v>0</v>
      </c>
      <c r="M34" s="80">
        <v>0</v>
      </c>
      <c r="N34" s="163">
        <f t="shared" si="5"/>
        <v>0</v>
      </c>
      <c r="O34" s="108">
        <f ca="1"/>
        <v>0</v>
      </c>
    </row>
    <row r="35" spans="1:15">
      <c r="A35" s="110" t="str">
        <v>Priémios de Seguros</v>
      </c>
      <c r="B35" s="78">
        <v>0</v>
      </c>
      <c r="C35" s="79">
        <v>0</v>
      </c>
      <c r="D35" s="79">
        <v>0</v>
      </c>
      <c r="E35" s="79">
        <v>0</v>
      </c>
      <c r="F35" s="79">
        <v>0</v>
      </c>
      <c r="G35" s="79">
        <v>0</v>
      </c>
      <c r="H35" s="79">
        <v>0</v>
      </c>
      <c r="I35" s="79">
        <v>0</v>
      </c>
      <c r="J35" s="79">
        <v>0</v>
      </c>
      <c r="K35" s="79">
        <v>0</v>
      </c>
      <c r="L35" s="79">
        <v>0</v>
      </c>
      <c r="M35" s="80">
        <v>0</v>
      </c>
      <c r="N35" s="163">
        <f t="shared" si="5"/>
        <v>0</v>
      </c>
      <c r="O35" s="108">
        <f ca="1"/>
        <v>0</v>
      </c>
    </row>
    <row r="36" spans="1:15">
      <c r="A36" s="110" t="str">
        <v>Ordem / asociação profissional</v>
      </c>
      <c r="B36" s="78">
        <v>0</v>
      </c>
      <c r="C36" s="79">
        <v>0</v>
      </c>
      <c r="D36" s="79">
        <v>0</v>
      </c>
      <c r="E36" s="79">
        <v>0</v>
      </c>
      <c r="F36" s="79">
        <v>0</v>
      </c>
      <c r="G36" s="79">
        <v>0</v>
      </c>
      <c r="H36" s="79">
        <v>0</v>
      </c>
      <c r="I36" s="79">
        <v>0</v>
      </c>
      <c r="J36" s="79">
        <v>0</v>
      </c>
      <c r="K36" s="79">
        <v>0</v>
      </c>
      <c r="L36" s="79">
        <v>0</v>
      </c>
      <c r="M36" s="80">
        <v>0</v>
      </c>
      <c r="N36" s="163">
        <f t="shared" si="5"/>
        <v>0</v>
      </c>
      <c r="O36" s="108">
        <f ca="1"/>
        <v>0</v>
      </c>
    </row>
    <row r="37" spans="1:15">
      <c r="A37" s="110" t="str">
        <v>Suministro de Electricidade</v>
      </c>
      <c r="B37" s="78">
        <v>0</v>
      </c>
      <c r="C37" s="79">
        <v>0</v>
      </c>
      <c r="D37" s="79">
        <v>0</v>
      </c>
      <c r="E37" s="79">
        <v>0</v>
      </c>
      <c r="F37" s="79">
        <v>0</v>
      </c>
      <c r="G37" s="79">
        <v>0</v>
      </c>
      <c r="H37" s="79">
        <v>0</v>
      </c>
      <c r="I37" s="79">
        <v>0</v>
      </c>
      <c r="J37" s="79">
        <v>0</v>
      </c>
      <c r="K37" s="79">
        <v>0</v>
      </c>
      <c r="L37" s="79">
        <v>0</v>
      </c>
      <c r="M37" s="80">
        <v>0</v>
      </c>
      <c r="N37" s="163">
        <f t="shared" si="5"/>
        <v>0</v>
      </c>
      <c r="O37" s="108">
        <f ca="1"/>
        <v>0</v>
      </c>
    </row>
    <row r="38" spans="1:15">
      <c r="A38" s="110" t="str">
        <v>Cuotas periódicas software e IA</v>
      </c>
      <c r="B38" s="78">
        <v>0</v>
      </c>
      <c r="C38" s="79">
        <v>0</v>
      </c>
      <c r="D38" s="79">
        <v>0</v>
      </c>
      <c r="E38" s="79">
        <v>0</v>
      </c>
      <c r="F38" s="79">
        <v>0</v>
      </c>
      <c r="G38" s="79">
        <v>0</v>
      </c>
      <c r="H38" s="79">
        <v>0</v>
      </c>
      <c r="I38" s="79">
        <v>0</v>
      </c>
      <c r="J38" s="79">
        <v>0</v>
      </c>
      <c r="K38" s="79">
        <v>0</v>
      </c>
      <c r="L38" s="79">
        <v>0</v>
      </c>
      <c r="M38" s="80">
        <v>0</v>
      </c>
      <c r="N38" s="163">
        <f t="shared" si="5"/>
        <v>0</v>
      </c>
      <c r="O38" s="108">
        <f ca="1"/>
        <v>0</v>
      </c>
    </row>
    <row r="39" spans="1:15">
      <c r="A39" s="110" t="str">
        <v>Água, taxas saneamiento e lixo</v>
      </c>
      <c r="B39" s="78">
        <v>0</v>
      </c>
      <c r="C39" s="79">
        <v>0</v>
      </c>
      <c r="D39" s="79">
        <v>0</v>
      </c>
      <c r="E39" s="79">
        <v>0</v>
      </c>
      <c r="F39" s="79">
        <v>0</v>
      </c>
      <c r="G39" s="79">
        <v>0</v>
      </c>
      <c r="H39" s="79">
        <v>0</v>
      </c>
      <c r="I39" s="79">
        <v>0</v>
      </c>
      <c r="J39" s="79">
        <v>0</v>
      </c>
      <c r="K39" s="79">
        <v>0</v>
      </c>
      <c r="L39" s="79">
        <v>0</v>
      </c>
      <c r="M39" s="80">
        <v>0</v>
      </c>
      <c r="N39" s="163">
        <f t="shared" si="5"/>
        <v>0</v>
      </c>
      <c r="O39" s="108">
        <f ca="1"/>
        <v>0</v>
      </c>
    </row>
    <row r="40" spans="1:15">
      <c r="A40" s="110" t="str">
        <v>Outros suministros (gaz, etc.)</v>
      </c>
      <c r="B40" s="78">
        <v>0</v>
      </c>
      <c r="C40" s="79">
        <v>0</v>
      </c>
      <c r="D40" s="79">
        <v>0</v>
      </c>
      <c r="E40" s="79">
        <v>0</v>
      </c>
      <c r="F40" s="79">
        <v>0</v>
      </c>
      <c r="G40" s="79">
        <v>0</v>
      </c>
      <c r="H40" s="79">
        <v>0</v>
      </c>
      <c r="I40" s="79">
        <v>0</v>
      </c>
      <c r="J40" s="79">
        <v>0</v>
      </c>
      <c r="K40" s="79">
        <v>0</v>
      </c>
      <c r="L40" s="79">
        <v>0</v>
      </c>
      <c r="M40" s="80">
        <v>0</v>
      </c>
      <c r="N40" s="163">
        <f t="shared" si="5"/>
        <v>0</v>
      </c>
      <c r="O40" s="108">
        <f ca="1"/>
        <v>0</v>
      </c>
    </row>
    <row r="41" spans="1:15">
      <c r="A41" s="110" t="str">
        <v>Telefonia / Internet / Comunicações</v>
      </c>
      <c r="B41" s="78">
        <v>0</v>
      </c>
      <c r="C41" s="79">
        <v>0</v>
      </c>
      <c r="D41" s="79">
        <v>0</v>
      </c>
      <c r="E41" s="79">
        <v>0</v>
      </c>
      <c r="F41" s="79">
        <v>0</v>
      </c>
      <c r="G41" s="79">
        <v>0</v>
      </c>
      <c r="H41" s="79">
        <v>0</v>
      </c>
      <c r="I41" s="79">
        <v>0</v>
      </c>
      <c r="J41" s="79">
        <v>0</v>
      </c>
      <c r="K41" s="79">
        <v>0</v>
      </c>
      <c r="L41" s="79">
        <v>0</v>
      </c>
      <c r="M41" s="80">
        <v>0</v>
      </c>
      <c r="N41" s="163">
        <f t="shared" si="5"/>
        <v>0</v>
      </c>
      <c r="O41" s="108">
        <f ca="1"/>
        <v>0</v>
      </c>
    </row>
    <row r="42" spans="1:15">
      <c r="A42" s="110" t="str">
        <v>Alojamento e serviços web</v>
      </c>
      <c r="B42" s="78">
        <v>0</v>
      </c>
      <c r="C42" s="79">
        <v>0</v>
      </c>
      <c r="D42" s="79">
        <v>0</v>
      </c>
      <c r="E42" s="79">
        <v>0</v>
      </c>
      <c r="F42" s="79">
        <v>0</v>
      </c>
      <c r="G42" s="79">
        <v>0</v>
      </c>
      <c r="H42" s="79">
        <v>0</v>
      </c>
      <c r="I42" s="79">
        <v>0</v>
      </c>
      <c r="J42" s="79">
        <v>0</v>
      </c>
      <c r="K42" s="79">
        <v>0</v>
      </c>
      <c r="L42" s="79">
        <v>0</v>
      </c>
      <c r="M42" s="80">
        <v>0</v>
      </c>
      <c r="N42" s="163">
        <f t="shared" si="5"/>
        <v>0</v>
      </c>
      <c r="O42" s="108">
        <f ca="1"/>
        <v>0</v>
      </c>
    </row>
    <row r="43" spans="1:15">
      <c r="A43" s="110" t="str">
        <v>Alarma / Empresa de seguridade</v>
      </c>
      <c r="B43" s="78">
        <v>0</v>
      </c>
      <c r="C43" s="79">
        <v>0</v>
      </c>
      <c r="D43" s="79">
        <v>0</v>
      </c>
      <c r="E43" s="79">
        <v>0</v>
      </c>
      <c r="F43" s="79">
        <v>0</v>
      </c>
      <c r="G43" s="79">
        <v>0</v>
      </c>
      <c r="H43" s="79">
        <v>0</v>
      </c>
      <c r="I43" s="79">
        <v>0</v>
      </c>
      <c r="J43" s="79">
        <v>0</v>
      </c>
      <c r="K43" s="79">
        <v>0</v>
      </c>
      <c r="L43" s="79">
        <v>0</v>
      </c>
      <c r="M43" s="80">
        <v>0</v>
      </c>
      <c r="N43" s="163">
        <f t="shared" si="5"/>
        <v>0</v>
      </c>
      <c r="O43" s="108">
        <f ca="1"/>
        <v>0</v>
      </c>
    </row>
    <row r="44" spans="1:15">
      <c r="A44" s="110" t="str">
        <v>Material de escritório / papelaria</v>
      </c>
      <c r="B44" s="78">
        <v>0</v>
      </c>
      <c r="C44" s="79">
        <v>0</v>
      </c>
      <c r="D44" s="79">
        <v>0</v>
      </c>
      <c r="E44" s="79">
        <v>0</v>
      </c>
      <c r="F44" s="79">
        <v>0</v>
      </c>
      <c r="G44" s="79">
        <v>0</v>
      </c>
      <c r="H44" s="79">
        <v>0</v>
      </c>
      <c r="I44" s="79">
        <v>0</v>
      </c>
      <c r="J44" s="79">
        <v>0</v>
      </c>
      <c r="K44" s="79">
        <v>0</v>
      </c>
      <c r="L44" s="79">
        <v>0</v>
      </c>
      <c r="M44" s="80">
        <v>0</v>
      </c>
      <c r="N44" s="163">
        <f t="shared" si="5"/>
        <v>0</v>
      </c>
      <c r="O44" s="108">
        <f ca="1"/>
        <v>0</v>
      </c>
    </row>
    <row r="45" spans="1:15">
      <c r="A45" s="110" t="str">
        <v>Congresos / Salões / Viágems</v>
      </c>
      <c r="B45" s="78">
        <v>0</v>
      </c>
      <c r="C45" s="79">
        <v>0</v>
      </c>
      <c r="D45" s="79">
        <v>0</v>
      </c>
      <c r="E45" s="79">
        <v>0</v>
      </c>
      <c r="F45" s="79">
        <v>0</v>
      </c>
      <c r="G45" s="79">
        <v>0</v>
      </c>
      <c r="H45" s="79">
        <v>0</v>
      </c>
      <c r="I45" s="79">
        <v>0</v>
      </c>
      <c r="J45" s="79">
        <v>0</v>
      </c>
      <c r="K45" s="79">
        <v>0</v>
      </c>
      <c r="L45" s="79">
        <v>0</v>
      </c>
      <c r="M45" s="80">
        <v>0</v>
      </c>
      <c r="N45" s="163">
        <f t="shared" si="5"/>
        <v>0</v>
      </c>
      <c r="O45" s="108">
        <f ca="1"/>
        <v>0</v>
      </c>
    </row>
    <row r="46" spans="1:15">
      <c r="A46" s="110" t="str">
        <v>Transporte e desplaçamentos</v>
      </c>
      <c r="B46" s="78">
        <v>0</v>
      </c>
      <c r="C46" s="79">
        <v>0</v>
      </c>
      <c r="D46" s="79">
        <v>0</v>
      </c>
      <c r="E46" s="79">
        <v>0</v>
      </c>
      <c r="F46" s="79">
        <v>0</v>
      </c>
      <c r="G46" s="79">
        <v>0</v>
      </c>
      <c r="H46" s="79">
        <v>0</v>
      </c>
      <c r="I46" s="79">
        <v>0</v>
      </c>
      <c r="J46" s="79">
        <v>0</v>
      </c>
      <c r="K46" s="79">
        <v>0</v>
      </c>
      <c r="L46" s="79">
        <v>0</v>
      </c>
      <c r="M46" s="80">
        <v>0</v>
      </c>
      <c r="N46" s="163">
        <f t="shared" si="5"/>
        <v>0</v>
      </c>
      <c r="O46" s="108">
        <f ca="1"/>
        <v>0</v>
      </c>
    </row>
    <row r="47" spans="1:15">
      <c r="A47" s="110" t="str">
        <v>Asesoría e profissionais independentes</v>
      </c>
      <c r="B47" s="78">
        <v>0</v>
      </c>
      <c r="C47" s="79">
        <v>0</v>
      </c>
      <c r="D47" s="79">
        <v>0</v>
      </c>
      <c r="E47" s="79">
        <v>0</v>
      </c>
      <c r="F47" s="79">
        <v>0</v>
      </c>
      <c r="G47" s="79">
        <v>0</v>
      </c>
      <c r="H47" s="79">
        <v>0</v>
      </c>
      <c r="I47" s="79">
        <v>0</v>
      </c>
      <c r="J47" s="79">
        <v>0</v>
      </c>
      <c r="K47" s="79">
        <v>0</v>
      </c>
      <c r="L47" s="79">
        <v>0</v>
      </c>
      <c r="M47" s="80">
        <v>0</v>
      </c>
      <c r="N47" s="163">
        <f t="shared" si="5"/>
        <v>0</v>
      </c>
      <c r="O47" s="108">
        <f ca="1"/>
        <v>0</v>
      </c>
    </row>
    <row r="48" spans="1:15">
      <c r="A48" s="110" t="str">
        <v>Arrendamentos / alugueres</v>
      </c>
      <c r="B48" s="78">
        <v>0</v>
      </c>
      <c r="C48" s="79">
        <v>0</v>
      </c>
      <c r="D48" s="79">
        <v>0</v>
      </c>
      <c r="E48" s="79">
        <v>0</v>
      </c>
      <c r="F48" s="79">
        <v>0</v>
      </c>
      <c r="G48" s="79">
        <v>0</v>
      </c>
      <c r="H48" s="79">
        <v>0</v>
      </c>
      <c r="I48" s="79">
        <v>0</v>
      </c>
      <c r="J48" s="79">
        <v>0</v>
      </c>
      <c r="K48" s="79">
        <v>0</v>
      </c>
      <c r="L48" s="79">
        <v>0</v>
      </c>
      <c r="M48" s="80">
        <v>0</v>
      </c>
      <c r="N48" s="163">
        <f t="shared" si="5"/>
        <v>0</v>
      </c>
      <c r="O48" s="108">
        <f ca="1"/>
        <v>0</v>
      </c>
    </row>
    <row r="49" spans="1:15">
      <c r="A49" s="110" t="str">
        <v>Despesas Variáveis Marketing online</v>
      </c>
      <c r="B49" s="78">
        <f ca="1"/>
        <v>26.066784039599998</v>
      </c>
      <c r="C49" s="79">
        <f ca="1"/>
        <v>26.066784039599998</v>
      </c>
      <c r="D49" s="79">
        <f ca="1"/>
        <v>26.066784039599998</v>
      </c>
      <c r="E49" s="79">
        <f ca="1"/>
        <v>26.066784039599998</v>
      </c>
      <c r="F49" s="79">
        <f ca="1"/>
        <v>26.066784039599998</v>
      </c>
      <c r="G49" s="79">
        <f ca="1"/>
        <v>26.066784039599998</v>
      </c>
      <c r="H49" s="79">
        <f ca="1"/>
        <v>26.066784039599998</v>
      </c>
      <c r="I49" s="79">
        <f ca="1"/>
        <v>26.066784039599998</v>
      </c>
      <c r="J49" s="79">
        <f ca="1"/>
        <v>26.066784039599998</v>
      </c>
      <c r="K49" s="79">
        <f ca="1"/>
        <v>26.066784039599998</v>
      </c>
      <c r="L49" s="79">
        <f ca="1"/>
        <v>26.066784039599998</v>
      </c>
      <c r="M49" s="80">
        <f ca="1"/>
        <v>26.066784039599998</v>
      </c>
      <c r="N49" s="163">
        <f t="shared" ca="1" si="5"/>
        <v>312.80140847520005</v>
      </c>
      <c r="O49" s="108">
        <f ca="1"/>
        <v>1.4789730406138351E-2</v>
      </c>
    </row>
    <row r="50" spans="1:15">
      <c r="A50" s="110" t="str">
        <v>Despesas Fixas Marketing online</v>
      </c>
      <c r="B50" s="78">
        <v>0</v>
      </c>
      <c r="C50" s="79">
        <v>0</v>
      </c>
      <c r="D50" s="79">
        <v>0</v>
      </c>
      <c r="E50" s="79">
        <v>0</v>
      </c>
      <c r="F50" s="79">
        <v>0</v>
      </c>
      <c r="G50" s="79">
        <v>0</v>
      </c>
      <c r="H50" s="79">
        <v>0</v>
      </c>
      <c r="I50" s="79">
        <v>0</v>
      </c>
      <c r="J50" s="79">
        <v>0</v>
      </c>
      <c r="K50" s="79">
        <v>0</v>
      </c>
      <c r="L50" s="79">
        <v>0</v>
      </c>
      <c r="M50" s="80">
        <v>0</v>
      </c>
      <c r="N50" s="163">
        <f t="shared" si="5"/>
        <v>0</v>
      </c>
      <c r="O50" s="108">
        <f ca="1"/>
        <v>0</v>
      </c>
    </row>
    <row r="51" spans="1:15">
      <c r="A51" s="110" t="str">
        <v>Despesas Variáveis Marketing off-line</v>
      </c>
      <c r="B51" s="78">
        <f ca="1"/>
        <v>26.066784039599998</v>
      </c>
      <c r="C51" s="79">
        <f ca="1"/>
        <v>26.066784039599998</v>
      </c>
      <c r="D51" s="79">
        <f ca="1"/>
        <v>26.066784039599998</v>
      </c>
      <c r="E51" s="79">
        <f ca="1"/>
        <v>26.066784039599998</v>
      </c>
      <c r="F51" s="79">
        <f ca="1"/>
        <v>26.066784039599998</v>
      </c>
      <c r="G51" s="79">
        <f ca="1"/>
        <v>26.066784039599998</v>
      </c>
      <c r="H51" s="79">
        <f ca="1"/>
        <v>26.066784039599998</v>
      </c>
      <c r="I51" s="79">
        <f ca="1"/>
        <v>26.066784039599998</v>
      </c>
      <c r="J51" s="79">
        <f ca="1"/>
        <v>26.066784039599998</v>
      </c>
      <c r="K51" s="79">
        <f ca="1"/>
        <v>26.066784039599998</v>
      </c>
      <c r="L51" s="79">
        <f ca="1"/>
        <v>26.066784039599998</v>
      </c>
      <c r="M51" s="80">
        <f ca="1"/>
        <v>26.066784039599998</v>
      </c>
      <c r="N51" s="163">
        <f t="shared" ca="1" si="5"/>
        <v>312.80140847520005</v>
      </c>
      <c r="O51" s="108">
        <f ca="1"/>
        <v>1.4789730406138351E-2</v>
      </c>
    </row>
    <row r="52" spans="1:15">
      <c r="A52" s="110" t="str">
        <v>Despesas Fixas Marketing off-line</v>
      </c>
      <c r="B52" s="78">
        <v>0</v>
      </c>
      <c r="C52" s="79">
        <v>0</v>
      </c>
      <c r="D52" s="79">
        <v>0</v>
      </c>
      <c r="E52" s="79">
        <v>0</v>
      </c>
      <c r="F52" s="79">
        <v>0</v>
      </c>
      <c r="G52" s="79">
        <v>0</v>
      </c>
      <c r="H52" s="79">
        <v>0</v>
      </c>
      <c r="I52" s="79">
        <v>0</v>
      </c>
      <c r="J52" s="79">
        <v>0</v>
      </c>
      <c r="K52" s="79">
        <v>0</v>
      </c>
      <c r="L52" s="79">
        <v>0</v>
      </c>
      <c r="M52" s="80">
        <v>0</v>
      </c>
      <c r="N52" s="163">
        <f t="shared" si="5"/>
        <v>0</v>
      </c>
      <c r="O52" s="108">
        <f ca="1"/>
        <v>0</v>
      </c>
    </row>
    <row r="53" spans="1:15">
      <c r="A53" s="110" t="str">
        <v>Manutenção e reparações</v>
      </c>
      <c r="B53" s="78">
        <v>0</v>
      </c>
      <c r="C53" s="79">
        <v>0</v>
      </c>
      <c r="D53" s="79">
        <v>0</v>
      </c>
      <c r="E53" s="79">
        <v>0</v>
      </c>
      <c r="F53" s="79">
        <v>0</v>
      </c>
      <c r="G53" s="79">
        <v>0</v>
      </c>
      <c r="H53" s="79">
        <v>0</v>
      </c>
      <c r="I53" s="79">
        <v>0</v>
      </c>
      <c r="J53" s="79">
        <v>0</v>
      </c>
      <c r="K53" s="79">
        <v>0</v>
      </c>
      <c r="L53" s="79">
        <v>0</v>
      </c>
      <c r="M53" s="80">
        <v>0</v>
      </c>
      <c r="N53" s="163">
        <f t="shared" si="5"/>
        <v>0</v>
      </c>
      <c r="O53" s="108">
        <f ca="1"/>
        <v>0</v>
      </c>
    </row>
    <row r="54" spans="1:15" ht="15.75" thickBot="1">
      <c r="A54" s="110" t="str">
        <v>Outras despesas Imprevistas</v>
      </c>
      <c r="B54" s="78">
        <f ca="1"/>
        <v>2.8076605440000004</v>
      </c>
      <c r="C54" s="79">
        <f ca="1"/>
        <v>2.8076605440000004</v>
      </c>
      <c r="D54" s="79">
        <f ca="1"/>
        <v>2.8076605440000004</v>
      </c>
      <c r="E54" s="79">
        <f ca="1"/>
        <v>2.8076605440000004</v>
      </c>
      <c r="F54" s="79">
        <f ca="1"/>
        <v>2.8076605440000004</v>
      </c>
      <c r="G54" s="79">
        <f ca="1"/>
        <v>2.8076605440000004</v>
      </c>
      <c r="H54" s="79">
        <f ca="1"/>
        <v>2.8076605440000004</v>
      </c>
      <c r="I54" s="79">
        <f ca="1"/>
        <v>2.8076605440000004</v>
      </c>
      <c r="J54" s="79">
        <f ca="1"/>
        <v>2.8076605440000004</v>
      </c>
      <c r="K54" s="79">
        <f ca="1"/>
        <v>2.8076605440000004</v>
      </c>
      <c r="L54" s="79">
        <f ca="1"/>
        <v>2.8076605440000004</v>
      </c>
      <c r="M54" s="80">
        <f ca="1"/>
        <v>2.8076605440000004</v>
      </c>
      <c r="N54" s="163">
        <f t="shared" ca="1" si="5"/>
        <v>33.691926528000003</v>
      </c>
      <c r="O54" s="108">
        <f ca="1"/>
        <v>1.5930059670816587E-3</v>
      </c>
    </row>
    <row r="55" spans="1:15" ht="15.75" thickBot="1">
      <c r="A55" s="2472" t="str">
        <f>'G.F. 0'!A55</f>
        <v>Total Outros gastos fixos</v>
      </c>
      <c r="B55" s="2979">
        <f ca="1">SUM(B33:B54)</f>
        <v>54.941228623199997</v>
      </c>
      <c r="C55" s="2980">
        <f t="shared" ref="C55:L55" ca="1" si="6">SUM(C33:C54)</f>
        <v>54.941228623199997</v>
      </c>
      <c r="D55" s="2980">
        <f t="shared" ca="1" si="6"/>
        <v>54.941228623199997</v>
      </c>
      <c r="E55" s="2980">
        <f t="shared" ca="1" si="6"/>
        <v>54.941228623199997</v>
      </c>
      <c r="F55" s="2980">
        <f ca="1">SUM(F33:F54)</f>
        <v>54.941228623199997</v>
      </c>
      <c r="G55" s="2980">
        <f t="shared" ca="1" si="6"/>
        <v>54.941228623199997</v>
      </c>
      <c r="H55" s="2980">
        <f t="shared" ca="1" si="6"/>
        <v>54.941228623199997</v>
      </c>
      <c r="I55" s="2980">
        <f t="shared" ca="1" si="6"/>
        <v>54.941228623199997</v>
      </c>
      <c r="J55" s="2980">
        <f t="shared" ca="1" si="6"/>
        <v>54.941228623199997</v>
      </c>
      <c r="K55" s="2980">
        <f t="shared" ca="1" si="6"/>
        <v>54.941228623199997</v>
      </c>
      <c r="L55" s="2980">
        <f t="shared" ca="1" si="6"/>
        <v>54.941228623199997</v>
      </c>
      <c r="M55" s="85">
        <f ca="1">SUM(M33:M54)</f>
        <v>54.941228623199997</v>
      </c>
      <c r="N55" s="87">
        <f ca="1">SUM(N33:N54)</f>
        <v>659.29474347840005</v>
      </c>
      <c r="O55" s="113">
        <f ca="1">N55/$N$58</f>
        <v>3.1172466779358358E-2</v>
      </c>
    </row>
    <row r="56" spans="1:15">
      <c r="A56" s="88"/>
      <c r="B56" s="101"/>
      <c r="C56" s="101"/>
      <c r="D56" s="101"/>
      <c r="E56" s="101"/>
      <c r="F56" s="101"/>
      <c r="G56" s="101"/>
      <c r="H56" s="101"/>
      <c r="I56" s="101"/>
      <c r="J56" s="101"/>
      <c r="K56" s="101"/>
      <c r="L56" s="101"/>
      <c r="M56" s="101"/>
      <c r="N56" s="62"/>
      <c r="O56" s="100"/>
    </row>
    <row r="57" spans="1:15" ht="15.75" thickBot="1">
      <c r="A57" s="88"/>
      <c r="B57" s="101"/>
      <c r="C57" s="101"/>
      <c r="D57" s="101"/>
      <c r="E57" s="101"/>
      <c r="F57" s="101"/>
      <c r="G57" s="101"/>
      <c r="H57" s="101"/>
      <c r="I57" s="101"/>
      <c r="J57" s="101"/>
      <c r="K57" s="101"/>
      <c r="L57" s="101"/>
      <c r="M57" s="101"/>
      <c r="N57" s="62"/>
      <c r="O57" s="100"/>
    </row>
    <row r="58" spans="1:15" ht="15.75" thickBot="1">
      <c r="A58" s="2474" t="str">
        <f>'G.F. 0'!A58</f>
        <v>Total Gastos Fixos</v>
      </c>
      <c r="B58" s="2981">
        <f t="array" ref="B58:M58" ca="1">B27:M27+B55:M55</f>
        <v>1745.0249973607001</v>
      </c>
      <c r="C58" s="2982">
        <f ca="1"/>
        <v>1745.0249973607001</v>
      </c>
      <c r="D58" s="2982">
        <f ca="1"/>
        <v>1745.0249973607001</v>
      </c>
      <c r="E58" s="2982">
        <f ca="1"/>
        <v>1768.3145610934503</v>
      </c>
      <c r="F58" s="2982">
        <f ca="1"/>
        <v>1768.3145610934503</v>
      </c>
      <c r="G58" s="2982">
        <f ca="1"/>
        <v>1768.3145610934503</v>
      </c>
      <c r="H58" s="2982">
        <f ca="1"/>
        <v>1768.3145610934503</v>
      </c>
      <c r="I58" s="2982">
        <f ca="1"/>
        <v>1768.3145610934503</v>
      </c>
      <c r="J58" s="2982">
        <f ca="1"/>
        <v>1768.3145610934503</v>
      </c>
      <c r="K58" s="2982">
        <f ca="1"/>
        <v>1768.3145610934503</v>
      </c>
      <c r="L58" s="2982">
        <f ca="1"/>
        <v>1768.3145610934503</v>
      </c>
      <c r="M58" s="2983">
        <f ca="1"/>
        <v>1768.3145610934503</v>
      </c>
      <c r="N58" s="152">
        <f ca="1">N27+N55</f>
        <v>21149.90604192315</v>
      </c>
      <c r="O58" s="100"/>
    </row>
    <row r="59" spans="1:15" ht="15.75" thickBot="1">
      <c r="O59" s="100"/>
    </row>
    <row r="60" spans="1:15" ht="15.75" thickBot="1">
      <c r="A60" s="153" t="str">
        <f>'G.F. 0'!A60</f>
        <v>IVA deducível dos Gastos fixos</v>
      </c>
      <c r="B60" s="2984">
        <f ca="1">Parametros!$F$33*SUM(B37:B54)</f>
        <v>11.537658010871999</v>
      </c>
      <c r="C60" s="2985">
        <f ca="1">Parametros!$F$33*SUM(C37:C54)</f>
        <v>11.537658010871999</v>
      </c>
      <c r="D60" s="2985">
        <f ca="1">Parametros!$F$33*SUM(D37:D54)</f>
        <v>11.537658010871999</v>
      </c>
      <c r="E60" s="2985">
        <f ca="1">Parametros!$F$33*SUM(E37:E54)</f>
        <v>11.537658010871999</v>
      </c>
      <c r="F60" s="2985">
        <f ca="1">Parametros!$F$33*SUM(F37:F54)</f>
        <v>11.537658010871999</v>
      </c>
      <c r="G60" s="2985">
        <f ca="1">Parametros!$F$33*SUM(G37:G54)</f>
        <v>11.537658010871999</v>
      </c>
      <c r="H60" s="2985">
        <f ca="1">Parametros!$F$33*SUM(H37:H54)</f>
        <v>11.537658010871999</v>
      </c>
      <c r="I60" s="2985">
        <f ca="1">Parametros!$F$33*SUM(I37:I54)</f>
        <v>11.537658010871999</v>
      </c>
      <c r="J60" s="2985">
        <f ca="1">Parametros!$F$33*SUM(J37:J54)</f>
        <v>11.537658010871999</v>
      </c>
      <c r="K60" s="2985">
        <f ca="1">Parametros!$F$33*SUM(K37:K54)</f>
        <v>11.537658010871999</v>
      </c>
      <c r="L60" s="2985">
        <f ca="1">Parametros!$F$33*SUM(L37:L54)</f>
        <v>11.537658010871999</v>
      </c>
      <c r="M60" s="2986">
        <f ca="1">Parametros!$F$33*SUM(M37:M54)</f>
        <v>11.537658010871999</v>
      </c>
      <c r="N60" s="152">
        <f ca="1">SUM(B60:M60)</f>
        <v>138.45189613046395</v>
      </c>
    </row>
  </sheetData>
  <sheetProtection sheet="1" objects="1" scenarios="1"/>
  <phoneticPr fontId="4" type="noConversion"/>
  <printOptions horizontalCentered="1"/>
  <pageMargins left="0.75" right="0.75" top="0.6692913385826772" bottom="0.52" header="0" footer="0"/>
  <pageSetup paperSize="9" scale="59" orientation="landscape" horizontalDpi="300" r:id="rId1"/>
  <headerFooter alignWithMargins="0"/>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26">
    <tabColor indexed="41"/>
    <pageSetUpPr fitToPage="1"/>
  </sheetPr>
  <dimension ref="A1:P46"/>
  <sheetViews>
    <sheetView workbookViewId="0"/>
  </sheetViews>
  <sheetFormatPr baseColWidth="10" defaultColWidth="11" defaultRowHeight="15"/>
  <cols>
    <col min="1" max="1" width="19.75" style="36" customWidth="1"/>
    <col min="2" max="3" width="11" style="36"/>
    <col min="4" max="4" width="10.25" style="36" customWidth="1"/>
    <col min="5" max="5" width="11.625" style="36" customWidth="1"/>
    <col min="6" max="6" width="12.625" style="36" customWidth="1"/>
    <col min="7" max="7" width="11.125" style="36" customWidth="1"/>
    <col min="8" max="8" width="11.625" style="36" customWidth="1"/>
    <col min="9" max="9" width="12" style="36" customWidth="1"/>
    <col min="10" max="11" width="11" style="36"/>
    <col min="12" max="12" width="11.375" style="36" customWidth="1"/>
    <col min="13" max="14" width="11" style="36"/>
    <col min="15" max="15" width="11.75" style="36" bestFit="1" customWidth="1"/>
    <col min="16" max="17" width="8.625" style="36" customWidth="1"/>
    <col min="18" max="18" width="9.875" style="36" customWidth="1"/>
    <col min="19" max="20" width="8.625" style="36" customWidth="1"/>
    <col min="21" max="16384" width="11" style="36"/>
  </cols>
  <sheetData>
    <row r="1" spans="1:16" s="68" customFormat="1" ht="22.5">
      <c r="A1" s="68" t="str">
        <f>CONCATENATE("Previsões de Liquidações de ",'Dados Básicos'!$A$28)</f>
        <v>Previsões de Liquidações de IVA</v>
      </c>
      <c r="B1" s="260"/>
      <c r="F1" s="532" t="str">
        <f>Parametros!B$77</f>
        <v>Ano 0:  2026</v>
      </c>
      <c r="G1" s="260"/>
    </row>
    <row r="2" spans="1:16" s="68" customFormat="1" ht="22.5">
      <c r="A2" s="68" t="str">
        <f>'Prev.Vendas 0'!A2</f>
        <v>WWW, S.L.</v>
      </c>
      <c r="B2" s="260"/>
    </row>
    <row r="3" spans="1:16" ht="15.75" thickBot="1">
      <c r="A3" s="1116"/>
      <c r="B3" s="61"/>
      <c r="C3" s="61"/>
      <c r="D3" s="239"/>
      <c r="E3" s="239"/>
      <c r="F3" s="239"/>
      <c r="G3" s="239"/>
      <c r="H3" s="239"/>
      <c r="I3" s="239"/>
      <c r="J3" s="239"/>
      <c r="K3" s="239"/>
      <c r="L3" s="239"/>
      <c r="M3" s="239"/>
      <c r="N3" s="239"/>
      <c r="O3" s="239"/>
      <c r="P3" s="239"/>
    </row>
    <row r="4" spans="1:16" ht="15.75" thickBot="1">
      <c r="A4" s="1149" t="str">
        <f>'Dados Básicos'!$A$28&amp;" Soportado"</f>
        <v>IVA Soportado</v>
      </c>
      <c r="B4" s="438"/>
      <c r="C4" s="165" t="str">
        <f t="array" ref="C4:N4">meses</f>
        <v>janeiro</v>
      </c>
      <c r="D4" s="165" t="str">
        <v>fevereiro</v>
      </c>
      <c r="E4" s="165" t="str">
        <v>março</v>
      </c>
      <c r="F4" s="165" t="str">
        <v>abril</v>
      </c>
      <c r="G4" s="165" t="str">
        <v>maio</v>
      </c>
      <c r="H4" s="165" t="str">
        <v>junho</v>
      </c>
      <c r="I4" s="165" t="str">
        <v>julho</v>
      </c>
      <c r="J4" s="165" t="str">
        <v>agosto</v>
      </c>
      <c r="K4" s="165" t="str">
        <v>setembro</v>
      </c>
      <c r="L4" s="165" t="str">
        <v>outubro</v>
      </c>
      <c r="M4" s="165" t="str">
        <v>novembro</v>
      </c>
      <c r="N4" s="165" t="str">
        <v>dezembro</v>
      </c>
      <c r="O4" s="166" t="s">
        <v>612</v>
      </c>
    </row>
    <row r="5" spans="1:16">
      <c r="A5" s="2488" t="str">
        <f>'Dados Básicos'!$A$28&amp;" sop. de Compras e C.V."</f>
        <v>IVA sop. de Compras e C.V.</v>
      </c>
      <c r="B5" s="2489"/>
      <c r="C5" s="1117">
        <f t="array" aca="1" ref="C5:N5" ca="1">'Distr CV 0'!B67:M67</f>
        <v>5.8800000000000008</v>
      </c>
      <c r="D5" s="1118">
        <f ca="1"/>
        <v>8.0181818181818194</v>
      </c>
      <c r="E5" s="1118">
        <f ca="1"/>
        <v>10.156363636363638</v>
      </c>
      <c r="F5" s="1118">
        <f ca="1"/>
        <v>12.294545454545457</v>
      </c>
      <c r="G5" s="1118">
        <f ca="1"/>
        <v>14.432727272727274</v>
      </c>
      <c r="H5" s="1118">
        <f ca="1"/>
        <v>16.570909090909094</v>
      </c>
      <c r="I5" s="1118">
        <f ca="1"/>
        <v>18.709090909090911</v>
      </c>
      <c r="J5" s="1118">
        <f ca="1"/>
        <v>20.847272727272724</v>
      </c>
      <c r="K5" s="1118">
        <f ca="1"/>
        <v>22.985454545454548</v>
      </c>
      <c r="L5" s="1118">
        <f ca="1"/>
        <v>25.123636363636365</v>
      </c>
      <c r="M5" s="1118">
        <f ca="1"/>
        <v>27.261818181818185</v>
      </c>
      <c r="N5" s="1119">
        <f ca="1"/>
        <v>29.4</v>
      </c>
      <c r="O5" s="1150">
        <f ca="1">SUM(C5:N5)</f>
        <v>211.68000000000004</v>
      </c>
    </row>
    <row r="6" spans="1:16">
      <c r="A6" s="1152" t="str">
        <f>'Dados Básicos'!$A$28&amp;" sop. de Gastos fixos"</f>
        <v>IVA sop. de Gastos fixos</v>
      </c>
      <c r="B6" s="1120"/>
      <c r="C6" s="1118">
        <f t="array" ref="C6:N6" ca="1">'G.F. 0'!B60:M60</f>
        <v>5.5439999999999987</v>
      </c>
      <c r="D6" s="1118">
        <f ca="1"/>
        <v>5.5439999999999987</v>
      </c>
      <c r="E6" s="1118">
        <f ca="1"/>
        <v>5.5439999999999987</v>
      </c>
      <c r="F6" s="1118">
        <f ca="1"/>
        <v>5.5439999999999987</v>
      </c>
      <c r="G6" s="1118">
        <f ca="1"/>
        <v>5.5439999999999987</v>
      </c>
      <c r="H6" s="1118">
        <f ca="1"/>
        <v>5.5439999999999987</v>
      </c>
      <c r="I6" s="1118">
        <f ca="1"/>
        <v>5.5439999999999987</v>
      </c>
      <c r="J6" s="1118">
        <f ca="1"/>
        <v>5.5439999999999987</v>
      </c>
      <c r="K6" s="1118">
        <f ca="1"/>
        <v>5.5439999999999987</v>
      </c>
      <c r="L6" s="1118">
        <f ca="1"/>
        <v>5.5439999999999987</v>
      </c>
      <c r="M6" s="1118">
        <f ca="1"/>
        <v>5.5439999999999987</v>
      </c>
      <c r="N6" s="1119">
        <f ca="1"/>
        <v>5.5439999999999987</v>
      </c>
      <c r="O6" s="1150">
        <f ca="1">SUM(C6:N6)</f>
        <v>66.527999999999977</v>
      </c>
    </row>
    <row r="7" spans="1:16">
      <c r="A7" s="1153" t="str">
        <f>'Dados Básicos'!$A$28&amp;" sop. de investimentos"</f>
        <v>IVA sop. de investimentos</v>
      </c>
      <c r="B7" s="1121"/>
      <c r="C7" s="1118"/>
      <c r="D7" s="1118"/>
      <c r="E7" s="1118"/>
      <c r="F7" s="1118"/>
      <c r="G7" s="1118"/>
      <c r="H7" s="1118"/>
      <c r="I7" s="1118"/>
      <c r="J7" s="1118"/>
      <c r="K7" s="1118"/>
      <c r="L7" s="1118"/>
      <c r="M7" s="1118"/>
      <c r="N7" s="1119"/>
      <c r="O7" s="1150">
        <f>SUM(C7:N7)</f>
        <v>0</v>
      </c>
    </row>
    <row r="8" spans="1:16" ht="15.75" thickBot="1">
      <c r="A8" s="1154" t="str">
        <f>'Dados Básicos'!$A$28&amp;" quotas Leasing/Renting"</f>
        <v>IVA quotas Leasing/Renting</v>
      </c>
      <c r="B8" s="1122"/>
      <c r="C8" s="1123">
        <f t="array" ref="C8:N8">Leasing!B24:M24+Renting!B24:M24</f>
        <v>0</v>
      </c>
      <c r="D8" s="1124">
        <v>0</v>
      </c>
      <c r="E8" s="1124">
        <v>0</v>
      </c>
      <c r="F8" s="1124">
        <v>0</v>
      </c>
      <c r="G8" s="1124">
        <v>0</v>
      </c>
      <c r="H8" s="1124">
        <v>0</v>
      </c>
      <c r="I8" s="1124">
        <v>0</v>
      </c>
      <c r="J8" s="1124">
        <v>0</v>
      </c>
      <c r="K8" s="1124">
        <v>0</v>
      </c>
      <c r="L8" s="1124">
        <v>0</v>
      </c>
      <c r="M8" s="1124">
        <v>0</v>
      </c>
      <c r="N8" s="1125">
        <v>0</v>
      </c>
      <c r="O8" s="1151">
        <f>SUM(C8:N8)</f>
        <v>0</v>
      </c>
    </row>
    <row r="9" spans="1:16" ht="15.75" thickBot="1">
      <c r="A9" s="2490"/>
      <c r="B9" s="2492" t="str">
        <f>"Total "&amp;A4</f>
        <v>Total IVA Soportado</v>
      </c>
      <c r="C9" s="1169">
        <f t="shared" ref="C9:O9" ca="1" si="0">SUM(C5:C8)</f>
        <v>11.423999999999999</v>
      </c>
      <c r="D9" s="1170">
        <f t="shared" ca="1" si="0"/>
        <v>13.562181818181818</v>
      </c>
      <c r="E9" s="1170">
        <f t="shared" ca="1" si="0"/>
        <v>15.700363636363637</v>
      </c>
      <c r="F9" s="1170">
        <f t="shared" ca="1" si="0"/>
        <v>17.838545454545454</v>
      </c>
      <c r="G9" s="1170">
        <f t="shared" ca="1" si="0"/>
        <v>19.976727272727274</v>
      </c>
      <c r="H9" s="1170">
        <f t="shared" ca="1" si="0"/>
        <v>22.114909090909094</v>
      </c>
      <c r="I9" s="1170">
        <f t="shared" ca="1" si="0"/>
        <v>24.253090909090908</v>
      </c>
      <c r="J9" s="1170">
        <f t="shared" ca="1" si="0"/>
        <v>26.391272727272721</v>
      </c>
      <c r="K9" s="1170">
        <f t="shared" ca="1" si="0"/>
        <v>28.529454545454549</v>
      </c>
      <c r="L9" s="1170">
        <f t="shared" ca="1" si="0"/>
        <v>30.667636363636362</v>
      </c>
      <c r="M9" s="1170">
        <f t="shared" ca="1" si="0"/>
        <v>32.805818181818182</v>
      </c>
      <c r="N9" s="1171">
        <f t="shared" ca="1" si="0"/>
        <v>34.943999999999996</v>
      </c>
      <c r="O9" s="1172">
        <f t="shared" ca="1" si="0"/>
        <v>278.20800000000003</v>
      </c>
    </row>
    <row r="10" spans="1:16" ht="15.75" thickBot="1">
      <c r="A10" s="1126"/>
      <c r="C10" s="1127"/>
      <c r="D10" s="1127"/>
      <c r="E10" s="1127"/>
      <c r="F10" s="1127"/>
      <c r="G10" s="1127"/>
      <c r="H10" s="1127"/>
      <c r="I10" s="1127"/>
      <c r="J10" s="1127"/>
      <c r="K10" s="1127"/>
      <c r="L10" s="1127"/>
      <c r="M10" s="1127"/>
      <c r="N10" s="1127"/>
      <c r="O10" s="1127"/>
    </row>
    <row r="11" spans="1:16" ht="15.75" thickBot="1">
      <c r="A11" s="2484" t="str">
        <f>"Coeficientes de prorrata "&amp;'Dados Básicos'!B30</f>
        <v>Coeficientes de prorrata Trimestrais</v>
      </c>
      <c r="B11" s="2485"/>
      <c r="C11" s="2527">
        <f t="array" ref="C11:O11">C42:O42</f>
        <v>1</v>
      </c>
      <c r="D11" s="2527">
        <v>0</v>
      </c>
      <c r="E11" s="2528">
        <f ca="1"/>
        <v>0</v>
      </c>
      <c r="F11" s="2527">
        <v>0</v>
      </c>
      <c r="G11" s="2527">
        <v>0</v>
      </c>
      <c r="H11" s="2528">
        <f ca="1"/>
        <v>0</v>
      </c>
      <c r="I11" s="2527">
        <v>0</v>
      </c>
      <c r="J11" s="2527">
        <v>0</v>
      </c>
      <c r="K11" s="2528">
        <f ca="1"/>
        <v>0</v>
      </c>
      <c r="L11" s="2527">
        <v>0</v>
      </c>
      <c r="M11" s="2527">
        <v>0</v>
      </c>
      <c r="N11" s="2528">
        <f ca="1"/>
        <v>0</v>
      </c>
      <c r="O11" s="3177">
        <f ca="1"/>
        <v>1</v>
      </c>
    </row>
    <row r="12" spans="1:16">
      <c r="A12" s="2486" t="str">
        <f>"Total "&amp;'Dados Básicos'!$A$28&amp;" soportado deducível"</f>
        <v>Total IVA soportado deducível</v>
      </c>
      <c r="B12" s="2487"/>
      <c r="C12" s="3176">
        <f t="array" aca="1" ref="C12:N12" ca="1">$C$11*C9:N9</f>
        <v>11.423999999999999</v>
      </c>
      <c r="D12" s="3176">
        <f ca="1"/>
        <v>13.562181818181818</v>
      </c>
      <c r="E12" s="3176">
        <f ca="1"/>
        <v>15.700363636363637</v>
      </c>
      <c r="F12" s="3176">
        <f ca="1"/>
        <v>17.838545454545454</v>
      </c>
      <c r="G12" s="3176">
        <f ca="1"/>
        <v>19.976727272727274</v>
      </c>
      <c r="H12" s="3176">
        <f ca="1"/>
        <v>22.114909090909094</v>
      </c>
      <c r="I12" s="3176">
        <f ca="1"/>
        <v>24.253090909090908</v>
      </c>
      <c r="J12" s="3176">
        <f ca="1"/>
        <v>26.391272727272721</v>
      </c>
      <c r="K12" s="3176">
        <f ca="1"/>
        <v>28.529454545454549</v>
      </c>
      <c r="L12" s="3176">
        <f ca="1"/>
        <v>30.667636363636362</v>
      </c>
      <c r="M12" s="3176">
        <f ca="1"/>
        <v>32.805818181818182</v>
      </c>
      <c r="N12" s="3176">
        <f ca="1"/>
        <v>34.943999999999996</v>
      </c>
      <c r="O12" s="1166">
        <f ca="1">SUM(C12:N12)</f>
        <v>278.20799999999997</v>
      </c>
    </row>
    <row r="13" spans="1:16" ht="16.5" customHeight="1" thickBot="1">
      <c r="A13" s="232" t="str">
        <f>"Total "&amp;'Dados Básicos'!$A$28&amp;" soportado para gasto"</f>
        <v>Total IVA soportado para gasto</v>
      </c>
      <c r="B13" s="2483"/>
      <c r="C13" s="1167">
        <f t="array" aca="1" ref="C13:N13" ca="1">C9:N9-C12:N12</f>
        <v>0</v>
      </c>
      <c r="D13" s="1167">
        <f ca="1"/>
        <v>0</v>
      </c>
      <c r="E13" s="1167">
        <f ca="1"/>
        <v>0</v>
      </c>
      <c r="F13" s="1167">
        <f ca="1"/>
        <v>0</v>
      </c>
      <c r="G13" s="1167">
        <f ca="1"/>
        <v>0</v>
      </c>
      <c r="H13" s="1167">
        <f ca="1"/>
        <v>0</v>
      </c>
      <c r="I13" s="1167">
        <f ca="1"/>
        <v>0</v>
      </c>
      <c r="J13" s="1167">
        <f ca="1"/>
        <v>0</v>
      </c>
      <c r="K13" s="1167">
        <f ca="1"/>
        <v>0</v>
      </c>
      <c r="L13" s="1167">
        <f ca="1"/>
        <v>0</v>
      </c>
      <c r="M13" s="1167">
        <f ca="1"/>
        <v>0</v>
      </c>
      <c r="N13" s="1167">
        <f ca="1"/>
        <v>0</v>
      </c>
      <c r="O13" s="1168">
        <f ca="1">SUM(C13:N13)</f>
        <v>0</v>
      </c>
    </row>
    <row r="14" spans="1:16" ht="15.75" thickBot="1"/>
    <row r="15" spans="1:16" ht="15.75" thickBot="1">
      <c r="A15" s="65"/>
      <c r="B15" s="395" t="str">
        <f>"Conta Corrente "&amp;'Dados Básicos'!$A$28</f>
        <v>Conta Corrente IVA</v>
      </c>
      <c r="C15" s="1162" t="str">
        <f>'Dados Básicos'!$B$32</f>
        <v>Não</v>
      </c>
      <c r="D15" s="2454">
        <f>IVAcc</f>
        <v>0</v>
      </c>
      <c r="E15" s="65"/>
      <c r="F15" s="1163" t="str">
        <f>IF(IVAmensual,"Mes","Trimestre")&amp;" Invest. Inicial"</f>
        <v>Trimestre Invest. Inicial</v>
      </c>
      <c r="G15" s="547" t="str">
        <f>IF(IVAmensual=0, IF(mes0&lt;4,"1T",IF(mes0&lt;7,"2T",IF(mes0&lt;10,"3T","4T"))),mes0)</f>
        <v>1T</v>
      </c>
      <c r="L15" s="65"/>
      <c r="M15" s="375"/>
      <c r="N15" s="3182" t="s">
        <v>1264</v>
      </c>
      <c r="O15" s="3183">
        <f ca="1">-O9*($O$11-$C$11)</f>
        <v>0</v>
      </c>
    </row>
    <row r="17" spans="1:15" s="99" customFormat="1" ht="23.25" thickBot="1">
      <c r="A17" s="68" t="str">
        <f>CONCATENATE("Liquidações ",'Dados Básicos'!$B$30," de ",'Dados Básicos'!$A$28," da empresa ")</f>
        <v xml:space="preserve">Liquidações Trimestrais de IVA da empresa </v>
      </c>
      <c r="B17" s="260"/>
      <c r="C17" s="68"/>
      <c r="D17" s="68"/>
      <c r="E17" s="260"/>
      <c r="F17" s="260"/>
    </row>
    <row r="18" spans="1:15" ht="15.75" thickBot="1">
      <c r="A18" s="2475"/>
      <c r="B18" s="2476"/>
      <c r="C18" s="1143" t="str">
        <f t="array" ref="C18:N18">meses</f>
        <v>janeiro</v>
      </c>
      <c r="D18" s="1143" t="str">
        <v>fevereiro</v>
      </c>
      <c r="E18" s="1143" t="str">
        <v>março</v>
      </c>
      <c r="F18" s="1143" t="str">
        <v>abril</v>
      </c>
      <c r="G18" s="1143" t="str">
        <v>maio</v>
      </c>
      <c r="H18" s="1143" t="str">
        <v>junho</v>
      </c>
      <c r="I18" s="1143" t="str">
        <v>julho</v>
      </c>
      <c r="J18" s="1143" t="str">
        <v>agosto</v>
      </c>
      <c r="K18" s="1143" t="str">
        <v>setembro</v>
      </c>
      <c r="L18" s="1143" t="str">
        <v>outubro</v>
      </c>
      <c r="M18" s="1143" t="str">
        <v>novembro</v>
      </c>
      <c r="N18" s="1143" t="str">
        <v>dezembro</v>
      </c>
      <c r="O18" s="1144" t="str">
        <f>$O$4</f>
        <v>Totais</v>
      </c>
    </row>
    <row r="19" spans="1:15">
      <c r="A19" s="2477" t="str">
        <f>"Total "&amp;'Dados Básicos'!$A$28&amp;" Repercutido"</f>
        <v>Total IVA Repercutido</v>
      </c>
      <c r="B19" s="2478"/>
      <c r="C19" s="1117">
        <f t="array" aca="1" ref="C19" ca="1">SUM(Parametros!$E$24:$E$31*C31:C38)</f>
        <v>42</v>
      </c>
      <c r="D19" s="1117">
        <f t="array" aca="1" ref="D19" ca="1">SUM(Parametros!$E$24:$E$31*D31:D38)</f>
        <v>57.272727272727273</v>
      </c>
      <c r="E19" s="1117">
        <f t="array" aca="1" ref="E19" ca="1">SUM(Parametros!$E$24:$E$31*E31:E38)</f>
        <v>72.545454545454547</v>
      </c>
      <c r="F19" s="1117">
        <f t="array" aca="1" ref="F19" ca="1">SUM(Parametros!$E$24:$E$31*F31:F38)</f>
        <v>87.818181818181813</v>
      </c>
      <c r="G19" s="1117">
        <f t="array" aca="1" ref="G19" ca="1">SUM(Parametros!$E$24:$E$31*G31:G38)</f>
        <v>103.09090909090909</v>
      </c>
      <c r="H19" s="1117">
        <f t="array" aca="1" ref="H19" ca="1">SUM(Parametros!$E$24:$E$31*H31:H38)</f>
        <v>118.36363636363636</v>
      </c>
      <c r="I19" s="1117">
        <f t="array" aca="1" ref="I19" ca="1">SUM(Parametros!$E$24:$E$31*I31:I38)</f>
        <v>133.63636363636363</v>
      </c>
      <c r="J19" s="1117">
        <f t="array" aca="1" ref="J19" ca="1">SUM(Parametros!$E$24:$E$31*J31:J38)</f>
        <v>148.90909090909088</v>
      </c>
      <c r="K19" s="1117">
        <f t="array" aca="1" ref="K19" ca="1">SUM(Parametros!$E$24:$E$31*K31:K38)</f>
        <v>164.18181818181819</v>
      </c>
      <c r="L19" s="1117">
        <f t="array" aca="1" ref="L19" ca="1">SUM(Parametros!$E$24:$E$31*L31:L38)</f>
        <v>179.45454545454544</v>
      </c>
      <c r="M19" s="1117">
        <f t="array" aca="1" ref="M19" ca="1">SUM(Parametros!$E$24:$E$31*M31:M38)</f>
        <v>194.72727272727272</v>
      </c>
      <c r="N19" s="1117">
        <f t="array" aca="1" ref="N19" ca="1">SUM(Parametros!$E$24:$E$31*N31:N38)</f>
        <v>210</v>
      </c>
      <c r="O19" s="1146">
        <f ca="1">SUM(C19:N19)</f>
        <v>1512</v>
      </c>
    </row>
    <row r="20" spans="1:15">
      <c r="A20" s="2479" t="str">
        <f>"Total "&amp;'Dados Básicos'!$A$28&amp;" soportado deducível"</f>
        <v>Total IVA soportado deducível</v>
      </c>
      <c r="B20" s="2480"/>
      <c r="C20" s="1118">
        <f t="array" aca="1" ref="C20:N20" ca="1">C12:N12</f>
        <v>11.423999999999999</v>
      </c>
      <c r="D20" s="1118">
        <f ca="1"/>
        <v>13.562181818181818</v>
      </c>
      <c r="E20" s="1118">
        <f ca="1"/>
        <v>15.700363636363637</v>
      </c>
      <c r="F20" s="1118">
        <f ca="1"/>
        <v>17.838545454545454</v>
      </c>
      <c r="G20" s="1118">
        <f ca="1"/>
        <v>19.976727272727274</v>
      </c>
      <c r="H20" s="1118">
        <f ca="1"/>
        <v>22.114909090909094</v>
      </c>
      <c r="I20" s="1118">
        <f ca="1"/>
        <v>24.253090909090908</v>
      </c>
      <c r="J20" s="1118">
        <f ca="1"/>
        <v>26.391272727272721</v>
      </c>
      <c r="K20" s="1118">
        <f ca="1"/>
        <v>28.529454545454549</v>
      </c>
      <c r="L20" s="1118">
        <f ca="1"/>
        <v>30.667636363636362</v>
      </c>
      <c r="M20" s="1118">
        <f ca="1"/>
        <v>32.805818181818182</v>
      </c>
      <c r="N20" s="1118">
        <f ca="1"/>
        <v>34.943999999999996</v>
      </c>
      <c r="O20" s="1141">
        <f ca="1">SUM(C20:N20)</f>
        <v>278.20799999999997</v>
      </c>
    </row>
    <row r="21" spans="1:15" ht="15.75" thickBot="1">
      <c r="A21" s="2481" t="str">
        <f>"Diferências "&amp;'Dados Básicos'!$A$28</f>
        <v>Diferências IVA</v>
      </c>
      <c r="B21" s="2482"/>
      <c r="C21" s="1165">
        <f t="array" aca="1" ref="C21:N21" ca="1">C19:N19-C20:N20</f>
        <v>30.576000000000001</v>
      </c>
      <c r="D21" s="1165">
        <f ca="1"/>
        <v>43.710545454545453</v>
      </c>
      <c r="E21" s="1165">
        <f ca="1"/>
        <v>56.845090909090914</v>
      </c>
      <c r="F21" s="1165">
        <f ca="1"/>
        <v>69.979636363636359</v>
      </c>
      <c r="G21" s="1165">
        <f ca="1"/>
        <v>83.114181818181819</v>
      </c>
      <c r="H21" s="1165">
        <f ca="1"/>
        <v>96.248727272727265</v>
      </c>
      <c r="I21" s="1165">
        <f ca="1"/>
        <v>109.38327272727273</v>
      </c>
      <c r="J21" s="1165">
        <f ca="1"/>
        <v>122.51781818181816</v>
      </c>
      <c r="K21" s="1165">
        <f ca="1"/>
        <v>135.65236363636365</v>
      </c>
      <c r="L21" s="1165">
        <f ca="1"/>
        <v>148.78690909090909</v>
      </c>
      <c r="M21" s="1165">
        <f ca="1"/>
        <v>161.92145454545454</v>
      </c>
      <c r="N21" s="1165">
        <f ca="1"/>
        <v>175.05600000000001</v>
      </c>
      <c r="O21" s="1142">
        <f ca="1">SUM(C21:N21)</f>
        <v>1233.7919999999999</v>
      </c>
    </row>
    <row r="22" spans="1:15" s="49" customFormat="1" ht="19.5" customHeight="1">
      <c r="A22" s="2544" t="str">
        <f>"Quotas de "&amp;'Dados Básicos'!$A$28</f>
        <v>Quotas de IVA</v>
      </c>
      <c r="B22" s="2545">
        <f ca="1">-'Investimentos AC'!$H$19-'Investimentos AC'!$G$20+'Finançamento Inicial'!$B$28</f>
        <v>-133.35</v>
      </c>
      <c r="C22" s="2546">
        <f ca="1">IF(mes0=1,$B22,0)</f>
        <v>-133.35</v>
      </c>
      <c r="D22" s="2546">
        <f>+IF(IVAmensual=1,  IF(mes0=COLUMN(D$18)-2,$B22,0)
                                            +MIN(C22,0)+C21,0)</f>
        <v>0</v>
      </c>
      <c r="E22" s="2546">
        <f>+IF(IVAmensual=1,  IF(mes0=COLUMN(E$18)-2,$B22,0)
                                            +MIN(D22,0)+D21,0)</f>
        <v>0</v>
      </c>
      <c r="F22" s="2546">
        <f ca="1">IF(IVAmensual=0,   MIN(C22,0)+SUM(C21:E21)
                            +IF(AND(mes0&gt;1,mes0&lt;4),$B22,0), 0 )
+IF(IVAmensual=1,       IF(mes0=COLUMN(F$18)-2,$B22,0)
                                                +MIN(E22,0)+E21,0)</f>
        <v>-2.2183636363636197</v>
      </c>
      <c r="G22" s="2546">
        <f>+IF(IVAmensual=1,  IF(mes0=COLUMN(G$18)-2,$B22,0)
                                            +MIN(F22,0)+F21,0)</f>
        <v>0</v>
      </c>
      <c r="H22" s="2546">
        <f>+IF(IVAmensual=1,  IF(mes0=COLUMN(H$18)-2,$B22,0)
                                            +MIN(G22,0)+G21,0)</f>
        <v>0</v>
      </c>
      <c r="I22" s="2546">
        <f ca="1">IF(IVAmensual=0,      MIN(F22,0)+SUM(F21:H21)
                               +IF(AND(mes0&gt;=4,mes0&lt;7),$B22,0),0)
+IF(IVAmensual=1,  IF(mes0=COLUMN(I$18)-2,$B22,0)
                                          +MIN(H22,0)+H21,0)</f>
        <v>247.1241818181818</v>
      </c>
      <c r="J22" s="2546">
        <f>+IF(IVAmensual=1,  IF(mes0=COLUMN(J$18)-2,$B22,0)
                                            +MIN(I22,0)+I21,0)</f>
        <v>0</v>
      </c>
      <c r="K22" s="2546">
        <f>+IF(IVAmensual=1,  IF(mes0=COLUMN(K$18)-2,$B22,0)
                                            +MIN(J22,0)+J21,0)</f>
        <v>0</v>
      </c>
      <c r="L22" s="2546">
        <f ca="1">IF(IVAmensual=0,    MIN(I22,0)+SUM(I21:K21)
                            +IF(AND(mes0&gt;=7,mes0&lt;10),$B22,0),0)
+IF(IVAmensual=1,  IF(mes0=COLUMN(L$18)-2,$B22,0)
                                          +MIN(K22,0)+K21,0)</f>
        <v>367.55345454545454</v>
      </c>
      <c r="M22" s="2546">
        <f>+IF(IVAmensual=1,  IF(mes0=COLUMN(M$18)-2,$B22,0)
                                            +MIN(L22,0)+L21,0)</f>
        <v>0</v>
      </c>
      <c r="N22" s="2546">
        <f>+IF(IVAmensual=1,  IF(mes0=COLUMN(N$18)-2,$B22,0)
                                            +MIN(M22,0)+M21,0)</f>
        <v>0</v>
      </c>
      <c r="O22" s="3178">
        <f ca="1">IF(IVAmensual=0,     MIN(L22,0)+SUM(L21:N21)+O15
                              +IF(mes0&gt;=10,$B22,0),0)
+IF(IVAmensual=1, +MIN(N22,0)+N21+O15,0)</f>
        <v>485.76436363636367</v>
      </c>
    </row>
    <row r="23" spans="1:15" ht="10.5" customHeight="1">
      <c r="A23" s="388"/>
      <c r="B23" s="2480"/>
      <c r="C23" s="910"/>
      <c r="D23" s="910"/>
      <c r="E23" s="910"/>
      <c r="F23" s="910"/>
      <c r="G23" s="910"/>
      <c r="H23" s="910"/>
      <c r="I23" s="910"/>
      <c r="J23" s="910"/>
      <c r="K23" s="910"/>
      <c r="L23" s="910"/>
      <c r="M23" s="910"/>
      <c r="N23" s="910"/>
      <c r="O23" s="1147"/>
    </row>
    <row r="24" spans="1:15" s="49" customFormat="1" ht="19.5" customHeight="1" thickBot="1">
      <c r="A24" s="2547" t="str">
        <f>"Liquidações de "&amp;'Dados Básicos'!$A$28</f>
        <v>Liquidações de IVA</v>
      </c>
      <c r="B24" s="2548"/>
      <c r="C24" s="2549">
        <f t="shared" ref="C24:O24" ca="1" si="1">IF(AND(IVAcc=0,C22&gt;0),C22,0)</f>
        <v>0</v>
      </c>
      <c r="D24" s="2550">
        <f t="shared" si="1"/>
        <v>0</v>
      </c>
      <c r="E24" s="2550">
        <f t="shared" si="1"/>
        <v>0</v>
      </c>
      <c r="F24" s="2550">
        <f t="shared" ca="1" si="1"/>
        <v>0</v>
      </c>
      <c r="G24" s="2550">
        <f t="shared" si="1"/>
        <v>0</v>
      </c>
      <c r="H24" s="2550">
        <f t="shared" si="1"/>
        <v>0</v>
      </c>
      <c r="I24" s="2550">
        <f t="shared" ca="1" si="1"/>
        <v>247.1241818181818</v>
      </c>
      <c r="J24" s="2550">
        <f t="shared" si="1"/>
        <v>0</v>
      </c>
      <c r="K24" s="2550">
        <f t="shared" si="1"/>
        <v>0</v>
      </c>
      <c r="L24" s="2550">
        <f t="shared" ca="1" si="1"/>
        <v>367.55345454545454</v>
      </c>
      <c r="M24" s="2550">
        <f t="shared" si="1"/>
        <v>0</v>
      </c>
      <c r="N24" s="2550">
        <f t="shared" si="1"/>
        <v>0</v>
      </c>
      <c r="O24" s="2551">
        <f t="shared" ca="1" si="1"/>
        <v>485.76436363636367</v>
      </c>
    </row>
    <row r="25" spans="1:15" ht="9" customHeight="1" thickBot="1">
      <c r="C25" s="904"/>
      <c r="D25" s="904"/>
      <c r="E25" s="904"/>
      <c r="F25" s="904"/>
      <c r="G25" s="904"/>
      <c r="H25" s="904"/>
      <c r="I25" s="904"/>
      <c r="J25" s="904"/>
      <c r="K25" s="904"/>
      <c r="L25" s="904"/>
      <c r="M25" s="904"/>
      <c r="N25" s="904"/>
      <c r="O25" s="904"/>
    </row>
    <row r="26" spans="1:15" s="49" customFormat="1" ht="18.75" customHeight="1" thickBot="1">
      <c r="A26" s="2552" t="str">
        <f>"Devoluções "&amp;'Dados Básicos'!$A$28</f>
        <v>Devoluções IVA</v>
      </c>
      <c r="B26" s="2553"/>
      <c r="C26" s="2554">
        <f>IF(AND(IVAcc,mes0=1),-$B$22,0)</f>
        <v>0</v>
      </c>
      <c r="D26" s="2555">
        <f>-IF(AND(IVAcc,IVAmensual=1),C21+IF(mes0=COLUMN(D$18)-2,$B$22,0),0)</f>
        <v>0</v>
      </c>
      <c r="E26" s="2555">
        <f>-IF(AND(IVAcc,IVAmensual=1),D21+IF(mes0=COLUMN(E$18)-2,$B$22,0),0)</f>
        <v>0</v>
      </c>
      <c r="F26" s="2555">
        <f>-IF(AND(IVAcc,IVAmensual=0),SUM(C21:E21)+IF(AND(mes0&gt;1,mes0&lt;4),$B$22,0),0)
-IF(AND(IVAcc,IVAmensual=1),E21+IF(mes0=COLUMN(F$18)-2,$B$22,0),0)</f>
        <v>0</v>
      </c>
      <c r="G26" s="2555">
        <f>-IF(AND(IVAcc,IVAmensual=1),F21+IF(mes0=COLUMN(G$18)-2,$B$22,0),0)</f>
        <v>0</v>
      </c>
      <c r="H26" s="2555">
        <f>-IF(AND(IVAcc,IVAmensual=1),G21+IF(mes0=COLUMN(H$18)-2,$B$22,0),0)</f>
        <v>0</v>
      </c>
      <c r="I26" s="2555">
        <f>-IF(AND(IVAcc,IVAmensual=0),SUM(F21:H21)+IF(AND(mes0&gt;=4,mes0&lt;7),$B$22,0),0)
-IF(AND(IVAcc,IVAmensual=1),H21+IF(mes0=COLUMN(I$18)-2,$B$22,0),0)</f>
        <v>0</v>
      </c>
      <c r="J26" s="2555">
        <f>-IF(AND(IVAcc,IVAmensual=1),I21+IF(mes0=COLUMN(J$18)-2,$B$22,0),0)</f>
        <v>0</v>
      </c>
      <c r="K26" s="2555">
        <f>-IF(AND(IVAcc,IVAmensual=1),J21+IF(mes0=COLUMN(K$18)-2,$B$22,0),0)</f>
        <v>0</v>
      </c>
      <c r="L26" s="2555">
        <f>-IF(AND(IVAcc,IVAmensual=0),SUM(I21:K21)+IF(AND(mes0&gt;=7,mes0&lt;10),$B$22,0),0)
-IF(AND(IVAcc,IVAmensual=1),K21+IF(mes0=COLUMN(L$18)-2,$B$22,0),0)</f>
        <v>0</v>
      </c>
      <c r="M26" s="2555">
        <f>-IF(AND(IVAcc,IVAmensual=1),L21+IF(mes0=COLUMN(M$18)-2,$B$22,0),0)</f>
        <v>0</v>
      </c>
      <c r="N26" s="2555">
        <f>-IF(AND(IVAcc,IVAmensual=1),M21+IF(mes0=COLUMN(N$18)-2,$B$22,0),0)</f>
        <v>0</v>
      </c>
      <c r="O26" s="2556">
        <f>-IF(AND(IVAcc,IVAmensual=0),SUM(L21:N21)+IF(mes0&gt;=10,$B$22,0),0)
-IF(AND(IVAcc,IVAmensual=1),N21+IF(mes0=COLUMN(O$18)-2,$B$22,0),0)</f>
        <v>0</v>
      </c>
    </row>
    <row r="29" spans="1:15" s="99" customFormat="1" ht="23.25" thickBot="1">
      <c r="A29" s="68" t="s">
        <v>857</v>
      </c>
      <c r="D29" s="260"/>
      <c r="E29" s="260"/>
    </row>
    <row r="30" spans="1:15" ht="15.75" thickBot="1">
      <c r="A30" s="1155" t="str">
        <f>'Dados Básicos'!$A$28&amp;" repercutido"</f>
        <v>IVA repercutido</v>
      </c>
      <c r="B30" s="105" t="str">
        <f>"taxa "&amp;'Dados Básicos'!$A$28</f>
        <v>taxa IVA</v>
      </c>
      <c r="C30" s="438" t="str">
        <f t="array" ref="C30:N30">meses</f>
        <v>janeiro</v>
      </c>
      <c r="D30" s="165" t="str">
        <v>fevereiro</v>
      </c>
      <c r="E30" s="165" t="str">
        <v>março</v>
      </c>
      <c r="F30" s="165" t="str">
        <v>abril</v>
      </c>
      <c r="G30" s="165" t="str">
        <v>maio</v>
      </c>
      <c r="H30" s="165" t="str">
        <v>junho</v>
      </c>
      <c r="I30" s="165" t="str">
        <v>julho</v>
      </c>
      <c r="J30" s="165" t="str">
        <v>agosto</v>
      </c>
      <c r="K30" s="165" t="str">
        <v>setembro</v>
      </c>
      <c r="L30" s="165" t="str">
        <v>outubro</v>
      </c>
      <c r="M30" s="165" t="str">
        <v>novembro</v>
      </c>
      <c r="N30" s="165" t="str">
        <v>dezembro</v>
      </c>
      <c r="O30" s="166" t="str">
        <f>$O$4</f>
        <v>Totais</v>
      </c>
    </row>
    <row r="31" spans="1:15">
      <c r="A31" s="1773" t="str">
        <f t="array" ref="A31:A38">productos</f>
        <v>produto 1</v>
      </c>
      <c r="B31" s="1128">
        <f t="array" ref="B31:B38">Parametros!E24:E31</f>
        <v>0.21</v>
      </c>
      <c r="C31" s="1129">
        <f t="array" aca="1" ref="C31:N38" ca="1">'Prev.Vendas 0'!B17:M24</f>
        <v>200</v>
      </c>
      <c r="D31" s="1129">
        <f ca="1"/>
        <v>272.72727272727275</v>
      </c>
      <c r="E31" s="1129">
        <f ca="1"/>
        <v>345.4545454545455</v>
      </c>
      <c r="F31" s="1129">
        <f ca="1"/>
        <v>418.18181818181819</v>
      </c>
      <c r="G31" s="1129">
        <f ca="1"/>
        <v>490.90909090909093</v>
      </c>
      <c r="H31" s="1129">
        <f ca="1"/>
        <v>563.63636363636363</v>
      </c>
      <c r="I31" s="1129">
        <f ca="1"/>
        <v>636.36363636363637</v>
      </c>
      <c r="J31" s="1129">
        <f ca="1"/>
        <v>709.09090909090901</v>
      </c>
      <c r="K31" s="1129">
        <f ca="1"/>
        <v>781.81818181818187</v>
      </c>
      <c r="L31" s="1129">
        <f ca="1"/>
        <v>854.5454545454545</v>
      </c>
      <c r="M31" s="1129">
        <f ca="1"/>
        <v>927.27272727272725</v>
      </c>
      <c r="N31" s="1129">
        <f ca="1"/>
        <v>1000</v>
      </c>
      <c r="O31" s="1156">
        <f t="shared" ref="O31:O41" ca="1" si="2">SUM(C31:N31)</f>
        <v>7199.9999999999991</v>
      </c>
    </row>
    <row r="32" spans="1:15">
      <c r="A32" s="1552" t="str">
        <v/>
      </c>
      <c r="B32" s="1130">
        <v>0.21</v>
      </c>
      <c r="C32" s="1131">
        <f ca="1"/>
        <v>0</v>
      </c>
      <c r="D32" s="1131">
        <f ca="1"/>
        <v>0</v>
      </c>
      <c r="E32" s="1131">
        <f ca="1"/>
        <v>0</v>
      </c>
      <c r="F32" s="1131">
        <f ca="1"/>
        <v>0</v>
      </c>
      <c r="G32" s="1131">
        <f ca="1"/>
        <v>0</v>
      </c>
      <c r="H32" s="1131">
        <f ca="1"/>
        <v>0</v>
      </c>
      <c r="I32" s="1131">
        <f ca="1"/>
        <v>0</v>
      </c>
      <c r="J32" s="1131">
        <f ca="1"/>
        <v>0</v>
      </c>
      <c r="K32" s="1131">
        <f ca="1"/>
        <v>0</v>
      </c>
      <c r="L32" s="1131">
        <f ca="1"/>
        <v>0</v>
      </c>
      <c r="M32" s="1131">
        <f ca="1"/>
        <v>0</v>
      </c>
      <c r="N32" s="1131">
        <f ca="1"/>
        <v>0</v>
      </c>
      <c r="O32" s="1157">
        <f t="shared" ca="1" si="2"/>
        <v>0</v>
      </c>
    </row>
    <row r="33" spans="1:15">
      <c r="A33" s="1552" t="str">
        <v/>
      </c>
      <c r="B33" s="1130">
        <v>0.21</v>
      </c>
      <c r="C33" s="1131">
        <f ca="1"/>
        <v>0</v>
      </c>
      <c r="D33" s="1131">
        <f ca="1"/>
        <v>0</v>
      </c>
      <c r="E33" s="1131">
        <f ca="1"/>
        <v>0</v>
      </c>
      <c r="F33" s="1131">
        <f ca="1"/>
        <v>0</v>
      </c>
      <c r="G33" s="1131">
        <f ca="1"/>
        <v>0</v>
      </c>
      <c r="H33" s="1131">
        <f ca="1"/>
        <v>0</v>
      </c>
      <c r="I33" s="1131">
        <f ca="1"/>
        <v>0</v>
      </c>
      <c r="J33" s="1131">
        <f ca="1"/>
        <v>0</v>
      </c>
      <c r="K33" s="1131">
        <f ca="1"/>
        <v>0</v>
      </c>
      <c r="L33" s="1131">
        <f ca="1"/>
        <v>0</v>
      </c>
      <c r="M33" s="1131">
        <f ca="1"/>
        <v>0</v>
      </c>
      <c r="N33" s="1131">
        <f ca="1"/>
        <v>0</v>
      </c>
      <c r="O33" s="1157">
        <f t="shared" ca="1" si="2"/>
        <v>0</v>
      </c>
    </row>
    <row r="34" spans="1:15">
      <c r="A34" s="1552" t="str">
        <v/>
      </c>
      <c r="B34" s="1130">
        <v>0.21</v>
      </c>
      <c r="C34" s="1131">
        <f ca="1"/>
        <v>0</v>
      </c>
      <c r="D34" s="1131">
        <f ca="1"/>
        <v>0</v>
      </c>
      <c r="E34" s="1131">
        <f ca="1"/>
        <v>0</v>
      </c>
      <c r="F34" s="1131">
        <f ca="1"/>
        <v>0</v>
      </c>
      <c r="G34" s="1131">
        <f ca="1"/>
        <v>0</v>
      </c>
      <c r="H34" s="1131">
        <f ca="1"/>
        <v>0</v>
      </c>
      <c r="I34" s="1131">
        <f ca="1"/>
        <v>0</v>
      </c>
      <c r="J34" s="1131">
        <f ca="1"/>
        <v>0</v>
      </c>
      <c r="K34" s="1131">
        <f ca="1"/>
        <v>0</v>
      </c>
      <c r="L34" s="1131">
        <f ca="1"/>
        <v>0</v>
      </c>
      <c r="M34" s="1131">
        <f ca="1"/>
        <v>0</v>
      </c>
      <c r="N34" s="1131">
        <f ca="1"/>
        <v>0</v>
      </c>
      <c r="O34" s="1157">
        <f t="shared" ca="1" si="2"/>
        <v>0</v>
      </c>
    </row>
    <row r="35" spans="1:15">
      <c r="A35" s="1552" t="str">
        <v/>
      </c>
      <c r="B35" s="1130">
        <v>0.21</v>
      </c>
      <c r="C35" s="1131">
        <f ca="1"/>
        <v>0</v>
      </c>
      <c r="D35" s="1131">
        <f ca="1"/>
        <v>0</v>
      </c>
      <c r="E35" s="1131">
        <f ca="1"/>
        <v>0</v>
      </c>
      <c r="F35" s="1131">
        <f ca="1"/>
        <v>0</v>
      </c>
      <c r="G35" s="1131">
        <f ca="1"/>
        <v>0</v>
      </c>
      <c r="H35" s="1131">
        <f ca="1"/>
        <v>0</v>
      </c>
      <c r="I35" s="1131">
        <f ca="1"/>
        <v>0</v>
      </c>
      <c r="J35" s="1131">
        <f ca="1"/>
        <v>0</v>
      </c>
      <c r="K35" s="1131">
        <f ca="1"/>
        <v>0</v>
      </c>
      <c r="L35" s="1131">
        <f ca="1"/>
        <v>0</v>
      </c>
      <c r="M35" s="1131">
        <f ca="1"/>
        <v>0</v>
      </c>
      <c r="N35" s="1131">
        <f ca="1"/>
        <v>0</v>
      </c>
      <c r="O35" s="1157">
        <f t="shared" ca="1" si="2"/>
        <v>0</v>
      </c>
    </row>
    <row r="36" spans="1:15">
      <c r="A36" s="1552" t="str">
        <v/>
      </c>
      <c r="B36" s="1130">
        <v>0.21</v>
      </c>
      <c r="C36" s="1131">
        <f ca="1"/>
        <v>0</v>
      </c>
      <c r="D36" s="1131">
        <f ca="1"/>
        <v>0</v>
      </c>
      <c r="E36" s="1131">
        <f ca="1"/>
        <v>0</v>
      </c>
      <c r="F36" s="1131">
        <f ca="1"/>
        <v>0</v>
      </c>
      <c r="G36" s="1131">
        <f ca="1"/>
        <v>0</v>
      </c>
      <c r="H36" s="1131">
        <f ca="1"/>
        <v>0</v>
      </c>
      <c r="I36" s="1131">
        <f ca="1"/>
        <v>0</v>
      </c>
      <c r="J36" s="1131">
        <f ca="1"/>
        <v>0</v>
      </c>
      <c r="K36" s="1131">
        <f ca="1"/>
        <v>0</v>
      </c>
      <c r="L36" s="1131">
        <f ca="1"/>
        <v>0</v>
      </c>
      <c r="M36" s="1131">
        <f ca="1"/>
        <v>0</v>
      </c>
      <c r="N36" s="1131">
        <f ca="1"/>
        <v>0</v>
      </c>
      <c r="O36" s="1157">
        <f t="shared" ca="1" si="2"/>
        <v>0</v>
      </c>
    </row>
    <row r="37" spans="1:15">
      <c r="A37" s="1552" t="str">
        <v/>
      </c>
      <c r="B37" s="1130">
        <v>0.21</v>
      </c>
      <c r="C37" s="1131">
        <f ca="1"/>
        <v>0</v>
      </c>
      <c r="D37" s="1131">
        <f ca="1"/>
        <v>0</v>
      </c>
      <c r="E37" s="1131">
        <f ca="1"/>
        <v>0</v>
      </c>
      <c r="F37" s="1131">
        <f ca="1"/>
        <v>0</v>
      </c>
      <c r="G37" s="1131">
        <f ca="1"/>
        <v>0</v>
      </c>
      <c r="H37" s="1131">
        <f ca="1"/>
        <v>0</v>
      </c>
      <c r="I37" s="1131">
        <f ca="1"/>
        <v>0</v>
      </c>
      <c r="J37" s="1131">
        <f ca="1"/>
        <v>0</v>
      </c>
      <c r="K37" s="1131">
        <f ca="1"/>
        <v>0</v>
      </c>
      <c r="L37" s="1131">
        <f ca="1"/>
        <v>0</v>
      </c>
      <c r="M37" s="1131">
        <f ca="1"/>
        <v>0</v>
      </c>
      <c r="N37" s="1131">
        <f ca="1"/>
        <v>0</v>
      </c>
      <c r="O37" s="1157">
        <f t="shared" ca="1" si="2"/>
        <v>0</v>
      </c>
    </row>
    <row r="38" spans="1:15" ht="15.75" thickBot="1">
      <c r="A38" s="1774" t="str">
        <v/>
      </c>
      <c r="B38" s="1132">
        <v>0.21</v>
      </c>
      <c r="C38" s="1133">
        <f ca="1"/>
        <v>0</v>
      </c>
      <c r="D38" s="1133">
        <f ca="1"/>
        <v>0</v>
      </c>
      <c r="E38" s="1133">
        <f ca="1"/>
        <v>0</v>
      </c>
      <c r="F38" s="1133">
        <f ca="1"/>
        <v>0</v>
      </c>
      <c r="G38" s="1133">
        <f ca="1"/>
        <v>0</v>
      </c>
      <c r="H38" s="1133">
        <f ca="1"/>
        <v>0</v>
      </c>
      <c r="I38" s="1133">
        <f ca="1"/>
        <v>0</v>
      </c>
      <c r="J38" s="1133">
        <f ca="1"/>
        <v>0</v>
      </c>
      <c r="K38" s="1133">
        <f ca="1"/>
        <v>0</v>
      </c>
      <c r="L38" s="1133">
        <f ca="1"/>
        <v>0</v>
      </c>
      <c r="M38" s="1133">
        <f ca="1"/>
        <v>0</v>
      </c>
      <c r="N38" s="1133">
        <f ca="1"/>
        <v>0</v>
      </c>
      <c r="O38" s="1158">
        <f t="shared" ca="1" si="2"/>
        <v>0</v>
      </c>
    </row>
    <row r="39" spans="1:15" ht="18" customHeight="1">
      <c r="A39" s="1159" t="str">
        <f>"Vendas sujetas a "&amp;'Dados Básicos'!$A$28</f>
        <v>Vendas sujetas a IVA</v>
      </c>
      <c r="B39" s="209"/>
      <c r="C39" s="1135">
        <f t="shared" ref="C39:N39" ca="1" si="3">SUMIF($B$31:$B$38,"&lt;&gt;0",C31:C38)</f>
        <v>200</v>
      </c>
      <c r="D39" s="1136">
        <f t="shared" ca="1" si="3"/>
        <v>272.72727272727275</v>
      </c>
      <c r="E39" s="1136">
        <f t="shared" ca="1" si="3"/>
        <v>345.4545454545455</v>
      </c>
      <c r="F39" s="1136">
        <f t="shared" ca="1" si="3"/>
        <v>418.18181818181819</v>
      </c>
      <c r="G39" s="1136">
        <f t="shared" ca="1" si="3"/>
        <v>490.90909090909093</v>
      </c>
      <c r="H39" s="1136">
        <f t="shared" ca="1" si="3"/>
        <v>563.63636363636363</v>
      </c>
      <c r="I39" s="1136">
        <f t="shared" ca="1" si="3"/>
        <v>636.36363636363637</v>
      </c>
      <c r="J39" s="1136">
        <f t="shared" ca="1" si="3"/>
        <v>709.09090909090901</v>
      </c>
      <c r="K39" s="1136">
        <f t="shared" ca="1" si="3"/>
        <v>781.81818181818187</v>
      </c>
      <c r="L39" s="1136">
        <f t="shared" ca="1" si="3"/>
        <v>854.5454545454545</v>
      </c>
      <c r="M39" s="1136">
        <f t="shared" ca="1" si="3"/>
        <v>927.27272727272725</v>
      </c>
      <c r="N39" s="1137">
        <f t="shared" ca="1" si="3"/>
        <v>1000</v>
      </c>
      <c r="O39" s="1156">
        <f ca="1">SUM(C39:N39)</f>
        <v>7199.9999999999991</v>
      </c>
    </row>
    <row r="40" spans="1:15" ht="18" customHeight="1">
      <c r="A40" s="1160" t="str">
        <f>"Vendas exentas de "&amp;'Dados Básicos'!$A$28</f>
        <v>Vendas exentas de IVA</v>
      </c>
      <c r="B40" s="214"/>
      <c r="C40" s="1138">
        <f>SUMIF($B$31:$B$38,"=0",C31:C38)</f>
        <v>0</v>
      </c>
      <c r="D40" s="1139">
        <f>SUMIF($B$31:$B$38,"=0",D31:D38)</f>
        <v>0</v>
      </c>
      <c r="E40" s="1139">
        <f>SUMIF($B$31:$B$38,"=0",E31:E38)</f>
        <v>0</v>
      </c>
      <c r="F40" s="1139">
        <f>SUMIF($B$31:$B$38,"=0",F31:F38)</f>
        <v>0</v>
      </c>
      <c r="G40" s="1139">
        <f t="shared" ref="G40:N40" si="4">SUMIF($B$31:$B$38,"=0",G31:G38)</f>
        <v>0</v>
      </c>
      <c r="H40" s="1139">
        <f t="shared" si="4"/>
        <v>0</v>
      </c>
      <c r="I40" s="1139">
        <f t="shared" si="4"/>
        <v>0</v>
      </c>
      <c r="J40" s="1139">
        <f t="shared" si="4"/>
        <v>0</v>
      </c>
      <c r="K40" s="1139">
        <f t="shared" si="4"/>
        <v>0</v>
      </c>
      <c r="L40" s="1139">
        <f t="shared" si="4"/>
        <v>0</v>
      </c>
      <c r="M40" s="1139">
        <f t="shared" si="4"/>
        <v>0</v>
      </c>
      <c r="N40" s="1140">
        <f t="shared" si="4"/>
        <v>0</v>
      </c>
      <c r="O40" s="1157">
        <f t="shared" si="2"/>
        <v>0</v>
      </c>
    </row>
    <row r="41" spans="1:15" ht="18" customHeight="1">
      <c r="A41" s="1160" t="s">
        <v>858</v>
      </c>
      <c r="B41" s="214"/>
      <c r="C41" s="1138">
        <f t="array" aca="1" ref="C41:N41" ca="1">C40:N40+C39:N39</f>
        <v>200</v>
      </c>
      <c r="D41" s="1139">
        <f ca="1"/>
        <v>272.72727272727275</v>
      </c>
      <c r="E41" s="1139">
        <f ca="1"/>
        <v>345.4545454545455</v>
      </c>
      <c r="F41" s="1139">
        <f ca="1"/>
        <v>418.18181818181819</v>
      </c>
      <c r="G41" s="1139">
        <f ca="1"/>
        <v>490.90909090909093</v>
      </c>
      <c r="H41" s="1139">
        <f ca="1"/>
        <v>563.63636363636363</v>
      </c>
      <c r="I41" s="1139">
        <f ca="1"/>
        <v>636.36363636363637</v>
      </c>
      <c r="J41" s="1139">
        <f ca="1"/>
        <v>709.09090909090901</v>
      </c>
      <c r="K41" s="1139">
        <f ca="1"/>
        <v>781.81818181818187</v>
      </c>
      <c r="L41" s="1139">
        <f ca="1"/>
        <v>854.5454545454545</v>
      </c>
      <c r="M41" s="1139">
        <f ca="1"/>
        <v>927.27272727272725</v>
      </c>
      <c r="N41" s="1140">
        <f ca="1"/>
        <v>1000</v>
      </c>
      <c r="O41" s="1157">
        <f t="shared" ca="1" si="2"/>
        <v>7199.9999999999991</v>
      </c>
    </row>
    <row r="42" spans="1:15" ht="18" customHeight="1" thickBot="1">
      <c r="A42" s="1161" t="s">
        <v>859</v>
      </c>
      <c r="B42" s="215"/>
      <c r="C42" s="3179">
        <v>1</v>
      </c>
      <c r="D42" s="3179">
        <f>IF(IVAmensual=1,    IF(OR(IVAcc,D41&lt;0.1),1,D39/D41), 0)*0</f>
        <v>0</v>
      </c>
      <c r="E42" s="3179">
        <f ca="1">IF(IVAmensual=1, IF(OR(IVAcc,C41&lt;0.1),1,C39/C41),    IF(OR(IVAcc,SUM(C41:E41)&lt;0.4),1,SUM(C39:E39)/SUM(C41:E41)))*0</f>
        <v>0</v>
      </c>
      <c r="F42" s="3179">
        <f>IF(IVAmensual=1,    IF(OR(IVAcc,F41&lt;0.1),1,F39/F41), 0)*0</f>
        <v>0</v>
      </c>
      <c r="G42" s="3179">
        <f>IF(IVAmensual=1,    IF(OR(IVAcc,G41&lt;0.1),1,G39/G41), 0)*0</f>
        <v>0</v>
      </c>
      <c r="H42" s="3179">
        <f ca="1">IF(IVAmensual=1, IF(OR(IVAcc,F41&lt;0.1),1,F39/F41),    IF(OR(IVAcc,SUM(F41:H41)&lt;0.4),1,SUM(F39:H39)/SUM(F41:H41)))*0</f>
        <v>0</v>
      </c>
      <c r="I42" s="3179">
        <f>IF(IVAmensual=1,    IF(OR(IVAcc,I41&lt;0.1),1,I39/I41), 0)*0</f>
        <v>0</v>
      </c>
      <c r="J42" s="3179">
        <f>IF(IVAmensual=1,    IF(OR(IVAcc,J41&lt;0.1),1,J39/J41), 0)*0</f>
        <v>0</v>
      </c>
      <c r="K42" s="3179">
        <f ca="1">IF(IVAmensual=1, IF(OR(IVAcc,I41&lt;0.1),1,I39/I41),    IF(OR(IVAcc,SUM(I41:K41)&lt;0.4),1,SUM(I39:K39)/SUM(I41:K41)))*0</f>
        <v>0</v>
      </c>
      <c r="L42" s="3179">
        <f>IF(IVAmensual=1,    IF(OR(IVAcc,L41&lt;0.1),1,L39/L41), 0)*0</f>
        <v>0</v>
      </c>
      <c r="M42" s="3179">
        <f>IF(IVAmensual=1,    IF(OR(IVAcc,M41&lt;0.1),1,M39/M41), 0)*0</f>
        <v>0</v>
      </c>
      <c r="N42" s="3179">
        <f ca="1">IF(IVAmensual=1, IF(OR(IVAcc,L41&lt;0.1),1,L39/L41),    IF(OR(IVAcc,SUM(L41:N41)&lt;0.4),1,SUM(L39:N39)/SUM(L41:N41)))*0</f>
        <v>0</v>
      </c>
      <c r="O42" s="3180">
        <f ca="1" xml:space="preserve"> IF(OR(IVAcc, O41&lt;0.4), 1, O39/O41   )</f>
        <v>1</v>
      </c>
    </row>
    <row r="46" spans="1:15">
      <c r="A46" s="1134"/>
      <c r="C46" s="1007"/>
    </row>
  </sheetData>
  <sheetProtection sheet="1" objects="1" scenarios="1"/>
  <phoneticPr fontId="4" type="noConversion"/>
  <conditionalFormatting sqref="C31:N38">
    <cfRule type="expression" dxfId="12" priority="1" stopIfTrue="1">
      <formula>C31=""</formula>
    </cfRule>
  </conditionalFormatting>
  <printOptions horizontalCentered="1"/>
  <pageMargins left="0.57999999999999996" right="0.75" top="0.43" bottom="0.72" header="0" footer="0.37"/>
  <pageSetup paperSize="9" scale="68" orientation="landscape" horizontalDpi="300" r:id="rId1"/>
  <headerFooter alignWithMargins="0"/>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7">
    <tabColor indexed="41"/>
    <pageSetUpPr fitToPage="1"/>
  </sheetPr>
  <dimension ref="A1:P42"/>
  <sheetViews>
    <sheetView workbookViewId="0"/>
  </sheetViews>
  <sheetFormatPr baseColWidth="10" defaultColWidth="11" defaultRowHeight="15"/>
  <cols>
    <col min="1" max="1" width="18.625" style="36" customWidth="1"/>
    <col min="2" max="2" width="11" style="36"/>
    <col min="3" max="3" width="13.5" style="36" customWidth="1"/>
    <col min="4" max="5" width="11" style="36"/>
    <col min="6" max="6" width="12.625" style="36" customWidth="1"/>
    <col min="7" max="8" width="11" style="36"/>
    <col min="9" max="9" width="12" style="36" customWidth="1"/>
    <col min="10" max="11" width="11" style="36"/>
    <col min="12" max="12" width="11.375" style="36" customWidth="1"/>
    <col min="13" max="14" width="11" style="36"/>
    <col min="15" max="15" width="11.75" style="36" bestFit="1" customWidth="1"/>
    <col min="16" max="17" width="8.625" style="36" customWidth="1"/>
    <col min="18" max="18" width="9.875" style="36" customWidth="1"/>
    <col min="19" max="20" width="8.625" style="36" customWidth="1"/>
    <col min="21" max="16384" width="11" style="36"/>
  </cols>
  <sheetData>
    <row r="1" spans="1:16" s="68" customFormat="1" ht="22.5">
      <c r="A1" s="68" t="str">
        <f>'IVA 0'!A1</f>
        <v>Previsões de Liquidações de IVA</v>
      </c>
      <c r="B1" s="260"/>
      <c r="F1" s="532" t="str">
        <f>Parametros!C$77</f>
        <v>Ano 1:  2027</v>
      </c>
      <c r="G1" s="260"/>
    </row>
    <row r="2" spans="1:16" s="68" customFormat="1" ht="22.5">
      <c r="A2" s="68" t="str">
        <f>'Prev.Vendas 0'!A2</f>
        <v>WWW, S.L.</v>
      </c>
      <c r="B2" s="260"/>
    </row>
    <row r="3" spans="1:16" ht="15.75" thickBot="1">
      <c r="A3" s="1116"/>
      <c r="B3" s="61"/>
      <c r="C3" s="61"/>
      <c r="D3" s="239"/>
      <c r="E3" s="239"/>
      <c r="F3" s="239"/>
      <c r="G3" s="239"/>
      <c r="H3" s="239"/>
      <c r="I3" s="239"/>
      <c r="J3" s="239"/>
      <c r="K3" s="239"/>
      <c r="L3" s="239"/>
      <c r="M3" s="239"/>
      <c r="N3" s="239"/>
      <c r="O3" s="239"/>
      <c r="P3" s="239"/>
    </row>
    <row r="4" spans="1:16" ht="15.75" thickBot="1">
      <c r="A4" s="1149" t="str">
        <f t="array" ref="A4:A8">'IVA 0'!A4:A8</f>
        <v>IVA Soportado</v>
      </c>
      <c r="B4" s="438"/>
      <c r="C4" s="165" t="str">
        <f t="array" ref="C4:N4">meses</f>
        <v>janeiro</v>
      </c>
      <c r="D4" s="165" t="str">
        <v>fevereiro</v>
      </c>
      <c r="E4" s="165" t="str">
        <v>março</v>
      </c>
      <c r="F4" s="165" t="str">
        <v>abril</v>
      </c>
      <c r="G4" s="165" t="str">
        <v>maio</v>
      </c>
      <c r="H4" s="165" t="str">
        <v>junho</v>
      </c>
      <c r="I4" s="165" t="str">
        <v>julho</v>
      </c>
      <c r="J4" s="165" t="str">
        <v>agosto</v>
      </c>
      <c r="K4" s="165" t="str">
        <v>setembro</v>
      </c>
      <c r="L4" s="165" t="str">
        <v>outubro</v>
      </c>
      <c r="M4" s="165" t="str">
        <v>novembro</v>
      </c>
      <c r="N4" s="165" t="str">
        <v>dezembro</v>
      </c>
      <c r="O4" s="166" t="str">
        <f>'IVA 0'!$O$4</f>
        <v>Totais</v>
      </c>
    </row>
    <row r="5" spans="1:16">
      <c r="A5" s="2488" t="str">
        <v>IVA sop. de Compras e C.V.</v>
      </c>
      <c r="B5" s="2489"/>
      <c r="C5" s="1117">
        <f t="array" aca="1" ref="C5:N5" ca="1">'Distr CV 1'!B67:M67</f>
        <v>30.282000000000004</v>
      </c>
      <c r="D5" s="1118">
        <f ca="1"/>
        <v>30.282000000000004</v>
      </c>
      <c r="E5" s="1118">
        <f ca="1"/>
        <v>30.282000000000004</v>
      </c>
      <c r="F5" s="1118">
        <f ca="1"/>
        <v>30.282000000000004</v>
      </c>
      <c r="G5" s="1118">
        <f ca="1"/>
        <v>30.282000000000004</v>
      </c>
      <c r="H5" s="1118">
        <f ca="1"/>
        <v>30.282000000000004</v>
      </c>
      <c r="I5" s="1118">
        <f ca="1"/>
        <v>30.282000000000004</v>
      </c>
      <c r="J5" s="1118">
        <f ca="1"/>
        <v>30.282000000000004</v>
      </c>
      <c r="K5" s="1118">
        <f ca="1"/>
        <v>30.282000000000004</v>
      </c>
      <c r="L5" s="1118">
        <f ca="1"/>
        <v>30.282000000000004</v>
      </c>
      <c r="M5" s="1118">
        <f ca="1"/>
        <v>30.282000000000004</v>
      </c>
      <c r="N5" s="1119">
        <f ca="1"/>
        <v>30.282000000000004</v>
      </c>
      <c r="O5" s="1150"/>
    </row>
    <row r="6" spans="1:16">
      <c r="A6" s="1153" t="str">
        <v>IVA sop. de Gastos fixos</v>
      </c>
      <c r="B6" s="1120"/>
      <c r="C6" s="1118">
        <f t="array" aca="1" ref="C6:N6" ca="1">'G.F. 1'!B60:M60</f>
        <v>9.1761600000000012</v>
      </c>
      <c r="D6" s="1118">
        <f ca="1"/>
        <v>9.1761600000000012</v>
      </c>
      <c r="E6" s="1118">
        <f ca="1"/>
        <v>9.1761600000000012</v>
      </c>
      <c r="F6" s="1118">
        <f ca="1"/>
        <v>9.1761600000000012</v>
      </c>
      <c r="G6" s="1118">
        <f ca="1"/>
        <v>9.1761600000000012</v>
      </c>
      <c r="H6" s="1118">
        <f ca="1"/>
        <v>9.1761600000000012</v>
      </c>
      <c r="I6" s="1118">
        <f ca="1"/>
        <v>9.1761600000000012</v>
      </c>
      <c r="J6" s="1118">
        <f ca="1"/>
        <v>9.1761600000000012</v>
      </c>
      <c r="K6" s="1118">
        <f ca="1"/>
        <v>9.1761600000000012</v>
      </c>
      <c r="L6" s="1118">
        <f ca="1"/>
        <v>9.1761600000000012</v>
      </c>
      <c r="M6" s="1118">
        <f ca="1"/>
        <v>9.1761600000000012</v>
      </c>
      <c r="N6" s="1119">
        <f ca="1"/>
        <v>9.1761600000000012</v>
      </c>
      <c r="O6" s="1150">
        <f ca="1">SUM(C6:N6)</f>
        <v>110.11391999999999</v>
      </c>
    </row>
    <row r="7" spans="1:16">
      <c r="A7" s="1153" t="str">
        <v>IVA sop. de investimentos</v>
      </c>
      <c r="B7" s="1121"/>
      <c r="C7" s="1118">
        <f t="array" ref="C7:N7">+'Investimentos AC'!$C$44/12+'Investimentos AC'!$C$43/12</f>
        <v>0</v>
      </c>
      <c r="D7" s="1118">
        <v>0</v>
      </c>
      <c r="E7" s="1118">
        <v>0</v>
      </c>
      <c r="F7" s="1118">
        <v>0</v>
      </c>
      <c r="G7" s="1118">
        <v>0</v>
      </c>
      <c r="H7" s="1118">
        <v>0</v>
      </c>
      <c r="I7" s="1118">
        <v>0</v>
      </c>
      <c r="J7" s="1118">
        <v>0</v>
      </c>
      <c r="K7" s="1118">
        <v>0</v>
      </c>
      <c r="L7" s="1118">
        <v>0</v>
      </c>
      <c r="M7" s="1118">
        <v>0</v>
      </c>
      <c r="N7" s="1119">
        <v>0</v>
      </c>
      <c r="O7" s="1150">
        <f>SUM(C7:N7)</f>
        <v>0</v>
      </c>
    </row>
    <row r="8" spans="1:16" ht="15.75" thickBot="1">
      <c r="A8" s="1154" t="str">
        <v>IVA quotas Leasing/Renting</v>
      </c>
      <c r="B8" s="1122"/>
      <c r="C8" s="1123">
        <f t="array" ref="C8:N8">Leasing!B32:M32+Renting!B31:M31</f>
        <v>0</v>
      </c>
      <c r="D8" s="1124">
        <v>0</v>
      </c>
      <c r="E8" s="1124">
        <v>0</v>
      </c>
      <c r="F8" s="1124">
        <v>0</v>
      </c>
      <c r="G8" s="1124">
        <v>0</v>
      </c>
      <c r="H8" s="1124">
        <v>0</v>
      </c>
      <c r="I8" s="1124">
        <v>0</v>
      </c>
      <c r="J8" s="1124">
        <v>0</v>
      </c>
      <c r="K8" s="1124">
        <v>0</v>
      </c>
      <c r="L8" s="1124">
        <v>0</v>
      </c>
      <c r="M8" s="1124">
        <v>0</v>
      </c>
      <c r="N8" s="1125">
        <v>0</v>
      </c>
      <c r="O8" s="1151">
        <f>SUM(C8:N8)</f>
        <v>0</v>
      </c>
    </row>
    <row r="9" spans="1:16" ht="15.75" thickBot="1">
      <c r="A9" s="2490"/>
      <c r="B9" s="2491" t="str">
        <f>'IVA 0'!B9</f>
        <v>Total IVA Soportado</v>
      </c>
      <c r="C9" s="1169">
        <f t="shared" ref="C9:O9" ca="1" si="0">SUM(C5:C8)</f>
        <v>39.458160000000007</v>
      </c>
      <c r="D9" s="1170">
        <f t="shared" ca="1" si="0"/>
        <v>39.458160000000007</v>
      </c>
      <c r="E9" s="1170">
        <f t="shared" ca="1" si="0"/>
        <v>39.458160000000007</v>
      </c>
      <c r="F9" s="1170">
        <f t="shared" ca="1" si="0"/>
        <v>39.458160000000007</v>
      </c>
      <c r="G9" s="1170">
        <f t="shared" ca="1" si="0"/>
        <v>39.458160000000007</v>
      </c>
      <c r="H9" s="1170">
        <f t="shared" ca="1" si="0"/>
        <v>39.458160000000007</v>
      </c>
      <c r="I9" s="1170">
        <f t="shared" ca="1" si="0"/>
        <v>39.458160000000007</v>
      </c>
      <c r="J9" s="1170">
        <f t="shared" ca="1" si="0"/>
        <v>39.458160000000007</v>
      </c>
      <c r="K9" s="1170">
        <f t="shared" ca="1" si="0"/>
        <v>39.458160000000007</v>
      </c>
      <c r="L9" s="1170">
        <f t="shared" ca="1" si="0"/>
        <v>39.458160000000007</v>
      </c>
      <c r="M9" s="1170">
        <f t="shared" ca="1" si="0"/>
        <v>39.458160000000007</v>
      </c>
      <c r="N9" s="1171">
        <f t="shared" ca="1" si="0"/>
        <v>39.458160000000007</v>
      </c>
      <c r="O9" s="1172">
        <f t="shared" ca="1" si="0"/>
        <v>110.11391999999999</v>
      </c>
    </row>
    <row r="10" spans="1:16" ht="15.75" thickBot="1">
      <c r="A10" s="1126"/>
      <c r="C10" s="1127"/>
      <c r="D10" s="1127"/>
      <c r="E10" s="1127"/>
      <c r="F10" s="1127"/>
      <c r="G10" s="1127"/>
      <c r="H10" s="1127"/>
      <c r="I10" s="1127"/>
      <c r="J10" s="1127"/>
      <c r="K10" s="1127"/>
      <c r="L10" s="1127"/>
      <c r="M10" s="1127"/>
      <c r="N10" s="1127"/>
      <c r="O10" s="1127"/>
    </row>
    <row r="11" spans="1:16" ht="15.75" thickBot="1">
      <c r="A11" s="2484" t="str">
        <f t="array" ref="A11:A13">'IVA 0'!A11:A13</f>
        <v>Coeficientes de prorrata Trimestrais</v>
      </c>
      <c r="B11" s="2485"/>
      <c r="C11" s="2527">
        <f t="array" ref="C11:O11">C42:O42</f>
        <v>1</v>
      </c>
      <c r="D11" s="2527">
        <v>0</v>
      </c>
      <c r="E11" s="2528">
        <f ca="1"/>
        <v>0</v>
      </c>
      <c r="F11" s="2527">
        <v>0</v>
      </c>
      <c r="G11" s="2527">
        <v>0</v>
      </c>
      <c r="H11" s="2528">
        <f ca="1"/>
        <v>0</v>
      </c>
      <c r="I11" s="2527">
        <v>0</v>
      </c>
      <c r="J11" s="2527">
        <v>0</v>
      </c>
      <c r="K11" s="2528">
        <f ca="1"/>
        <v>0</v>
      </c>
      <c r="L11" s="2527">
        <v>0</v>
      </c>
      <c r="M11" s="2527">
        <v>0</v>
      </c>
      <c r="N11" s="2528">
        <f ca="1"/>
        <v>0</v>
      </c>
      <c r="O11" s="3177">
        <f ca="1"/>
        <v>1</v>
      </c>
    </row>
    <row r="12" spans="1:16">
      <c r="A12" s="2486" t="str">
        <v>Total IVA soportado deducível</v>
      </c>
      <c r="B12" s="2487"/>
      <c r="C12" s="3176">
        <f t="array" aca="1" ref="C12:N12" ca="1">$C$11*C9:N9</f>
        <v>39.458160000000007</v>
      </c>
      <c r="D12" s="3176">
        <f ca="1"/>
        <v>39.458160000000007</v>
      </c>
      <c r="E12" s="3176">
        <f ca="1"/>
        <v>39.458160000000007</v>
      </c>
      <c r="F12" s="3176">
        <f ca="1"/>
        <v>39.458160000000007</v>
      </c>
      <c r="G12" s="3176">
        <f ca="1"/>
        <v>39.458160000000007</v>
      </c>
      <c r="H12" s="3176">
        <f ca="1"/>
        <v>39.458160000000007</v>
      </c>
      <c r="I12" s="3176">
        <f ca="1"/>
        <v>39.458160000000007</v>
      </c>
      <c r="J12" s="3176">
        <f ca="1"/>
        <v>39.458160000000007</v>
      </c>
      <c r="K12" s="3176">
        <f ca="1"/>
        <v>39.458160000000007</v>
      </c>
      <c r="L12" s="3176">
        <f ca="1"/>
        <v>39.458160000000007</v>
      </c>
      <c r="M12" s="3176">
        <f ca="1"/>
        <v>39.458160000000007</v>
      </c>
      <c r="N12" s="3176">
        <f ca="1"/>
        <v>39.458160000000007</v>
      </c>
      <c r="O12" s="1166">
        <f ca="1">SUM(C12:N12)</f>
        <v>473.49792000000019</v>
      </c>
    </row>
    <row r="13" spans="1:16" ht="16.5" customHeight="1" thickBot="1">
      <c r="A13" s="232" t="str">
        <v>Total IVA soportado para gasto</v>
      </c>
      <c r="B13" s="2483"/>
      <c r="C13" s="1167">
        <f t="array" aca="1" ref="C13:N13" ca="1">C9:N9-C12:N12</f>
        <v>0</v>
      </c>
      <c r="D13" s="1167">
        <f ca="1"/>
        <v>0</v>
      </c>
      <c r="E13" s="1167">
        <f ca="1"/>
        <v>0</v>
      </c>
      <c r="F13" s="1167">
        <f ca="1"/>
        <v>0</v>
      </c>
      <c r="G13" s="1167">
        <f ca="1"/>
        <v>0</v>
      </c>
      <c r="H13" s="1167">
        <f ca="1"/>
        <v>0</v>
      </c>
      <c r="I13" s="1167">
        <f ca="1"/>
        <v>0</v>
      </c>
      <c r="J13" s="1167">
        <f ca="1"/>
        <v>0</v>
      </c>
      <c r="K13" s="1167">
        <f ca="1"/>
        <v>0</v>
      </c>
      <c r="L13" s="1167">
        <f ca="1"/>
        <v>0</v>
      </c>
      <c r="M13" s="1167">
        <f ca="1"/>
        <v>0</v>
      </c>
      <c r="N13" s="1167">
        <f ca="1"/>
        <v>0</v>
      </c>
      <c r="O13" s="1168">
        <f ca="1">SUM(C13:N13)</f>
        <v>0</v>
      </c>
    </row>
    <row r="14" spans="1:16" ht="15.75" thickBot="1"/>
    <row r="15" spans="1:16" ht="15.75" thickBot="1">
      <c r="A15" s="65"/>
      <c r="B15" s="395" t="str">
        <f>'IVA 0'!B15</f>
        <v>Conta Corrente IVA</v>
      </c>
      <c r="C15" s="1162" t="str">
        <f>'Dados Básicos'!$B$32</f>
        <v>Não</v>
      </c>
      <c r="D15" s="2454">
        <f>IVAcc</f>
        <v>0</v>
      </c>
      <c r="F15" s="1164"/>
      <c r="G15" s="694"/>
      <c r="L15" s="65"/>
      <c r="M15" s="375"/>
      <c r="N15" s="3182" t="s">
        <v>1264</v>
      </c>
      <c r="O15" s="3183">
        <f ca="1">-O9*($O$11-$C$11)</f>
        <v>0</v>
      </c>
    </row>
    <row r="17" spans="1:15" s="99" customFormat="1" ht="23.25" thickBot="1">
      <c r="A17" s="68" t="str">
        <f>'IVA 0'!A17</f>
        <v xml:space="preserve">Liquidações Trimestrais de IVA da empresa </v>
      </c>
      <c r="B17" s="260"/>
      <c r="C17" s="68"/>
      <c r="D17" s="68"/>
      <c r="F17" s="260"/>
    </row>
    <row r="18" spans="1:15" ht="15.75" thickBot="1">
      <c r="A18" s="2475"/>
      <c r="B18" s="2476"/>
      <c r="C18" s="1143" t="str">
        <f t="array" ref="C18:N18">meses</f>
        <v>janeiro</v>
      </c>
      <c r="D18" s="1143" t="str">
        <v>fevereiro</v>
      </c>
      <c r="E18" s="1143" t="str">
        <v>março</v>
      </c>
      <c r="F18" s="1143" t="str">
        <v>abril</v>
      </c>
      <c r="G18" s="1143" t="str">
        <v>maio</v>
      </c>
      <c r="H18" s="1143" t="str">
        <v>junho</v>
      </c>
      <c r="I18" s="1143" t="str">
        <v>julho</v>
      </c>
      <c r="J18" s="1143" t="str">
        <v>agosto</v>
      </c>
      <c r="K18" s="1143" t="str">
        <v>setembro</v>
      </c>
      <c r="L18" s="1143" t="str">
        <v>outubro</v>
      </c>
      <c r="M18" s="1143" t="str">
        <v>novembro</v>
      </c>
      <c r="N18" s="1143" t="str">
        <v>dezembro</v>
      </c>
      <c r="O18" s="1144" t="str">
        <f>'IVA 0'!$O$4</f>
        <v>Totais</v>
      </c>
    </row>
    <row r="19" spans="1:15">
      <c r="A19" s="2477" t="str">
        <f t="array" ref="A19:A22">'IVA 0'!A19:A22</f>
        <v>Total IVA Repercutido</v>
      </c>
      <c r="B19" s="2478"/>
      <c r="C19" s="1117">
        <f t="array" aca="1" ref="C19" ca="1">SUM(Parametros!$E$24:$E$31*C31:C38)</f>
        <v>216.29999999999998</v>
      </c>
      <c r="D19" s="1117">
        <f t="array" aca="1" ref="D19" ca="1">SUM(Parametros!$E$24:$E$31*D31:D38)</f>
        <v>216.29999999999998</v>
      </c>
      <c r="E19" s="1117">
        <f t="array" aca="1" ref="E19" ca="1">SUM(Parametros!$E$24:$E$31*E31:E38)</f>
        <v>216.29999999999998</v>
      </c>
      <c r="F19" s="1117">
        <f t="array" aca="1" ref="F19" ca="1">SUM(Parametros!$E$24:$E$31*F31:F38)</f>
        <v>216.29999999999998</v>
      </c>
      <c r="G19" s="1117">
        <f t="array" aca="1" ref="G19" ca="1">SUM(Parametros!$E$24:$E$31*G31:G38)</f>
        <v>216.29999999999998</v>
      </c>
      <c r="H19" s="1117">
        <f t="array" aca="1" ref="H19" ca="1">SUM(Parametros!$E$24:$E$31*H31:H38)</f>
        <v>216.29999999999998</v>
      </c>
      <c r="I19" s="1117">
        <f t="array" aca="1" ref="I19" ca="1">SUM(Parametros!$E$24:$E$31*I31:I38)</f>
        <v>216.29999999999998</v>
      </c>
      <c r="J19" s="1117">
        <f t="array" aca="1" ref="J19" ca="1">SUM(Parametros!$E$24:$E$31*J31:J38)</f>
        <v>216.29999999999998</v>
      </c>
      <c r="K19" s="1117">
        <f t="array" aca="1" ref="K19" ca="1">SUM(Parametros!$E$24:$E$31*K31:K38)</f>
        <v>216.29999999999998</v>
      </c>
      <c r="L19" s="1117">
        <f t="array" aca="1" ref="L19" ca="1">SUM(Parametros!$E$24:$E$31*L31:L38)</f>
        <v>216.29999999999998</v>
      </c>
      <c r="M19" s="1117">
        <f t="array" aca="1" ref="M19" ca="1">SUM(Parametros!$E$24:$E$31*M31:M38)</f>
        <v>216.29999999999998</v>
      </c>
      <c r="N19" s="1117">
        <f t="array" aca="1" ref="N19" ca="1">SUM(Parametros!$E$24:$E$31*N31:N38)</f>
        <v>216.29999999999998</v>
      </c>
      <c r="O19" s="1146">
        <f ca="1">SUM(C19:N19)</f>
        <v>2595.6000000000004</v>
      </c>
    </row>
    <row r="20" spans="1:15">
      <c r="A20" s="2479" t="str">
        <v>Total IVA soportado deducível</v>
      </c>
      <c r="B20" s="2480"/>
      <c r="C20" s="1118">
        <f t="array" aca="1" ref="C20:N20" ca="1">C12:N12</f>
        <v>39.458160000000007</v>
      </c>
      <c r="D20" s="1118">
        <f ca="1"/>
        <v>39.458160000000007</v>
      </c>
      <c r="E20" s="1118">
        <f ca="1"/>
        <v>39.458160000000007</v>
      </c>
      <c r="F20" s="1118">
        <f ca="1"/>
        <v>39.458160000000007</v>
      </c>
      <c r="G20" s="1118">
        <f ca="1"/>
        <v>39.458160000000007</v>
      </c>
      <c r="H20" s="1118">
        <f ca="1"/>
        <v>39.458160000000007</v>
      </c>
      <c r="I20" s="1118">
        <f ca="1"/>
        <v>39.458160000000007</v>
      </c>
      <c r="J20" s="1118">
        <f ca="1"/>
        <v>39.458160000000007</v>
      </c>
      <c r="K20" s="1118">
        <f ca="1"/>
        <v>39.458160000000007</v>
      </c>
      <c r="L20" s="1118">
        <f ca="1"/>
        <v>39.458160000000007</v>
      </c>
      <c r="M20" s="1118">
        <f ca="1"/>
        <v>39.458160000000007</v>
      </c>
      <c r="N20" s="1118">
        <f ca="1"/>
        <v>39.458160000000007</v>
      </c>
      <c r="O20" s="1141">
        <f ca="1">SUM(C20:N20)</f>
        <v>473.49792000000019</v>
      </c>
    </row>
    <row r="21" spans="1:15" ht="15.75" thickBot="1">
      <c r="A21" s="2481" t="str">
        <v>Diferências IVA</v>
      </c>
      <c r="B21" s="2482"/>
      <c r="C21" s="1165">
        <f t="array" aca="1" ref="C21:N21" ca="1">C19:N19-C20:N20</f>
        <v>176.84183999999999</v>
      </c>
      <c r="D21" s="1165">
        <f ca="1"/>
        <v>176.84183999999999</v>
      </c>
      <c r="E21" s="1165">
        <f ca="1"/>
        <v>176.84183999999999</v>
      </c>
      <c r="F21" s="1165">
        <f ca="1"/>
        <v>176.84183999999999</v>
      </c>
      <c r="G21" s="1165">
        <f ca="1"/>
        <v>176.84183999999999</v>
      </c>
      <c r="H21" s="1165">
        <f ca="1"/>
        <v>176.84183999999999</v>
      </c>
      <c r="I21" s="1165">
        <f ca="1"/>
        <v>176.84183999999999</v>
      </c>
      <c r="J21" s="1165">
        <f ca="1"/>
        <v>176.84183999999999</v>
      </c>
      <c r="K21" s="1165">
        <f ca="1"/>
        <v>176.84183999999999</v>
      </c>
      <c r="L21" s="1165">
        <f ca="1"/>
        <v>176.84183999999999</v>
      </c>
      <c r="M21" s="1165">
        <f ca="1"/>
        <v>176.84183999999999</v>
      </c>
      <c r="N21" s="1165">
        <f ca="1"/>
        <v>176.84183999999999</v>
      </c>
      <c r="O21" s="1142">
        <f ca="1">SUM(C21:N21)</f>
        <v>2122.1020800000001</v>
      </c>
    </row>
    <row r="22" spans="1:15" s="49" customFormat="1" ht="19.5" customHeight="1">
      <c r="A22" s="2557" t="str">
        <v>Quotas de IVA</v>
      </c>
      <c r="B22" s="2558"/>
      <c r="C22" s="2559">
        <f ca="1">'IVA 0'!O22</f>
        <v>485.76436363636367</v>
      </c>
      <c r="D22" s="2563">
        <f>+IF(IVAmensual=1,  IF(AND(IVAdev=1,C22&lt;0),0,MIN(C22,0))  +C21,0)</f>
        <v>0</v>
      </c>
      <c r="E22" s="2546">
        <f>+IF(IVAmensual=1,    MIN(D22,0)+D21,0)</f>
        <v>0</v>
      </c>
      <c r="F22" s="2563">
        <f ca="1">IF(IVAmensual=0,    IF(AND(IVAdev=1,C22&lt;0),0,MIN(C22,0))+SUM(C21:E21),0)
+IF(IVAmensual=1,    MIN(E22,0)+E21,0)</f>
        <v>530.52551999999991</v>
      </c>
      <c r="G22" s="2546">
        <f>+IF(IVAmensual=1,    MIN(F22,0)+F21,0)</f>
        <v>0</v>
      </c>
      <c r="H22" s="2546">
        <f>+IF(IVAmensual=1,    MIN(G22,0)+G21,0)</f>
        <v>0</v>
      </c>
      <c r="I22" s="2546">
        <f ca="1">IF(IVAmensual=0,   MIN(F22,0)+SUM(F21:H21),0)
+IF(IVAmensual=1,    MIN(H22,0)+H21,0)</f>
        <v>530.52551999999991</v>
      </c>
      <c r="J22" s="2546">
        <f>+IF(IVAmensual=1,    MIN(I22,0)+I21,0)</f>
        <v>0</v>
      </c>
      <c r="K22" s="2546">
        <f>+IF(IVAmensual=1,    MIN(J22,0)+J21,0)</f>
        <v>0</v>
      </c>
      <c r="L22" s="2546">
        <f ca="1">IF(IVAmensual=0,   MIN(I22,0)+SUM(I21:K21),0)
+IF(IVAmensual=1,    MIN(K22,0)+K21,0)</f>
        <v>530.52551999999991</v>
      </c>
      <c r="M22" s="2546">
        <f>+IF(IVAmensual=1,    MIN(L22,0)+L21,0)</f>
        <v>0</v>
      </c>
      <c r="N22" s="2546">
        <f>+IF(IVAmensual=1,    MIN(M22,0)+M21,0)</f>
        <v>0</v>
      </c>
      <c r="O22" s="3181">
        <f ca="1">IF(IVAmensual=0,   MIN(L22,0)+SUM(L21:N21)+O15,0)
+IF(IVAmensual=1,    MIN(N22,0)+N21+O15,0)</f>
        <v>530.52551999999991</v>
      </c>
    </row>
    <row r="23" spans="1:15" ht="10.5" customHeight="1">
      <c r="A23" s="388"/>
      <c r="B23" s="2480"/>
      <c r="C23" s="910"/>
      <c r="D23" s="910"/>
      <c r="E23" s="910"/>
      <c r="F23" s="910"/>
      <c r="G23" s="910"/>
      <c r="H23" s="910"/>
      <c r="I23" s="910"/>
      <c r="J23" s="910"/>
      <c r="K23" s="910"/>
      <c r="L23" s="910"/>
      <c r="M23" s="910"/>
      <c r="N23" s="910"/>
      <c r="O23" s="1147"/>
    </row>
    <row r="24" spans="1:15" s="49" customFormat="1" ht="19.5" customHeight="1" thickBot="1">
      <c r="A24" s="2547" t="str">
        <f>'IVA 0'!A24</f>
        <v>Liquidações de IVA</v>
      </c>
      <c r="B24" s="2548"/>
      <c r="C24" s="2549">
        <f t="shared" ref="C24:O24" ca="1" si="1">IF(AND(IVAcc=0,C22&gt;0),C22,0)</f>
        <v>485.76436363636367</v>
      </c>
      <c r="D24" s="2550">
        <f t="shared" si="1"/>
        <v>0</v>
      </c>
      <c r="E24" s="2550">
        <f t="shared" si="1"/>
        <v>0</v>
      </c>
      <c r="F24" s="2550">
        <f t="shared" ca="1" si="1"/>
        <v>530.52551999999991</v>
      </c>
      <c r="G24" s="2550">
        <f t="shared" si="1"/>
        <v>0</v>
      </c>
      <c r="H24" s="2550">
        <f t="shared" si="1"/>
        <v>0</v>
      </c>
      <c r="I24" s="2550">
        <f t="shared" ca="1" si="1"/>
        <v>530.52551999999991</v>
      </c>
      <c r="J24" s="2550">
        <f t="shared" si="1"/>
        <v>0</v>
      </c>
      <c r="K24" s="2550">
        <f t="shared" si="1"/>
        <v>0</v>
      </c>
      <c r="L24" s="2550">
        <f t="shared" ca="1" si="1"/>
        <v>530.52551999999991</v>
      </c>
      <c r="M24" s="2550">
        <f t="shared" si="1"/>
        <v>0</v>
      </c>
      <c r="N24" s="2550">
        <f t="shared" si="1"/>
        <v>0</v>
      </c>
      <c r="O24" s="2551">
        <f t="shared" ca="1" si="1"/>
        <v>530.52551999999991</v>
      </c>
    </row>
    <row r="25" spans="1:15" ht="9" customHeight="1" thickBot="1">
      <c r="C25" s="904"/>
      <c r="D25" s="904"/>
      <c r="E25" s="904"/>
      <c r="F25" s="904"/>
      <c r="G25" s="904"/>
      <c r="H25" s="904"/>
      <c r="I25" s="904"/>
      <c r="J25" s="904"/>
      <c r="K25" s="904"/>
      <c r="L25" s="904"/>
      <c r="M25" s="904"/>
      <c r="N25" s="904"/>
      <c r="O25" s="904"/>
    </row>
    <row r="26" spans="1:15" s="49" customFormat="1" ht="18.75" customHeight="1" thickBot="1">
      <c r="A26" s="2552" t="str">
        <f>'IVA 0'!A26</f>
        <v>Devoluções IVA</v>
      </c>
      <c r="B26" s="2553"/>
      <c r="C26" s="2555">
        <f>'IVA 0'!O26</f>
        <v>0</v>
      </c>
      <c r="D26" s="2555">
        <f>-IF(AND(IVAcc,IVAmensual=1),C21,0)</f>
        <v>0</v>
      </c>
      <c r="E26" s="2555">
        <f>-IF(AND(IVAcc,IVAmensual=1),D21,0)</f>
        <v>0</v>
      </c>
      <c r="F26" s="2555">
        <f>-IF(AND(IVAcc,IVAmensual=0),SUM(C21:E21),0)
-IF(AND(IVAcc,IVAmensual=1),E21,0)</f>
        <v>0</v>
      </c>
      <c r="G26" s="2555">
        <f>-IF(AND(IVAcc,IVAmensual=1),F21,0)</f>
        <v>0</v>
      </c>
      <c r="H26" s="2562">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61">
        <f>-IF(AND(IVAcc,IVAmensual=0),SUM(L21:N21),0)
-IF(AND(IVAcc,IVAmensual=1),N21,0)</f>
        <v>0</v>
      </c>
    </row>
    <row r="29" spans="1:15" s="99" customFormat="1" ht="23.25" thickBot="1">
      <c r="A29" s="68" t="str">
        <f>'IVA 0'!A29</f>
        <v>Regra de prorrata</v>
      </c>
      <c r="D29" s="260"/>
      <c r="E29" s="260"/>
    </row>
    <row r="30" spans="1:15" ht="15.75" thickBot="1">
      <c r="A30" s="1155" t="str">
        <f>'IVA 0'!A30</f>
        <v>IVA repercutido</v>
      </c>
      <c r="B30" s="105" t="str">
        <f>'IVA 0'!B30</f>
        <v>taxa IVA</v>
      </c>
      <c r="C30" s="438" t="str">
        <f t="array" ref="C30:N30">meses</f>
        <v>janeiro</v>
      </c>
      <c r="D30" s="165" t="str">
        <v>fevereiro</v>
      </c>
      <c r="E30" s="165" t="str">
        <v>março</v>
      </c>
      <c r="F30" s="165" t="str">
        <v>abril</v>
      </c>
      <c r="G30" s="165" t="str">
        <v>maio</v>
      </c>
      <c r="H30" s="165" t="str">
        <v>junho</v>
      </c>
      <c r="I30" s="165" t="str">
        <v>julho</v>
      </c>
      <c r="J30" s="165" t="str">
        <v>agosto</v>
      </c>
      <c r="K30" s="165" t="str">
        <v>setembro</v>
      </c>
      <c r="L30" s="165" t="str">
        <v>outubro</v>
      </c>
      <c r="M30" s="165" t="str">
        <v>novembro</v>
      </c>
      <c r="N30" s="165" t="str">
        <v>dezembro</v>
      </c>
      <c r="O30" s="166" t="str">
        <f>'IVA 0'!$O$4</f>
        <v>Totais</v>
      </c>
    </row>
    <row r="31" spans="1:15">
      <c r="A31" s="1773" t="str">
        <f t="array" ref="A31:A38">productos</f>
        <v>produto 1</v>
      </c>
      <c r="B31" s="1128">
        <f t="array" ref="B31:B38">Parametros!E24:E31</f>
        <v>0.21</v>
      </c>
      <c r="C31" s="1129">
        <f t="array" aca="1" ref="C31:N38" ca="1">'Prev.Vendas 1'!B17:M24</f>
        <v>1030</v>
      </c>
      <c r="D31" s="1129">
        <f ca="1"/>
        <v>1030</v>
      </c>
      <c r="E31" s="1129">
        <f ca="1"/>
        <v>1030</v>
      </c>
      <c r="F31" s="1129">
        <f ca="1"/>
        <v>1030</v>
      </c>
      <c r="G31" s="1129">
        <f ca="1"/>
        <v>1030</v>
      </c>
      <c r="H31" s="1129">
        <f ca="1"/>
        <v>1030</v>
      </c>
      <c r="I31" s="1129">
        <f ca="1"/>
        <v>1030</v>
      </c>
      <c r="J31" s="1129">
        <f ca="1"/>
        <v>1030</v>
      </c>
      <c r="K31" s="1129">
        <f ca="1"/>
        <v>1030</v>
      </c>
      <c r="L31" s="1129">
        <f ca="1"/>
        <v>1030</v>
      </c>
      <c r="M31" s="1129">
        <f ca="1"/>
        <v>1030</v>
      </c>
      <c r="N31" s="1129">
        <f ca="1"/>
        <v>1030</v>
      </c>
      <c r="O31" s="1156">
        <f t="shared" ref="O31:O41" ca="1" si="2">SUM(C31:N31)</f>
        <v>12360</v>
      </c>
    </row>
    <row r="32" spans="1:15">
      <c r="A32" s="1552" t="str">
        <v/>
      </c>
      <c r="B32" s="1130">
        <v>0.21</v>
      </c>
      <c r="C32" s="1131">
        <f ca="1"/>
        <v>0</v>
      </c>
      <c r="D32" s="1131">
        <f ca="1"/>
        <v>0</v>
      </c>
      <c r="E32" s="1131">
        <f ca="1"/>
        <v>0</v>
      </c>
      <c r="F32" s="1131">
        <f ca="1"/>
        <v>0</v>
      </c>
      <c r="G32" s="1131">
        <f ca="1"/>
        <v>0</v>
      </c>
      <c r="H32" s="1131">
        <f ca="1"/>
        <v>0</v>
      </c>
      <c r="I32" s="1131">
        <f ca="1"/>
        <v>0</v>
      </c>
      <c r="J32" s="1131">
        <f ca="1"/>
        <v>0</v>
      </c>
      <c r="K32" s="1131">
        <f ca="1"/>
        <v>0</v>
      </c>
      <c r="L32" s="1131">
        <f ca="1"/>
        <v>0</v>
      </c>
      <c r="M32" s="1131">
        <f ca="1"/>
        <v>0</v>
      </c>
      <c r="N32" s="1131">
        <f ca="1"/>
        <v>0</v>
      </c>
      <c r="O32" s="1157">
        <f t="shared" ca="1" si="2"/>
        <v>0</v>
      </c>
    </row>
    <row r="33" spans="1:15">
      <c r="A33" s="1552" t="str">
        <v/>
      </c>
      <c r="B33" s="1130">
        <v>0.21</v>
      </c>
      <c r="C33" s="1131">
        <f ca="1"/>
        <v>0</v>
      </c>
      <c r="D33" s="1131">
        <f ca="1"/>
        <v>0</v>
      </c>
      <c r="E33" s="1131">
        <f ca="1"/>
        <v>0</v>
      </c>
      <c r="F33" s="1131">
        <f ca="1"/>
        <v>0</v>
      </c>
      <c r="G33" s="1131">
        <f ca="1"/>
        <v>0</v>
      </c>
      <c r="H33" s="1131">
        <f ca="1"/>
        <v>0</v>
      </c>
      <c r="I33" s="1131">
        <f ca="1"/>
        <v>0</v>
      </c>
      <c r="J33" s="1131">
        <f ca="1"/>
        <v>0</v>
      </c>
      <c r="K33" s="1131">
        <f ca="1"/>
        <v>0</v>
      </c>
      <c r="L33" s="1131">
        <f ca="1"/>
        <v>0</v>
      </c>
      <c r="M33" s="1131">
        <f ca="1"/>
        <v>0</v>
      </c>
      <c r="N33" s="1131">
        <f ca="1"/>
        <v>0</v>
      </c>
      <c r="O33" s="1157">
        <f t="shared" ca="1" si="2"/>
        <v>0</v>
      </c>
    </row>
    <row r="34" spans="1:15">
      <c r="A34" s="1552" t="str">
        <v/>
      </c>
      <c r="B34" s="1130">
        <v>0.21</v>
      </c>
      <c r="C34" s="1131">
        <f ca="1"/>
        <v>0</v>
      </c>
      <c r="D34" s="1131">
        <f ca="1"/>
        <v>0</v>
      </c>
      <c r="E34" s="1131">
        <f ca="1"/>
        <v>0</v>
      </c>
      <c r="F34" s="1131">
        <f ca="1"/>
        <v>0</v>
      </c>
      <c r="G34" s="1131">
        <f ca="1"/>
        <v>0</v>
      </c>
      <c r="H34" s="1131">
        <f ca="1"/>
        <v>0</v>
      </c>
      <c r="I34" s="1131">
        <f ca="1"/>
        <v>0</v>
      </c>
      <c r="J34" s="1131">
        <f ca="1"/>
        <v>0</v>
      </c>
      <c r="K34" s="1131">
        <f ca="1"/>
        <v>0</v>
      </c>
      <c r="L34" s="1131">
        <f ca="1"/>
        <v>0</v>
      </c>
      <c r="M34" s="1131">
        <f ca="1"/>
        <v>0</v>
      </c>
      <c r="N34" s="1131">
        <f ca="1"/>
        <v>0</v>
      </c>
      <c r="O34" s="1157">
        <f t="shared" ca="1" si="2"/>
        <v>0</v>
      </c>
    </row>
    <row r="35" spans="1:15">
      <c r="A35" s="1552" t="str">
        <v/>
      </c>
      <c r="B35" s="1130">
        <v>0.21</v>
      </c>
      <c r="C35" s="1131">
        <f ca="1"/>
        <v>0</v>
      </c>
      <c r="D35" s="1131">
        <f ca="1"/>
        <v>0</v>
      </c>
      <c r="E35" s="1131">
        <f ca="1"/>
        <v>0</v>
      </c>
      <c r="F35" s="1131">
        <f ca="1"/>
        <v>0</v>
      </c>
      <c r="G35" s="1131">
        <f ca="1"/>
        <v>0</v>
      </c>
      <c r="H35" s="1131">
        <f ca="1"/>
        <v>0</v>
      </c>
      <c r="I35" s="1131">
        <f ca="1"/>
        <v>0</v>
      </c>
      <c r="J35" s="1131">
        <f ca="1"/>
        <v>0</v>
      </c>
      <c r="K35" s="1131">
        <f ca="1"/>
        <v>0</v>
      </c>
      <c r="L35" s="1131">
        <f ca="1"/>
        <v>0</v>
      </c>
      <c r="M35" s="1131">
        <f ca="1"/>
        <v>0</v>
      </c>
      <c r="N35" s="1131">
        <f ca="1"/>
        <v>0</v>
      </c>
      <c r="O35" s="1157">
        <f t="shared" ca="1" si="2"/>
        <v>0</v>
      </c>
    </row>
    <row r="36" spans="1:15">
      <c r="A36" s="1552" t="str">
        <v/>
      </c>
      <c r="B36" s="1130">
        <v>0.21</v>
      </c>
      <c r="C36" s="1131">
        <f ca="1"/>
        <v>0</v>
      </c>
      <c r="D36" s="1131">
        <f ca="1"/>
        <v>0</v>
      </c>
      <c r="E36" s="1131">
        <f ca="1"/>
        <v>0</v>
      </c>
      <c r="F36" s="1131">
        <f ca="1"/>
        <v>0</v>
      </c>
      <c r="G36" s="1131">
        <f ca="1"/>
        <v>0</v>
      </c>
      <c r="H36" s="1131">
        <f ca="1"/>
        <v>0</v>
      </c>
      <c r="I36" s="1131">
        <f ca="1"/>
        <v>0</v>
      </c>
      <c r="J36" s="1131">
        <f ca="1"/>
        <v>0</v>
      </c>
      <c r="K36" s="1131">
        <f ca="1"/>
        <v>0</v>
      </c>
      <c r="L36" s="1131">
        <f ca="1"/>
        <v>0</v>
      </c>
      <c r="M36" s="1131">
        <f ca="1"/>
        <v>0</v>
      </c>
      <c r="N36" s="1131">
        <f ca="1"/>
        <v>0</v>
      </c>
      <c r="O36" s="1157">
        <f t="shared" ca="1" si="2"/>
        <v>0</v>
      </c>
    </row>
    <row r="37" spans="1:15">
      <c r="A37" s="1552" t="str">
        <v/>
      </c>
      <c r="B37" s="1130">
        <v>0.21</v>
      </c>
      <c r="C37" s="1131">
        <f ca="1"/>
        <v>0</v>
      </c>
      <c r="D37" s="1131">
        <f ca="1"/>
        <v>0</v>
      </c>
      <c r="E37" s="1131">
        <f ca="1"/>
        <v>0</v>
      </c>
      <c r="F37" s="1131">
        <f ca="1"/>
        <v>0</v>
      </c>
      <c r="G37" s="1131">
        <f ca="1"/>
        <v>0</v>
      </c>
      <c r="H37" s="1131">
        <f ca="1"/>
        <v>0</v>
      </c>
      <c r="I37" s="1131">
        <f ca="1"/>
        <v>0</v>
      </c>
      <c r="J37" s="1131">
        <f ca="1"/>
        <v>0</v>
      </c>
      <c r="K37" s="1131">
        <f ca="1"/>
        <v>0</v>
      </c>
      <c r="L37" s="1131">
        <f ca="1"/>
        <v>0</v>
      </c>
      <c r="M37" s="1131">
        <f ca="1"/>
        <v>0</v>
      </c>
      <c r="N37" s="1131">
        <f ca="1"/>
        <v>0</v>
      </c>
      <c r="O37" s="1157">
        <f t="shared" ca="1" si="2"/>
        <v>0</v>
      </c>
    </row>
    <row r="38" spans="1:15" ht="15.75" thickBot="1">
      <c r="A38" s="1774" t="str">
        <v/>
      </c>
      <c r="B38" s="1132">
        <v>0.21</v>
      </c>
      <c r="C38" s="1133">
        <f ca="1"/>
        <v>0</v>
      </c>
      <c r="D38" s="1133">
        <f ca="1"/>
        <v>0</v>
      </c>
      <c r="E38" s="1133">
        <f ca="1"/>
        <v>0</v>
      </c>
      <c r="F38" s="1133">
        <f ca="1"/>
        <v>0</v>
      </c>
      <c r="G38" s="1133">
        <f ca="1"/>
        <v>0</v>
      </c>
      <c r="H38" s="1133">
        <f ca="1"/>
        <v>0</v>
      </c>
      <c r="I38" s="1133">
        <f ca="1"/>
        <v>0</v>
      </c>
      <c r="J38" s="1133">
        <f ca="1"/>
        <v>0</v>
      </c>
      <c r="K38" s="1133">
        <f ca="1"/>
        <v>0</v>
      </c>
      <c r="L38" s="1133">
        <f ca="1"/>
        <v>0</v>
      </c>
      <c r="M38" s="1133">
        <f ca="1"/>
        <v>0</v>
      </c>
      <c r="N38" s="1133">
        <f ca="1"/>
        <v>0</v>
      </c>
      <c r="O38" s="1158">
        <f t="shared" ca="1" si="2"/>
        <v>0</v>
      </c>
    </row>
    <row r="39" spans="1:15" ht="18" customHeight="1">
      <c r="A39" s="1159" t="str">
        <f t="array" ref="A39:A42">'IVA 0'!A39:A42</f>
        <v>Vendas sujetas a IVA</v>
      </c>
      <c r="B39" s="209"/>
      <c r="C39" s="1135">
        <f ca="1">SUMIF($B$31:$B$38,"&lt;&gt;0",C31:C38)</f>
        <v>1030</v>
      </c>
      <c r="D39" s="1136">
        <f t="shared" ref="D39:N39" ca="1" si="3">SUMIF($B$31:$B$38,"&lt;&gt;0",D31:D38)</f>
        <v>1030</v>
      </c>
      <c r="E39" s="1136">
        <f t="shared" ca="1" si="3"/>
        <v>1030</v>
      </c>
      <c r="F39" s="1136">
        <f t="shared" ca="1" si="3"/>
        <v>1030</v>
      </c>
      <c r="G39" s="1136">
        <f t="shared" ca="1" si="3"/>
        <v>1030</v>
      </c>
      <c r="H39" s="1136">
        <f t="shared" ca="1" si="3"/>
        <v>1030</v>
      </c>
      <c r="I39" s="1136">
        <f t="shared" ca="1" si="3"/>
        <v>1030</v>
      </c>
      <c r="J39" s="1136">
        <f t="shared" ca="1" si="3"/>
        <v>1030</v>
      </c>
      <c r="K39" s="1136">
        <f t="shared" ca="1" si="3"/>
        <v>1030</v>
      </c>
      <c r="L39" s="1136">
        <f t="shared" ca="1" si="3"/>
        <v>1030</v>
      </c>
      <c r="M39" s="1136">
        <f t="shared" ca="1" si="3"/>
        <v>1030</v>
      </c>
      <c r="N39" s="1137">
        <f t="shared" ca="1" si="3"/>
        <v>1030</v>
      </c>
      <c r="O39" s="1156">
        <f ca="1">SUM(C39:N39)</f>
        <v>12360</v>
      </c>
    </row>
    <row r="40" spans="1:15" ht="18" customHeight="1">
      <c r="A40" s="1160" t="str">
        <v>Vendas exentas de IVA</v>
      </c>
      <c r="B40" s="214"/>
      <c r="C40" s="1138">
        <f>SUMIF($B$31:$B$38,"=0",C31:C38)</f>
        <v>0</v>
      </c>
      <c r="D40" s="1139">
        <f t="shared" ref="D40:N40" si="4">SUMIF($B$31:$B$38,"=0",D31:D38)</f>
        <v>0</v>
      </c>
      <c r="E40" s="1139">
        <f t="shared" si="4"/>
        <v>0</v>
      </c>
      <c r="F40" s="1139">
        <f t="shared" si="4"/>
        <v>0</v>
      </c>
      <c r="G40" s="1139">
        <f t="shared" si="4"/>
        <v>0</v>
      </c>
      <c r="H40" s="1139">
        <f t="shared" si="4"/>
        <v>0</v>
      </c>
      <c r="I40" s="1139">
        <f t="shared" si="4"/>
        <v>0</v>
      </c>
      <c r="J40" s="1139">
        <f t="shared" si="4"/>
        <v>0</v>
      </c>
      <c r="K40" s="1139">
        <f t="shared" si="4"/>
        <v>0</v>
      </c>
      <c r="L40" s="1139">
        <f t="shared" si="4"/>
        <v>0</v>
      </c>
      <c r="M40" s="1139">
        <f t="shared" si="4"/>
        <v>0</v>
      </c>
      <c r="N40" s="1140">
        <f t="shared" si="4"/>
        <v>0</v>
      </c>
      <c r="O40" s="1157">
        <f t="shared" si="2"/>
        <v>0</v>
      </c>
    </row>
    <row r="41" spans="1:15" ht="18" customHeight="1">
      <c r="A41" s="1160" t="str">
        <v>Total Faturação</v>
      </c>
      <c r="B41" s="214"/>
      <c r="C41" s="1138">
        <f t="array" aca="1" ref="C41:N41" ca="1">C40:N40+C39:N39</f>
        <v>1030</v>
      </c>
      <c r="D41" s="1139">
        <f ca="1"/>
        <v>1030</v>
      </c>
      <c r="E41" s="1139">
        <f ca="1"/>
        <v>1030</v>
      </c>
      <c r="F41" s="1139">
        <f ca="1"/>
        <v>1030</v>
      </c>
      <c r="G41" s="1139">
        <f ca="1"/>
        <v>1030</v>
      </c>
      <c r="H41" s="1139">
        <f ca="1"/>
        <v>1030</v>
      </c>
      <c r="I41" s="1139">
        <f ca="1"/>
        <v>1030</v>
      </c>
      <c r="J41" s="1139">
        <f ca="1"/>
        <v>1030</v>
      </c>
      <c r="K41" s="1139">
        <f ca="1"/>
        <v>1030</v>
      </c>
      <c r="L41" s="1139">
        <f ca="1"/>
        <v>1030</v>
      </c>
      <c r="M41" s="1139">
        <f ca="1"/>
        <v>1030</v>
      </c>
      <c r="N41" s="1140">
        <f ca="1"/>
        <v>1030</v>
      </c>
      <c r="O41" s="1157">
        <f t="shared" ca="1" si="2"/>
        <v>12360</v>
      </c>
    </row>
    <row r="42" spans="1:15" ht="18" customHeight="1" thickBot="1">
      <c r="A42" s="1161" t="str">
        <v>Coeficiente para a prorrata</v>
      </c>
      <c r="B42" s="215"/>
      <c r="C42" s="3179">
        <f>'IVA 0'!C42</f>
        <v>1</v>
      </c>
      <c r="D42" s="3179">
        <f>IF(IVAmensual=1,    IF(OR(IVAcc,D41&lt;0.1),1,D39/D41), 0)*0</f>
        <v>0</v>
      </c>
      <c r="E42" s="3179">
        <f ca="1">IF(IVAmensual=1, IF(OR(IVAcc,C41&lt;0.1),1,C39/C41),    IF(OR(IVAcc,SUM(C41:E41)&lt;0.4),1,SUM(C39:E39)/SUM(C41:E41)))*0</f>
        <v>0</v>
      </c>
      <c r="F42" s="3179">
        <f>IF(IVAmensual=1,    IF(OR(IVAcc,F41&lt;0.1),1,F39/F41), 0)*0</f>
        <v>0</v>
      </c>
      <c r="G42" s="3179">
        <f>IF(IVAmensual=1,    IF(OR(IVAcc,G41&lt;0.1),1,G39/G41), 0)*0</f>
        <v>0</v>
      </c>
      <c r="H42" s="3179">
        <f ca="1">IF(IVAmensual=1, IF(OR(IVAcc,F41&lt;0.1),1,F39/F41),    IF(OR(IVAcc,SUM(F41:H41)&lt;0.4),1,SUM(F39:H39)/SUM(F41:H41)))*0</f>
        <v>0</v>
      </c>
      <c r="I42" s="3179">
        <f>IF(IVAmensual=1,    IF(OR(IVAcc,I41&lt;0.1),1,I39/I41), 0)*0</f>
        <v>0</v>
      </c>
      <c r="J42" s="3179">
        <f>IF(IVAmensual=1,    IF(OR(IVAcc,J41&lt;0.1),1,J39/J41), 0)*0</f>
        <v>0</v>
      </c>
      <c r="K42" s="3179">
        <f ca="1">IF(IVAmensual=1, IF(OR(IVAcc,I41&lt;0.1),1,I39/I41),    IF(OR(IVAcc,SUM(I41:K41)&lt;0.4),1,SUM(I39:K39)/SUM(I41:K41)))*0</f>
        <v>0</v>
      </c>
      <c r="L42" s="3179">
        <f>IF(IVAmensual=1,    IF(OR(IVAcc,L41&lt;0.1),1,L39/L41), 0)*0</f>
        <v>0</v>
      </c>
      <c r="M42" s="3179">
        <f>IF(IVAmensual=1,    IF(OR(IVAcc,M41&lt;0.1),1,M39/M41), 0)*0</f>
        <v>0</v>
      </c>
      <c r="N42" s="3179">
        <f ca="1">IF(IVAmensual=1, IF(OR(IVAcc,L41&lt;0.1),1,L39/L41),    IF(OR(IVAcc,SUM(L41:N41)&lt;0.4),1,SUM(L39:N39)/SUM(L41:N41)))*0</f>
        <v>0</v>
      </c>
      <c r="O42" s="3180">
        <f ca="1" xml:space="preserve"> IF(OR(IVAcc, O41&lt;0.4), 1, O39/O41   )</f>
        <v>1</v>
      </c>
    </row>
  </sheetData>
  <sheetProtection sheet="1" objects="1" scenarios="1"/>
  <phoneticPr fontId="4" type="noConversion"/>
  <conditionalFormatting sqref="C31:N38">
    <cfRule type="expression" dxfId="11" priority="1" stopIfTrue="1">
      <formula>C31=""</formula>
    </cfRule>
  </conditionalFormatting>
  <printOptions horizontalCentered="1"/>
  <pageMargins left="0.57999999999999996" right="0.75" top="0.46" bottom="0.89" header="0" footer="0"/>
  <pageSetup paperSize="9" scale="66"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79"/>
  <sheetViews>
    <sheetView workbookViewId="0"/>
  </sheetViews>
  <sheetFormatPr baseColWidth="10" defaultRowHeight="15.75" outlineLevelRow="1"/>
  <cols>
    <col min="1" max="1" width="39" style="1" customWidth="1"/>
    <col min="2" max="2" width="9.375" customWidth="1"/>
    <col min="3" max="3" width="10.125" customWidth="1"/>
    <col min="4" max="4" width="8.75" bestFit="1" customWidth="1"/>
    <col min="5" max="5" width="9.5" style="1" bestFit="1" customWidth="1"/>
    <col min="6" max="6" width="2.5" customWidth="1"/>
    <col min="7" max="7" width="7.875" style="1" customWidth="1"/>
    <col min="8" max="8" width="2.625" customWidth="1"/>
    <col min="9" max="9" width="10.625" bestFit="1" customWidth="1"/>
    <col min="10" max="10" width="9.125" customWidth="1"/>
  </cols>
  <sheetData>
    <row r="1" spans="1:11" ht="22.5">
      <c r="A1" s="417" t="s">
        <v>874</v>
      </c>
    </row>
    <row r="2" spans="1:11" ht="22.5">
      <c r="A2" s="417" t="str">
        <f>'Dados Básicos'!B9</f>
        <v>WWW, S.L.</v>
      </c>
    </row>
    <row r="3" spans="1:11" ht="16.5" thickBot="1">
      <c r="F3" s="5"/>
      <c r="G3" s="677"/>
      <c r="H3" s="5"/>
    </row>
    <row r="4" spans="1:11" ht="22.5">
      <c r="A4" s="1573" t="s">
        <v>1106</v>
      </c>
      <c r="B4" s="1650" t="s">
        <v>494</v>
      </c>
      <c r="C4" s="1655" t="s">
        <v>495</v>
      </c>
      <c r="D4" s="1651" t="s">
        <v>496</v>
      </c>
      <c r="E4" s="1652" t="s">
        <v>72</v>
      </c>
      <c r="F4" s="1653"/>
      <c r="G4" s="1654" t="str">
        <f>CONCATENATE('Dados Básicos'!A28," sop.")</f>
        <v>IVA sop.</v>
      </c>
      <c r="H4" s="1648"/>
      <c r="I4" s="1641" t="s">
        <v>499</v>
      </c>
      <c r="J4" s="1649" t="s">
        <v>73</v>
      </c>
    </row>
    <row r="5" spans="1:11">
      <c r="A5" s="1600" t="s">
        <v>461</v>
      </c>
      <c r="B5" s="1606"/>
      <c r="C5" s="1602"/>
      <c r="D5" s="1607"/>
      <c r="E5" s="1608"/>
      <c r="F5" s="5"/>
      <c r="G5" s="1609"/>
      <c r="H5" s="657"/>
      <c r="I5" s="1602"/>
      <c r="J5" s="1610"/>
    </row>
    <row r="6" spans="1:11" outlineLevel="1">
      <c r="A6" s="1577" t="s">
        <v>462</v>
      </c>
      <c r="B6" s="16">
        <v>0</v>
      </c>
      <c r="C6" s="656">
        <v>0</v>
      </c>
      <c r="D6" s="10"/>
      <c r="E6" s="12"/>
      <c r="F6" s="5"/>
      <c r="G6" s="1580">
        <f>IF(E7=0,B6-I6,0)*Parametros!$F$33</f>
        <v>0</v>
      </c>
      <c r="H6" s="658"/>
      <c r="I6" s="654">
        <v>0</v>
      </c>
      <c r="J6" s="2305">
        <f t="array" ref="J6:J10">IF(B6:B10*I6:I10&gt;0,I6:I10/B6:B10,0)</f>
        <v>0</v>
      </c>
      <c r="K6" s="30" t="str">
        <f>IF(I6&gt;B6,"ERROR EN APORTACION EN ESPECIE","")</f>
        <v/>
      </c>
    </row>
    <row r="7" spans="1:11" outlineLevel="1">
      <c r="A7" s="14" t="s">
        <v>1125</v>
      </c>
      <c r="B7" s="15">
        <v>0</v>
      </c>
      <c r="C7" s="655">
        <v>0</v>
      </c>
      <c r="D7" s="7">
        <v>30</v>
      </c>
      <c r="E7" s="676">
        <f>IF(C7&gt;D7,B7,B7*C7/D7)</f>
        <v>0</v>
      </c>
      <c r="F7" s="8"/>
      <c r="G7" s="1580">
        <f t="array" ref="G7:G8">IF(E7:E8=0,B7:B8-I7:I8,0)*Parametros!$F$33</f>
        <v>0</v>
      </c>
      <c r="H7" s="658"/>
      <c r="I7" s="654">
        <v>0</v>
      </c>
      <c r="J7" s="2305">
        <v>0</v>
      </c>
      <c r="K7" s="30" t="str">
        <f>IF(I7&gt;B7,"ERROR EN APORTACION EN ESPECIE","")</f>
        <v/>
      </c>
    </row>
    <row r="8" spans="1:11" outlineLevel="1">
      <c r="A8" s="14" t="s">
        <v>463</v>
      </c>
      <c r="B8" s="15">
        <v>0</v>
      </c>
      <c r="C8" s="655">
        <v>0</v>
      </c>
      <c r="D8" s="7">
        <v>20</v>
      </c>
      <c r="E8" s="676">
        <f>IF(C8&gt;D8,B8,B8*C8/D8)</f>
        <v>0</v>
      </c>
      <c r="F8" s="8"/>
      <c r="G8" s="1582">
        <v>0</v>
      </c>
      <c r="H8" s="658"/>
      <c r="I8" s="653">
        <v>0</v>
      </c>
      <c r="J8" s="2306">
        <v>0</v>
      </c>
      <c r="K8" s="30" t="str">
        <f>IF(I8&gt;B8,"ERROR EN APORTACION EN ESPECIE","")</f>
        <v/>
      </c>
    </row>
    <row r="9" spans="1:11" outlineLevel="1">
      <c r="A9" s="2304" t="s">
        <v>1126</v>
      </c>
      <c r="B9" s="2407">
        <f>+'Bal. Inicial Previo'!D14</f>
        <v>0</v>
      </c>
      <c r="C9" s="2316"/>
      <c r="D9" s="10"/>
      <c r="E9" s="12"/>
      <c r="F9" s="8"/>
      <c r="G9" s="2313">
        <v>0</v>
      </c>
      <c r="H9" s="658"/>
      <c r="I9" s="2316"/>
      <c r="J9" s="2306">
        <v>0</v>
      </c>
      <c r="K9" s="30"/>
    </row>
    <row r="10" spans="1:11" ht="16.5" thickBot="1">
      <c r="A10" s="1574" t="str">
        <f>"Total "&amp;A5</f>
        <v>Total Terrenos e Edificações</v>
      </c>
      <c r="B10" s="687">
        <f>SUM(B6:B9)</f>
        <v>0</v>
      </c>
      <c r="C10" s="690">
        <f t="array" ref="C10">IF($B10-B6=0,0,SUM($B7:$B9*C7:C9)/($B10-B6))</f>
        <v>0</v>
      </c>
      <c r="D10" s="689">
        <f t="array" ref="D10">IF(B7+B8=0,AVERAGE(D7:D9),SUM($B7:$B9*D7:D9)/(B7+B8+B9))</f>
        <v>25</v>
      </c>
      <c r="E10" s="688">
        <f>SUM(E7:E8)</f>
        <v>0</v>
      </c>
      <c r="F10" s="9"/>
      <c r="G10" s="1583">
        <f>SUM(G6:G9)</f>
        <v>0</v>
      </c>
      <c r="H10" s="660"/>
      <c r="I10" s="651">
        <f>SUM(I6:I8)</f>
        <v>0</v>
      </c>
      <c r="J10" s="2307">
        <v>0</v>
      </c>
    </row>
    <row r="11" spans="1:11" ht="16.5" thickBot="1">
      <c r="A11" s="1579"/>
      <c r="B11" s="13"/>
      <c r="C11" s="5"/>
      <c r="D11" s="6"/>
      <c r="E11" s="677"/>
      <c r="F11" s="5"/>
      <c r="G11" s="677"/>
      <c r="H11" s="5"/>
      <c r="I11" s="5"/>
      <c r="J11" s="5"/>
    </row>
    <row r="12" spans="1:11">
      <c r="A12" s="1576" t="s">
        <v>1104</v>
      </c>
      <c r="B12" s="2456" t="s">
        <v>494</v>
      </c>
      <c r="C12" s="1560" t="s">
        <v>497</v>
      </c>
      <c r="D12" s="2457" t="s">
        <v>498</v>
      </c>
      <c r="E12" s="2458" t="s">
        <v>142</v>
      </c>
      <c r="F12" s="5"/>
      <c r="G12" s="2459" t="str">
        <f>G$4</f>
        <v>IVA sop.</v>
      </c>
      <c r="H12" s="2460"/>
      <c r="I12" s="2461" t="s">
        <v>154</v>
      </c>
      <c r="J12" s="2228" t="s">
        <v>74</v>
      </c>
    </row>
    <row r="13" spans="1:11" outlineLevel="1">
      <c r="A13" s="14" t="s">
        <v>464</v>
      </c>
      <c r="B13" s="16">
        <v>0</v>
      </c>
      <c r="C13" s="1385">
        <v>0</v>
      </c>
      <c r="D13" s="1386">
        <v>10</v>
      </c>
      <c r="E13" s="1387">
        <f t="shared" ref="E13:E18" si="0">IF(C13&gt;D13,B13,B13*C13/D13)</f>
        <v>0</v>
      </c>
      <c r="F13" s="8"/>
      <c r="G13" s="1584">
        <f t="array" ref="G13:G18">IF(E13:E18=0,B13:B18-I13:I18,0)*Parametros!$F$33</f>
        <v>0</v>
      </c>
      <c r="H13" s="661"/>
      <c r="I13" s="1392">
        <v>0</v>
      </c>
      <c r="J13" s="649">
        <f t="array" ref="J13:J20">IF(B13:B20&gt;0,I13:I20/B13:B20,0)</f>
        <v>0</v>
      </c>
      <c r="K13" s="30" t="str">
        <f t="shared" ref="K13:K18" si="1">IF(I13&gt;B13,"ERROR EN APORTACION EN ESPECIE","")</f>
        <v/>
      </c>
    </row>
    <row r="14" spans="1:11" outlineLevel="1">
      <c r="A14" s="14" t="s">
        <v>465</v>
      </c>
      <c r="B14" s="15">
        <v>0</v>
      </c>
      <c r="C14" s="655">
        <v>0</v>
      </c>
      <c r="D14" s="7">
        <v>10</v>
      </c>
      <c r="E14" s="676">
        <f t="shared" si="0"/>
        <v>0</v>
      </c>
      <c r="F14" s="8"/>
      <c r="G14" s="1585">
        <v>0</v>
      </c>
      <c r="H14" s="661"/>
      <c r="I14" s="652">
        <v>0</v>
      </c>
      <c r="J14" s="648">
        <v>0</v>
      </c>
      <c r="K14" s="30" t="str">
        <f t="shared" si="1"/>
        <v/>
      </c>
    </row>
    <row r="15" spans="1:11" outlineLevel="1">
      <c r="A15" s="14" t="s">
        <v>466</v>
      </c>
      <c r="B15" s="15">
        <v>0</v>
      </c>
      <c r="C15" s="655">
        <v>0</v>
      </c>
      <c r="D15" s="7">
        <v>10</v>
      </c>
      <c r="E15" s="676">
        <f t="shared" si="0"/>
        <v>0</v>
      </c>
      <c r="F15" s="8"/>
      <c r="G15" s="1585">
        <v>0</v>
      </c>
      <c r="H15" s="661"/>
      <c r="I15" s="652">
        <v>0</v>
      </c>
      <c r="J15" s="648">
        <v>0</v>
      </c>
      <c r="K15" s="30" t="str">
        <f t="shared" si="1"/>
        <v/>
      </c>
    </row>
    <row r="16" spans="1:11" outlineLevel="1">
      <c r="A16" s="14" t="s">
        <v>467</v>
      </c>
      <c r="B16" s="15">
        <v>0</v>
      </c>
      <c r="C16" s="655">
        <v>0</v>
      </c>
      <c r="D16" s="7">
        <v>10</v>
      </c>
      <c r="E16" s="676">
        <f t="shared" si="0"/>
        <v>0</v>
      </c>
      <c r="F16" s="8"/>
      <c r="G16" s="1585">
        <v>0</v>
      </c>
      <c r="H16" s="661"/>
      <c r="I16" s="652">
        <v>0</v>
      </c>
      <c r="J16" s="648">
        <v>0</v>
      </c>
      <c r="K16" s="30" t="str">
        <f t="shared" si="1"/>
        <v/>
      </c>
    </row>
    <row r="17" spans="1:11" outlineLevel="1">
      <c r="A17" s="14" t="s">
        <v>468</v>
      </c>
      <c r="B17" s="15">
        <v>0</v>
      </c>
      <c r="C17" s="655">
        <v>0</v>
      </c>
      <c r="D17" s="7">
        <v>10</v>
      </c>
      <c r="E17" s="676">
        <f t="shared" si="0"/>
        <v>0</v>
      </c>
      <c r="F17" s="8"/>
      <c r="G17" s="1585">
        <v>0</v>
      </c>
      <c r="H17" s="661"/>
      <c r="I17" s="652">
        <v>0</v>
      </c>
      <c r="J17" s="648">
        <v>0</v>
      </c>
      <c r="K17" s="30" t="str">
        <f t="shared" si="1"/>
        <v/>
      </c>
    </row>
    <row r="18" spans="1:11" outlineLevel="1">
      <c r="A18" s="14" t="s">
        <v>469</v>
      </c>
      <c r="B18" s="15">
        <v>0</v>
      </c>
      <c r="C18" s="655">
        <v>0</v>
      </c>
      <c r="D18" s="7">
        <v>10</v>
      </c>
      <c r="E18" s="676">
        <f t="shared" si="0"/>
        <v>0</v>
      </c>
      <c r="F18" s="8"/>
      <c r="G18" s="1585">
        <v>0</v>
      </c>
      <c r="H18" s="661"/>
      <c r="I18" s="652">
        <v>0</v>
      </c>
      <c r="J18" s="648">
        <v>0</v>
      </c>
      <c r="K18" s="30" t="str">
        <f t="shared" si="1"/>
        <v/>
      </c>
    </row>
    <row r="19" spans="1:11" outlineLevel="1">
      <c r="A19" s="2304" t="s">
        <v>873</v>
      </c>
      <c r="B19" s="2407">
        <f>+'Bal. Inicial Previo'!D12</f>
        <v>0</v>
      </c>
      <c r="C19" s="2316"/>
      <c r="D19" s="2312">
        <f>'Bal. Inicial Previo'!$D$38</f>
        <v>15</v>
      </c>
      <c r="E19" s="2311">
        <f>-'Bal. Inicial Previo'!D13</f>
        <v>0</v>
      </c>
      <c r="F19" s="8"/>
      <c r="G19" s="2313">
        <v>0</v>
      </c>
      <c r="H19" s="661"/>
      <c r="I19" s="2316"/>
      <c r="J19" s="648">
        <v>0</v>
      </c>
      <c r="K19" s="30"/>
    </row>
    <row r="20" spans="1:11" ht="16.5" thickBot="1">
      <c r="A20" s="1578" t="str">
        <f>"Total "&amp;A12</f>
        <v>Total Instalações</v>
      </c>
      <c r="B20" s="687">
        <f>SUM(B12:B19)</f>
        <v>0</v>
      </c>
      <c r="C20" s="1422">
        <f t="array" ref="C20">IF($B20=0,0,SUM($B13:$B19*C13:C19)/$B20)</f>
        <v>0</v>
      </c>
      <c r="D20" s="2415">
        <f t="array" ref="D20">IF($B20=0,AVERAGE(D13:D19),SUM($B13:$B19*D13:D19)/$B20)</f>
        <v>10.714285714285714</v>
      </c>
      <c r="E20" s="688">
        <f>SUM(E12:E19)</f>
        <v>0</v>
      </c>
      <c r="F20" s="9"/>
      <c r="G20" s="1586">
        <f>SUM(G13:G19)</f>
        <v>0</v>
      </c>
      <c r="H20" s="662"/>
      <c r="I20" s="650">
        <f>SUM(I13:I19)</f>
        <v>0</v>
      </c>
      <c r="J20" s="11">
        <v>0</v>
      </c>
    </row>
    <row r="21" spans="1:11" ht="16.5" thickBot="1">
      <c r="A21" s="1579"/>
      <c r="B21" s="13"/>
      <c r="C21" s="5"/>
      <c r="D21" s="6"/>
      <c r="E21" s="677"/>
      <c r="F21" s="5"/>
      <c r="G21" s="677"/>
      <c r="H21" s="5"/>
      <c r="I21" s="5"/>
      <c r="J21" s="5"/>
    </row>
    <row r="22" spans="1:11">
      <c r="A22" s="1576" t="s">
        <v>1</v>
      </c>
      <c r="B22" s="1388" t="str">
        <f t="array" ref="B22:E22">$B$12:$E$12</f>
        <v>Montante</v>
      </c>
      <c r="C22" s="1389" t="str">
        <v>antiguidade</v>
      </c>
      <c r="D22" s="1390" t="str">
        <v>prazo</v>
      </c>
      <c r="E22" s="1391" t="str">
        <v>amort. previa</v>
      </c>
      <c r="F22" s="5"/>
      <c r="G22" s="1581" t="str">
        <f>G$4</f>
        <v>IVA sop.</v>
      </c>
      <c r="H22" s="659"/>
      <c r="I22" s="1640" t="str">
        <f t="array" ref="I22:J22">I$12:J$12</f>
        <v>Aport. Capital</v>
      </c>
      <c r="J22" s="1394" t="str">
        <v>% especie</v>
      </c>
    </row>
    <row r="23" spans="1:11" outlineLevel="1">
      <c r="A23" s="14" t="s">
        <v>175</v>
      </c>
      <c r="B23" s="16">
        <v>0</v>
      </c>
      <c r="C23" s="1385">
        <v>0</v>
      </c>
      <c r="D23" s="1386">
        <v>10</v>
      </c>
      <c r="E23" s="1387">
        <f>IF(C23&gt;D23,B23,B23*C23/D23)</f>
        <v>0</v>
      </c>
      <c r="F23" s="8"/>
      <c r="G23" s="1587">
        <f t="array" ref="G23:G25">IF(E23:E25=0,B23:B25-I23:I25,0)*Parametros!$F$33</f>
        <v>0</v>
      </c>
      <c r="H23" s="663"/>
      <c r="I23" s="1392">
        <v>0</v>
      </c>
      <c r="J23" s="649">
        <f t="array" ref="J23:J26">IF(B23:B26*I23:I26&gt;0,I23:I26/B23:B26,0)</f>
        <v>0</v>
      </c>
      <c r="K23" s="30" t="str">
        <f>IF(I23&gt;B23,"ERROR EN APORTACION EN ESPECIE","")</f>
        <v/>
      </c>
    </row>
    <row r="24" spans="1:11" outlineLevel="1">
      <c r="A24" s="14" t="s">
        <v>175</v>
      </c>
      <c r="B24" s="15">
        <v>0</v>
      </c>
      <c r="C24" s="655">
        <v>0</v>
      </c>
      <c r="D24" s="7">
        <v>10</v>
      </c>
      <c r="E24" s="676">
        <f>IF(C24&gt;D24,B24,B24*C24/D24)</f>
        <v>0</v>
      </c>
      <c r="F24" s="8"/>
      <c r="G24" s="1588">
        <v>0</v>
      </c>
      <c r="H24" s="663"/>
      <c r="I24" s="652">
        <v>0</v>
      </c>
      <c r="J24" s="648">
        <v>0</v>
      </c>
      <c r="K24" s="30" t="str">
        <f>IF(I24&gt;B24,"ERROR EN APORTACION EN ESPECIE","")</f>
        <v/>
      </c>
    </row>
    <row r="25" spans="1:11" outlineLevel="1">
      <c r="A25" s="14" t="s">
        <v>141</v>
      </c>
      <c r="B25" s="15">
        <v>0</v>
      </c>
      <c r="C25" s="655">
        <v>0</v>
      </c>
      <c r="D25" s="7">
        <v>10</v>
      </c>
      <c r="E25" s="676">
        <f>IF(C25&gt;D25,B25,B25*C25/D25)</f>
        <v>0</v>
      </c>
      <c r="F25" s="8"/>
      <c r="G25" s="1588">
        <v>0</v>
      </c>
      <c r="H25" s="663"/>
      <c r="I25" s="652">
        <v>0</v>
      </c>
      <c r="J25" s="648">
        <v>0</v>
      </c>
      <c r="K25" s="30" t="str">
        <f>IF(I25&gt;B25,"ERROR EN APORTACION EN ESPECIE","")</f>
        <v/>
      </c>
    </row>
    <row r="26" spans="1:11" ht="16.5" thickBot="1">
      <c r="A26" s="1574" t="str">
        <f>"Total "&amp;A22</f>
        <v>Total Maquinaria</v>
      </c>
      <c r="B26" s="687">
        <f>SUM(B22:B25)</f>
        <v>0</v>
      </c>
      <c r="C26" s="1422">
        <f t="array" ref="C26">IF($B26=0,0,SUM($B23:$B25*C23:C25)/$B26)</f>
        <v>0</v>
      </c>
      <c r="D26" s="689">
        <f t="array" ref="D26">IF($B26=0,AVERAGE(D23:D25),SUM($B23:$B25*D23:D25)/$B26)</f>
        <v>10</v>
      </c>
      <c r="E26" s="688">
        <f>SUM(E22:E25)</f>
        <v>0</v>
      </c>
      <c r="F26" s="9"/>
      <c r="G26" s="1586">
        <f>SUM(G22:G25)</f>
        <v>0</v>
      </c>
      <c r="H26" s="662"/>
      <c r="I26" s="650">
        <f>SUM(I22:I25)</f>
        <v>0</v>
      </c>
      <c r="J26" s="11">
        <v>0</v>
      </c>
    </row>
    <row r="27" spans="1:11" ht="16.5" thickBot="1">
      <c r="A27" s="1579"/>
      <c r="B27" s="13"/>
      <c r="C27" s="5"/>
      <c r="D27" s="6"/>
      <c r="E27" s="677"/>
      <c r="F27" s="5"/>
      <c r="G27" s="677"/>
      <c r="H27" s="5"/>
      <c r="I27" s="5"/>
      <c r="J27" s="5"/>
    </row>
    <row r="28" spans="1:11">
      <c r="A28" s="1576" t="s">
        <v>470</v>
      </c>
      <c r="B28" s="1388" t="str">
        <f t="array" ref="B28:E28">$B$12:$E$12</f>
        <v>Montante</v>
      </c>
      <c r="C28" s="1389" t="str">
        <v>antiguidade</v>
      </c>
      <c r="D28" s="1390" t="str">
        <v>prazo</v>
      </c>
      <c r="E28" s="1391" t="str">
        <v>amort. previa</v>
      </c>
      <c r="F28" s="5"/>
      <c r="G28" s="1581" t="str">
        <f>G$4</f>
        <v>IVA sop.</v>
      </c>
      <c r="H28" s="659"/>
      <c r="I28" s="1640" t="str">
        <f t="array" ref="I28:J28">I$12:J$12</f>
        <v>Aport. Capital</v>
      </c>
      <c r="J28" s="1394" t="str">
        <v>% especie</v>
      </c>
    </row>
    <row r="29" spans="1:11" outlineLevel="1">
      <c r="A29" s="14" t="s">
        <v>471</v>
      </c>
      <c r="B29" s="16">
        <v>0</v>
      </c>
      <c r="C29" s="1385">
        <v>0</v>
      </c>
      <c r="D29" s="1386">
        <v>5</v>
      </c>
      <c r="E29" s="1387">
        <f>IF(C29&gt;D29,B29,B29*C29/D29)</f>
        <v>0</v>
      </c>
      <c r="F29" s="8"/>
      <c r="G29" s="1588">
        <f t="array" ref="G29:G30">IF(E29:E30=0,B29:B30-I29:I30,0)*Parametros!$F$33</f>
        <v>0</v>
      </c>
      <c r="H29" s="663"/>
      <c r="I29" s="652">
        <v>0</v>
      </c>
      <c r="J29" s="648">
        <f t="array" ref="J29:J31">IF(B29:B31*I29:I31&gt;0,I29:I31/B29:B31,0)</f>
        <v>0</v>
      </c>
      <c r="K29" s="30" t="str">
        <f>IF(I29&gt;B29,"ERROR EN APORTACION EN ESPECIE","")</f>
        <v/>
      </c>
    </row>
    <row r="30" spans="1:11" outlineLevel="1">
      <c r="A30" s="14" t="s">
        <v>472</v>
      </c>
      <c r="B30" s="15">
        <v>0</v>
      </c>
      <c r="C30" s="655">
        <v>0</v>
      </c>
      <c r="D30" s="7">
        <v>5</v>
      </c>
      <c r="E30" s="676">
        <f>IF(C30&gt;D30,B30,B30*C30/D30)</f>
        <v>0</v>
      </c>
      <c r="F30" s="8"/>
      <c r="G30" s="1588">
        <v>0</v>
      </c>
      <c r="H30" s="663"/>
      <c r="I30" s="652">
        <v>0</v>
      </c>
      <c r="J30" s="648">
        <v>0</v>
      </c>
      <c r="K30" s="30" t="str">
        <f>IF(I30&gt;B30,"ERROR EN APORTACION EN ESPECIE","")</f>
        <v/>
      </c>
    </row>
    <row r="31" spans="1:11" ht="16.5" thickBot="1">
      <c r="A31" s="1578" t="str">
        <f>"Total "&amp;A28</f>
        <v>Total Utensilios, Ferramentas, ...</v>
      </c>
      <c r="B31" s="687">
        <f>SUM(B28:B30)</f>
        <v>0</v>
      </c>
      <c r="C31" s="1422">
        <f t="array" ref="C31">IF($B31=0,0,SUM($B29:$B30*C29:C30)/$B31)</f>
        <v>0</v>
      </c>
      <c r="D31" s="689">
        <f t="array" ref="D31">IF($B31=0,AVERAGE(D29:D30),SUM($B29:$B30*D29:D30)/$B31)</f>
        <v>5</v>
      </c>
      <c r="E31" s="688">
        <f>SUM(E28:E30)</f>
        <v>0</v>
      </c>
      <c r="F31" s="9"/>
      <c r="G31" s="1586">
        <f>SUM(G28:G30)</f>
        <v>0</v>
      </c>
      <c r="H31" s="662"/>
      <c r="I31" s="650">
        <f>SUM(I28:I30)</f>
        <v>0</v>
      </c>
      <c r="J31" s="11">
        <v>0</v>
      </c>
    </row>
    <row r="32" spans="1:11" ht="16.5" thickBot="1">
      <c r="A32" s="1579"/>
      <c r="B32" s="13"/>
      <c r="C32" s="5"/>
      <c r="D32" s="6"/>
      <c r="E32" s="677"/>
      <c r="F32" s="5"/>
      <c r="G32" s="677"/>
      <c r="H32" s="5"/>
      <c r="I32" s="5"/>
      <c r="J32" s="5"/>
    </row>
    <row r="33" spans="1:11">
      <c r="A33" s="1576" t="s">
        <v>1105</v>
      </c>
      <c r="B33" s="1388" t="str">
        <f t="array" ref="B33:E33">$B$12:$E$12</f>
        <v>Montante</v>
      </c>
      <c r="C33" s="1389" t="str">
        <v>antiguidade</v>
      </c>
      <c r="D33" s="1390" t="str">
        <v>prazo</v>
      </c>
      <c r="E33" s="1391" t="str">
        <v>amort. previa</v>
      </c>
      <c r="F33" s="5"/>
      <c r="G33" s="1581" t="str">
        <f>G$4</f>
        <v>IVA sop.</v>
      </c>
      <c r="H33" s="659"/>
      <c r="I33" s="1640" t="str">
        <f t="array" ref="I33:J33">I$12:J$12</f>
        <v>Aport. Capital</v>
      </c>
      <c r="J33" s="1394" t="str">
        <v>% especie</v>
      </c>
    </row>
    <row r="34" spans="1:11" outlineLevel="1">
      <c r="A34" s="14" t="s">
        <v>473</v>
      </c>
      <c r="B34" s="16">
        <v>0</v>
      </c>
      <c r="C34" s="1385">
        <v>0</v>
      </c>
      <c r="D34" s="1386">
        <v>5</v>
      </c>
      <c r="E34" s="1387">
        <f>IF(C34&gt;D34,B34,B34*C34/D34)</f>
        <v>0</v>
      </c>
      <c r="F34" s="8"/>
      <c r="G34" s="1587">
        <f t="array" ref="G34:G36">IF(E34:E36=0,B34:B36-I34:I36,0)*Parametros!$F$33</f>
        <v>0</v>
      </c>
      <c r="H34" s="663"/>
      <c r="I34" s="652">
        <v>0</v>
      </c>
      <c r="J34" s="648">
        <f t="array" ref="J34:J37">IF(B34:B37*I34:I37&gt;0,I37:I37/B34:B37,0)</f>
        <v>0</v>
      </c>
      <c r="K34" s="30" t="str">
        <f>IF(I34&gt;B34,"ERROR EN APORTACION EN ESPECIE","")</f>
        <v/>
      </c>
    </row>
    <row r="35" spans="1:11" outlineLevel="1">
      <c r="A35" s="14" t="s">
        <v>474</v>
      </c>
      <c r="B35" s="15">
        <v>0</v>
      </c>
      <c r="C35" s="655">
        <v>0</v>
      </c>
      <c r="D35" s="7">
        <v>5</v>
      </c>
      <c r="E35" s="676">
        <f>IF(C35&gt;D35,B35,B35*C35/D35)</f>
        <v>0</v>
      </c>
      <c r="F35" s="8"/>
      <c r="G35" s="1588">
        <v>0</v>
      </c>
      <c r="H35" s="663"/>
      <c r="I35" s="652">
        <v>0</v>
      </c>
      <c r="J35" s="648">
        <v>0</v>
      </c>
      <c r="K35" s="30" t="str">
        <f>IF(I35&gt;B35,"ERROR EN APORTACION EN ESPECIE","")</f>
        <v/>
      </c>
    </row>
    <row r="36" spans="1:11" outlineLevel="1">
      <c r="A36" s="14" t="s">
        <v>475</v>
      </c>
      <c r="B36" s="15">
        <v>0</v>
      </c>
      <c r="C36" s="655">
        <v>0</v>
      </c>
      <c r="D36" s="7">
        <v>5</v>
      </c>
      <c r="E36" s="676">
        <f>IF(C36&gt;D36,B36,B36*C36/D36)</f>
        <v>0</v>
      </c>
      <c r="F36" s="8"/>
      <c r="G36" s="1588">
        <v>0</v>
      </c>
      <c r="H36" s="663"/>
      <c r="I36" s="652">
        <v>0</v>
      </c>
      <c r="J36" s="648">
        <v>0</v>
      </c>
      <c r="K36" s="30" t="str">
        <f>IF(I36&gt;B36,"ERROR EN APORTACION EN ESPECIE","")</f>
        <v/>
      </c>
    </row>
    <row r="37" spans="1:11" ht="16.5" thickBot="1">
      <c r="A37" s="1574" t="str">
        <f>"Total "&amp;A33</f>
        <v>Total Mobilia</v>
      </c>
      <c r="B37" s="687">
        <f>SUM(B33:B36)</f>
        <v>0</v>
      </c>
      <c r="C37" s="1422">
        <f t="array" ref="C37">IF($B37=0,0,SUM($B34:$B36*C34:C36)/$B37)</f>
        <v>0</v>
      </c>
      <c r="D37" s="689">
        <f t="array" ref="D37">IF($B37=0,AVERAGE(D34:D36),SUM($B34:$B36*D34:D36)/$B37)</f>
        <v>5</v>
      </c>
      <c r="E37" s="688">
        <f>SUM(E33:E36)</f>
        <v>0</v>
      </c>
      <c r="F37" s="9"/>
      <c r="G37" s="1586">
        <f>SUM(G33:G36)</f>
        <v>0</v>
      </c>
      <c r="H37" s="662"/>
      <c r="I37" s="650">
        <f>SUM(I33:I36)</f>
        <v>0</v>
      </c>
      <c r="J37" s="11">
        <v>0</v>
      </c>
    </row>
    <row r="38" spans="1:11" ht="16.5" thickBot="1">
      <c r="A38" s="1579"/>
      <c r="B38" s="13"/>
      <c r="C38" s="5"/>
      <c r="D38" s="6"/>
      <c r="E38" s="677"/>
      <c r="F38" s="5"/>
      <c r="G38" s="677"/>
      <c r="H38" s="5"/>
      <c r="I38" s="5"/>
      <c r="J38" s="5"/>
    </row>
    <row r="39" spans="1:11">
      <c r="A39" s="1576" t="s">
        <v>875</v>
      </c>
      <c r="B39" s="1388" t="str">
        <f t="array" ref="B39:E39">$B$12:$E$12</f>
        <v>Montante</v>
      </c>
      <c r="C39" s="1389" t="str">
        <v>antiguidade</v>
      </c>
      <c r="D39" s="1390" t="str">
        <v>prazo</v>
      </c>
      <c r="E39" s="1391" t="str">
        <v>amort. previa</v>
      </c>
      <c r="F39" s="5"/>
      <c r="G39" s="1581" t="str">
        <f>G$4</f>
        <v>IVA sop.</v>
      </c>
      <c r="H39" s="659"/>
      <c r="I39" s="1640" t="str">
        <f t="array" ref="I39:J39">I$12:J$12</f>
        <v>Aport. Capital</v>
      </c>
      <c r="J39" s="1394" t="str">
        <v>% especie</v>
      </c>
    </row>
    <row r="40" spans="1:11" outlineLevel="1">
      <c r="A40" s="14" t="s">
        <v>476</v>
      </c>
      <c r="B40" s="16">
        <v>0</v>
      </c>
      <c r="C40" s="1385">
        <v>0</v>
      </c>
      <c r="D40" s="1386">
        <v>5</v>
      </c>
      <c r="E40" s="1387">
        <f>IF(C40&gt;D40,B40,B40*C40/D40)</f>
        <v>0</v>
      </c>
      <c r="F40" s="8"/>
      <c r="G40" s="1587">
        <f t="array" ref="G40:G42">IF(E40:E42=0,B40:B42-I40:I42,0)*Parametros!$F$33</f>
        <v>0</v>
      </c>
      <c r="H40" s="663"/>
      <c r="I40" s="652">
        <v>0</v>
      </c>
      <c r="J40" s="648">
        <f t="array" ref="J40:J43">IF(B40:B43*I40:I43&gt;0,I43:I43/B40:B43,0)</f>
        <v>0</v>
      </c>
      <c r="K40" s="30" t="str">
        <f>IF(I40&gt;B40,"ERROR EN APORTACION EN ESPECIE","")</f>
        <v/>
      </c>
    </row>
    <row r="41" spans="1:11" outlineLevel="1">
      <c r="A41" s="14" t="s">
        <v>477</v>
      </c>
      <c r="B41" s="15">
        <v>0</v>
      </c>
      <c r="C41" s="655">
        <v>0</v>
      </c>
      <c r="D41" s="7">
        <v>5</v>
      </c>
      <c r="E41" s="676">
        <f>IF(C41&gt;D41,B41,B41*C41/D41)</f>
        <v>0</v>
      </c>
      <c r="F41" s="8"/>
      <c r="G41" s="1588">
        <v>0</v>
      </c>
      <c r="H41" s="663"/>
      <c r="I41" s="652">
        <v>0</v>
      </c>
      <c r="J41" s="648">
        <v>0</v>
      </c>
      <c r="K41" s="30" t="str">
        <f>IF(I41&gt;B41,"ERROR EN APORTACION EN ESPECIE","")</f>
        <v/>
      </c>
    </row>
    <row r="42" spans="1:11" outlineLevel="1">
      <c r="A42" s="14" t="s">
        <v>478</v>
      </c>
      <c r="B42" s="15">
        <v>0</v>
      </c>
      <c r="C42" s="655">
        <v>0</v>
      </c>
      <c r="D42" s="7">
        <v>5</v>
      </c>
      <c r="E42" s="676">
        <f>IF(C42&gt;D42,B42,B42*C42/D42)</f>
        <v>0</v>
      </c>
      <c r="F42" s="8"/>
      <c r="G42" s="1588">
        <v>0</v>
      </c>
      <c r="H42" s="663"/>
      <c r="I42" s="652">
        <v>0</v>
      </c>
      <c r="J42" s="648">
        <v>0</v>
      </c>
      <c r="K42" s="30" t="str">
        <f>IF(I42&gt;B42,"ERROR EN APORTACION EN ESPECIE","")</f>
        <v/>
      </c>
    </row>
    <row r="43" spans="1:11" ht="16.5" thickBot="1">
      <c r="A43" s="1574" t="str">
        <f>"Total "&amp;A39</f>
        <v>Total Elementos de transporte</v>
      </c>
      <c r="B43" s="687">
        <f>SUM(B39:B42)</f>
        <v>0</v>
      </c>
      <c r="C43" s="1422">
        <f t="array" ref="C43">IF($B43=0,0,SUM($B40:$B42*C40:C42)/$B43)</f>
        <v>0</v>
      </c>
      <c r="D43" s="689">
        <f t="array" ref="D43">IF($B43=0,AVERAGE(D40:D42),SUM($B40:$B42*D40:D42)/$B43)</f>
        <v>5</v>
      </c>
      <c r="E43" s="688">
        <f>SUM(E39:E42)</f>
        <v>0</v>
      </c>
      <c r="F43" s="9"/>
      <c r="G43" s="1586">
        <f>SUM(G39:G42)</f>
        <v>0</v>
      </c>
      <c r="H43" s="662"/>
      <c r="I43" s="650">
        <f>SUM(I39:I42)</f>
        <v>0</v>
      </c>
      <c r="J43" s="11">
        <v>0</v>
      </c>
    </row>
    <row r="44" spans="1:11" ht="16.5" thickBot="1">
      <c r="A44" s="1579"/>
      <c r="B44" s="13"/>
      <c r="C44" s="5"/>
      <c r="D44" s="5"/>
      <c r="E44" s="677"/>
      <c r="F44" s="5"/>
      <c r="G44" s="677"/>
      <c r="H44" s="5"/>
      <c r="I44" s="5"/>
      <c r="J44" s="5"/>
    </row>
    <row r="45" spans="1:11">
      <c r="A45" s="1576" t="s">
        <v>876</v>
      </c>
      <c r="B45" s="1388" t="str">
        <f t="array" ref="B45:E45">$B$12:$E$12</f>
        <v>Montante</v>
      </c>
      <c r="C45" s="1389" t="str">
        <v>antiguidade</v>
      </c>
      <c r="D45" s="1390" t="str">
        <v>prazo</v>
      </c>
      <c r="E45" s="1391" t="str">
        <v>amort. previa</v>
      </c>
      <c r="F45" s="5"/>
      <c r="G45" s="1581" t="str">
        <f>G$4</f>
        <v>IVA sop.</v>
      </c>
      <c r="H45" s="659"/>
      <c r="I45" s="1640" t="str">
        <f t="array" ref="I45:J45">I$12:J$12</f>
        <v>Aport. Capital</v>
      </c>
      <c r="J45" s="1394" t="str">
        <v>% especie</v>
      </c>
    </row>
    <row r="46" spans="1:11" outlineLevel="1">
      <c r="A46" s="14" t="s">
        <v>479</v>
      </c>
      <c r="B46" s="16">
        <v>0</v>
      </c>
      <c r="C46" s="1385">
        <v>0</v>
      </c>
      <c r="D46" s="1386">
        <v>5</v>
      </c>
      <c r="E46" s="1387">
        <f>IF(C46&gt;D46,B46,B46*C46/D46)</f>
        <v>0</v>
      </c>
      <c r="F46" s="8"/>
      <c r="G46" s="1588">
        <f t="array" ref="G46:G49">IF(E46:E49=0,B46:B49-I46:I49,0)*Parametros!$F$33</f>
        <v>0</v>
      </c>
      <c r="H46" s="663"/>
      <c r="I46" s="652">
        <v>0</v>
      </c>
      <c r="J46" s="648">
        <f t="array" ref="J46:J50">IF(B46:B50*I46:I50&gt;0,I46:I50/B46:B50,0)</f>
        <v>0</v>
      </c>
      <c r="K46" s="30" t="str">
        <f>IF(I46&gt;B46,"ERROR EN APORTACION EN ESPECIE","")</f>
        <v/>
      </c>
    </row>
    <row r="47" spans="1:11" outlineLevel="1">
      <c r="A47" s="14" t="s">
        <v>480</v>
      </c>
      <c r="B47" s="15">
        <v>0</v>
      </c>
      <c r="C47" s="655">
        <v>0</v>
      </c>
      <c r="D47" s="7">
        <v>5</v>
      </c>
      <c r="E47" s="676">
        <f>IF(C47&gt;D47,B47,B47*C47/D47)</f>
        <v>0</v>
      </c>
      <c r="F47" s="8"/>
      <c r="G47" s="1588">
        <v>0</v>
      </c>
      <c r="H47" s="663"/>
      <c r="I47" s="652">
        <v>0</v>
      </c>
      <c r="J47" s="648">
        <v>0</v>
      </c>
      <c r="K47" s="30" t="str">
        <f>IF(I47&gt;B47,"ERROR EN APORTACION EN ESPECIE","")</f>
        <v/>
      </c>
    </row>
    <row r="48" spans="1:11" outlineLevel="1">
      <c r="A48" s="14" t="s">
        <v>481</v>
      </c>
      <c r="B48" s="15">
        <v>0</v>
      </c>
      <c r="C48" s="655">
        <v>0</v>
      </c>
      <c r="D48" s="7">
        <v>5</v>
      </c>
      <c r="E48" s="676">
        <f>IF(C48&gt;D48,B48,B48*C48/D48)</f>
        <v>0</v>
      </c>
      <c r="F48" s="8"/>
      <c r="G48" s="1588">
        <v>0</v>
      </c>
      <c r="H48" s="663"/>
      <c r="I48" s="652">
        <v>0</v>
      </c>
      <c r="J48" s="648">
        <v>0</v>
      </c>
      <c r="K48" s="30" t="str">
        <f>IF(I48&gt;B48,"ERROR EN APORTACION EN ESPECIE","")</f>
        <v/>
      </c>
    </row>
    <row r="49" spans="1:11" outlineLevel="1">
      <c r="A49" s="14" t="s">
        <v>482</v>
      </c>
      <c r="B49" s="15">
        <v>0</v>
      </c>
      <c r="C49" s="655">
        <v>0</v>
      </c>
      <c r="D49" s="7">
        <v>5</v>
      </c>
      <c r="E49" s="676">
        <f>IF(C49&gt;D49,B49,B49*C49/D49)</f>
        <v>0</v>
      </c>
      <c r="F49" s="8"/>
      <c r="G49" s="1588">
        <v>0</v>
      </c>
      <c r="H49" s="663"/>
      <c r="I49" s="652">
        <v>0</v>
      </c>
      <c r="J49" s="648">
        <v>0</v>
      </c>
      <c r="K49" s="30" t="str">
        <f>IF(I49&gt;B49,"ERROR EN APORTACION EN ESPECIE","")</f>
        <v/>
      </c>
    </row>
    <row r="50" spans="1:11" ht="16.5" thickBot="1">
      <c r="A50" s="1574" t="str">
        <f>"Total "&amp;A45</f>
        <v>Total Equipa processo de informação</v>
      </c>
      <c r="B50" s="687">
        <f>SUM(B45:B49)</f>
        <v>0</v>
      </c>
      <c r="C50" s="1422">
        <f t="array" ref="C50">IF($B50=0,0,SUM($B46:$B49*C46:C49)/$B50)</f>
        <v>0</v>
      </c>
      <c r="D50" s="689">
        <f t="array" ref="D50">IF($B50=0,AVERAGE(D46:D49),SUM($B46:$B49*D46:D49)/$B50)</f>
        <v>5</v>
      </c>
      <c r="E50" s="688">
        <f>SUM(E45:E49)</f>
        <v>0</v>
      </c>
      <c r="F50" s="9"/>
      <c r="G50" s="1586">
        <f>SUM(G45:G49)</f>
        <v>0</v>
      </c>
      <c r="H50" s="662"/>
      <c r="I50" s="650">
        <f>SUM(I45:I49)</f>
        <v>0</v>
      </c>
      <c r="J50" s="11">
        <v>0</v>
      </c>
    </row>
    <row r="51" spans="1:11" ht="16.5" thickBot="1">
      <c r="A51" s="1579"/>
      <c r="B51" s="13"/>
      <c r="C51" s="5"/>
      <c r="D51" s="5"/>
      <c r="E51" s="677"/>
      <c r="F51" s="5"/>
      <c r="G51" s="677"/>
      <c r="H51" s="5"/>
      <c r="I51" s="5"/>
      <c r="J51" s="5"/>
    </row>
    <row r="52" spans="1:11">
      <c r="A52" s="1576" t="s">
        <v>1107</v>
      </c>
      <c r="B52" s="1388" t="str">
        <f t="array" ref="B52:E52">$B$12:$E$12</f>
        <v>Montante</v>
      </c>
      <c r="C52" s="1389" t="str">
        <v>antiguidade</v>
      </c>
      <c r="D52" s="1390" t="str">
        <v>prazo</v>
      </c>
      <c r="E52" s="1391" t="str">
        <v>amort. previa</v>
      </c>
      <c r="F52" s="5"/>
      <c r="G52" s="1581" t="str">
        <f>G$4</f>
        <v>IVA sop.</v>
      </c>
      <c r="H52" s="659"/>
      <c r="I52" s="1640" t="str">
        <f t="array" ref="I52:J52">I$12:J$12</f>
        <v>Aport. Capital</v>
      </c>
      <c r="J52" s="1394" t="str">
        <v>% especie</v>
      </c>
    </row>
    <row r="53" spans="1:11" outlineLevel="1">
      <c r="A53" s="14" t="s">
        <v>872</v>
      </c>
      <c r="B53" s="16">
        <v>0</v>
      </c>
      <c r="C53" s="1385">
        <v>0</v>
      </c>
      <c r="D53" s="1386">
        <v>5</v>
      </c>
      <c r="E53" s="1387">
        <f>IF(C53&gt;D53,B53,B53*C53/D53)</f>
        <v>0</v>
      </c>
      <c r="F53" s="5"/>
      <c r="G53" s="1588">
        <f t="array" ref="G53:G54">IF(E53:E54=0,B53:B54-I53:I54,0)*Parametros!$F$33</f>
        <v>0</v>
      </c>
      <c r="H53" s="663"/>
      <c r="I53" s="652">
        <v>0</v>
      </c>
      <c r="J53" s="648">
        <f t="array" ref="J53:J55">IF(B53:B55*I53:I55&gt;0,I53:I55/B53:B55,0)</f>
        <v>0</v>
      </c>
      <c r="K53" s="30" t="str">
        <f>IF(I53&gt;B53,"ERROR EN APORTACION EN ESPECIE","")</f>
        <v/>
      </c>
    </row>
    <row r="54" spans="1:11" outlineLevel="1">
      <c r="A54" s="14" t="s">
        <v>483</v>
      </c>
      <c r="B54" s="15">
        <v>0</v>
      </c>
      <c r="C54" s="655">
        <v>0</v>
      </c>
      <c r="D54" s="7">
        <v>5</v>
      </c>
      <c r="E54" s="676">
        <f>IF(C54&gt;D54,B54,B54*C54/D54)</f>
        <v>0</v>
      </c>
      <c r="F54" s="8"/>
      <c r="G54" s="1588">
        <v>0</v>
      </c>
      <c r="H54" s="663"/>
      <c r="I54" s="652">
        <v>0</v>
      </c>
      <c r="J54" s="648">
        <v>0</v>
      </c>
      <c r="K54" s="30" t="str">
        <f>IF(I54&gt;B54,"ERROR EN APORTACION EN ESPECIE","")</f>
        <v/>
      </c>
    </row>
    <row r="55" spans="1:11" ht="16.5" thickBot="1">
      <c r="A55" s="1574" t="str">
        <f>"Total "&amp;A52</f>
        <v>Total Outro Ativo Fixo</v>
      </c>
      <c r="B55" s="687">
        <f>SUM(B52:B54)</f>
        <v>0</v>
      </c>
      <c r="C55" s="1422">
        <f t="array" ref="C55">IF($B55=0,0,SUM($B53:$B54*C53:C54)/$B55)</f>
        <v>0</v>
      </c>
      <c r="D55" s="689">
        <f t="array" ref="D55">IF($B55=0,AVERAGE(D53:D54),SUM($B53:$B54*D53:D54)/$B55)</f>
        <v>5</v>
      </c>
      <c r="E55" s="688">
        <f>SUM(E52:E54)</f>
        <v>0</v>
      </c>
      <c r="F55" s="9"/>
      <c r="G55" s="1586">
        <f>SUM(G52:G54)</f>
        <v>0</v>
      </c>
      <c r="H55" s="662"/>
      <c r="I55" s="650">
        <f>SUM(I52:I54)</f>
        <v>0</v>
      </c>
      <c r="J55" s="11">
        <v>0</v>
      </c>
    </row>
    <row r="56" spans="1:11" ht="16.5" thickBot="1">
      <c r="F56" s="5"/>
      <c r="G56" s="677"/>
      <c r="H56" s="5"/>
    </row>
    <row r="57" spans="1:11">
      <c r="A57" s="1576" t="s">
        <v>484</v>
      </c>
      <c r="B57" s="1388" t="str">
        <f t="array" ref="B57:E57">$B$12:$E$12</f>
        <v>Montante</v>
      </c>
      <c r="C57" s="1389" t="str">
        <v>antiguidade</v>
      </c>
      <c r="D57" s="1390" t="str">
        <v>prazo</v>
      </c>
      <c r="E57" s="1391" t="str">
        <v>amort. previa</v>
      </c>
      <c r="F57" s="5"/>
      <c r="G57" s="1581" t="str">
        <f>G$4</f>
        <v>IVA sop.</v>
      </c>
      <c r="H57" s="659"/>
      <c r="I57" s="1640" t="str">
        <f t="array" ref="I57:J57">I$12:J$12</f>
        <v>Aport. Capital</v>
      </c>
      <c r="J57" s="1394" t="str">
        <v>% especie</v>
      </c>
    </row>
    <row r="58" spans="1:11" outlineLevel="1">
      <c r="A58" s="14" t="s">
        <v>485</v>
      </c>
      <c r="B58" s="16">
        <v>0</v>
      </c>
      <c r="C58" s="1385">
        <v>0</v>
      </c>
      <c r="D58" s="1386">
        <v>3</v>
      </c>
      <c r="E58" s="1387">
        <f>IF(C58&gt;D58,B58,B58*C58/D58)</f>
        <v>0</v>
      </c>
      <c r="F58" s="8"/>
      <c r="G58" s="1588">
        <f t="array" ref="G58:G61">IF(E58:E61=0,B58:B61-I58:I61,0)*Parametros!$F$33</f>
        <v>0</v>
      </c>
      <c r="H58" s="663"/>
      <c r="I58" s="652">
        <v>0</v>
      </c>
      <c r="J58" s="648">
        <f t="array" ref="J58:J63">IF(B58:B63*I58:I63&gt;0,I58:I63/B58:B63,0)</f>
        <v>0</v>
      </c>
      <c r="K58" s="30" t="str">
        <f>IF(I58&gt;B58,"ERROR EN APORTACION EN ESPECIE","")</f>
        <v/>
      </c>
    </row>
    <row r="59" spans="1:11" outlineLevel="1">
      <c r="A59" s="14" t="s">
        <v>486</v>
      </c>
      <c r="B59" s="15">
        <v>0</v>
      </c>
      <c r="C59" s="655">
        <v>0</v>
      </c>
      <c r="D59" s="7">
        <v>5</v>
      </c>
      <c r="E59" s="676">
        <f>IF(C59&gt;D59,B59,B59*C59/D59)</f>
        <v>0</v>
      </c>
      <c r="F59" s="8"/>
      <c r="G59" s="1588">
        <v>0</v>
      </c>
      <c r="H59" s="663"/>
      <c r="I59" s="652">
        <v>0</v>
      </c>
      <c r="J59" s="648">
        <v>0</v>
      </c>
      <c r="K59" s="30" t="str">
        <f>IF(I59&gt;B59,"ERROR EN APORTACION EN ESPECIE","")</f>
        <v/>
      </c>
    </row>
    <row r="60" spans="1:11" outlineLevel="1">
      <c r="A60" s="14" t="s">
        <v>487</v>
      </c>
      <c r="B60" s="15">
        <v>0</v>
      </c>
      <c r="C60" s="655">
        <v>0</v>
      </c>
      <c r="D60" s="7">
        <v>5</v>
      </c>
      <c r="E60" s="676">
        <f>IF(C60&gt;D60,B60,B60*C60/D60)</f>
        <v>0</v>
      </c>
      <c r="F60" s="8"/>
      <c r="G60" s="1588">
        <v>0</v>
      </c>
      <c r="H60" s="663"/>
      <c r="I60" s="652">
        <v>0</v>
      </c>
      <c r="J60" s="648">
        <v>0</v>
      </c>
      <c r="K60" s="30" t="str">
        <f>IF(I60&gt;B60,"ERROR EN APORTACION EN ESPECIE","")</f>
        <v/>
      </c>
    </row>
    <row r="61" spans="1:11" outlineLevel="1">
      <c r="A61" s="14" t="s">
        <v>488</v>
      </c>
      <c r="B61" s="15">
        <v>0</v>
      </c>
      <c r="C61" s="655">
        <v>0</v>
      </c>
      <c r="D61" s="7">
        <v>5</v>
      </c>
      <c r="E61" s="676">
        <f>IF(C61&gt;D61,B61,B61*C61/D61)</f>
        <v>0</v>
      </c>
      <c r="F61" s="8"/>
      <c r="G61" s="1588">
        <v>0</v>
      </c>
      <c r="H61" s="663"/>
      <c r="I61" s="652">
        <v>0</v>
      </c>
      <c r="J61" s="648">
        <v>0</v>
      </c>
      <c r="K61" s="30" t="str">
        <f>IF(I61&gt;B61,"ERROR EN APORTACION EN ESPECIE","")</f>
        <v/>
      </c>
    </row>
    <row r="62" spans="1:11" outlineLevel="1">
      <c r="A62" s="2304" t="s">
        <v>489</v>
      </c>
      <c r="B62" s="2407">
        <f>+'Bal. Inicial Previo'!D10</f>
        <v>0</v>
      </c>
      <c r="C62" s="2316"/>
      <c r="D62" s="2312">
        <f>'Bal. Inicial Previo'!$D$39</f>
        <v>5</v>
      </c>
      <c r="E62" s="2311">
        <f>-'Bal. Inicial Previo'!D11</f>
        <v>0</v>
      </c>
      <c r="F62" s="8"/>
      <c r="G62" s="2315">
        <v>0</v>
      </c>
      <c r="H62" s="663"/>
      <c r="I62" s="2316"/>
      <c r="J62" s="648">
        <v>0</v>
      </c>
      <c r="K62" s="30"/>
    </row>
    <row r="63" spans="1:11" ht="16.5" thickBot="1">
      <c r="A63" s="1574" t="str">
        <f>"Total "&amp;A57</f>
        <v>Total Imobilizado Intangível</v>
      </c>
      <c r="B63" s="687">
        <f>SUM(B57:B62)</f>
        <v>0</v>
      </c>
      <c r="C63" s="1422">
        <f t="array" ref="C63">IF($B63=0,0,SUM($B58:$B62*C58:C62)/$B63)</f>
        <v>0</v>
      </c>
      <c r="D63" s="2415">
        <f t="array" ref="D63">IF($B63=0,AVERAGE(D58:D62),SUM($B58:$B62*D58:D62)/$B63)</f>
        <v>4.5999999999999996</v>
      </c>
      <c r="E63" s="688">
        <f>SUM(E57:E62)</f>
        <v>0</v>
      </c>
      <c r="F63" s="9"/>
      <c r="G63" s="1586">
        <f>SUM(G57:G61)</f>
        <v>0</v>
      </c>
      <c r="H63" s="662"/>
      <c r="I63" s="650">
        <f>SUM(I57:I61)</f>
        <v>0</v>
      </c>
      <c r="J63" s="11">
        <v>0</v>
      </c>
    </row>
    <row r="64" spans="1:11" ht="17.25" customHeight="1"/>
    <row r="65" spans="1:8">
      <c r="A65" s="2446" t="s">
        <v>490</v>
      </c>
      <c r="B65" s="1812">
        <f>+B10+B20+B26+B31+B37+B43+B50+B55+B63
-(B62+B19+B9)</f>
        <v>0</v>
      </c>
      <c r="E65" s="1812">
        <f>+E10+E20+E26+E31+E37+E43+E50+E55+E63
-(E62+E19+E9)</f>
        <v>0</v>
      </c>
      <c r="F65" s="5"/>
      <c r="G65" s="1812">
        <f>+G10+G20+G26+G31+G37+G43+G50+G55+G63</f>
        <v>0</v>
      </c>
      <c r="H65" s="5"/>
    </row>
    <row r="66" spans="1:8">
      <c r="F66" s="5"/>
      <c r="G66" s="677"/>
      <c r="H66" s="5"/>
    </row>
    <row r="67" spans="1:8">
      <c r="F67" s="8"/>
      <c r="G67" s="1589"/>
      <c r="H67" s="8"/>
    </row>
    <row r="68" spans="1:8">
      <c r="A68" s="3126" t="s">
        <v>471</v>
      </c>
      <c r="F68" s="9"/>
      <c r="G68" s="1590"/>
      <c r="H68" s="9"/>
    </row>
    <row r="69" spans="1:8">
      <c r="A69" s="3126" t="s">
        <v>491</v>
      </c>
    </row>
    <row r="70" spans="1:8">
      <c r="A70" s="3126" t="s">
        <v>492</v>
      </c>
    </row>
    <row r="71" spans="1:8">
      <c r="A71" s="3126" t="s">
        <v>338</v>
      </c>
    </row>
    <row r="72" spans="1:8">
      <c r="A72" s="3126" t="s">
        <v>493</v>
      </c>
    </row>
    <row r="73" spans="1:8">
      <c r="E73" s="678"/>
    </row>
    <row r="76" spans="1:8" s="21" customFormat="1">
      <c r="D76"/>
      <c r="E76" s="1"/>
      <c r="F76" s="20"/>
      <c r="H76" s="20"/>
    </row>
    <row r="77" spans="1:8" s="21" customFormat="1" ht="15">
      <c r="F77" s="20"/>
      <c r="H77" s="20"/>
    </row>
    <row r="78" spans="1:8" s="21" customFormat="1" ht="15">
      <c r="F78" s="20"/>
      <c r="H78" s="20"/>
    </row>
    <row r="79" spans="1:8" s="21" customFormat="1" ht="15">
      <c r="F79" s="22"/>
      <c r="H79" s="20"/>
    </row>
  </sheetData>
  <sheetProtection sheet="1" objects="1" scenarios="1"/>
  <phoneticPr fontId="4" type="noConversion"/>
  <dataValidations count="7">
    <dataValidation type="whole" allowBlank="1" showInputMessage="1" showErrorMessage="1" error="La amortización acumulada debe ser mayor que 0 y MENOR que la inversión total" sqref="E29:F30 H36 H42 H67 H15:H19 E7:F9 E13:F19 E40:F42 E46:F49 E58:F62 E54:F54 E53 E34:F36 E23:F25 F67 H25" xr:uid="{00000000-0002-0000-0500-000000000000}">
      <formula1>0</formula1>
      <formula2>B7</formula2>
    </dataValidation>
    <dataValidation type="custom" allowBlank="1" showInputMessage="1" showErrorMessage="1" error="La aportación en especie no puede ser superior al importe." sqref="I34:I36 I29:I30 I40:I42 I46:I49 I58:I62 I53:I54 I23:I25 I13:I19" xr:uid="{00000000-0002-0000-0500-000001000000}">
      <formula1>OR(AND(E13=0,I13&lt;=B13,I13&gt;0),I13=0)</formula1>
    </dataValidation>
    <dataValidation type="whole" allowBlank="1" showInputMessage="1" showErrorMessage="1" error="El plazo mínimo de amortización es 2 años._x000a_El plazo máximo 99 años." sqref="D7:D9 D13:D19 D58:D62 D53:D54 D46:D49 D40:D42 D34:D36 D29:D30 D23:D25" xr:uid="{00000000-0002-0000-0500-000002000000}">
      <formula1>2</formula1>
      <formula2>99</formula2>
    </dataValidation>
    <dataValidation allowBlank="1" showInputMessage="1" showErrorMessage="1" error="La amortización acumulada debe ser mayor que 0 y MENOR que la inversión total" sqref="H58:H62 H53:H54 H46:H49 H40:H41 H34:H35 H29:H30 H23:H24 H13:H14 H6:H9" xr:uid="{00000000-0002-0000-0500-000003000000}"/>
    <dataValidation type="list" allowBlank="1" showInputMessage="1" showErrorMessage="1" sqref="A29" xr:uid="{00000000-0002-0000-0500-000004000000}">
      <formula1>$A$68:$A$72</formula1>
    </dataValidation>
    <dataValidation type="custom" allowBlank="1" showInputMessage="1" showErrorMessage="1" error="La aportación en especie no puede ser superior al importe." sqref="I6:I7" xr:uid="{00000000-0002-0000-0500-000005000000}">
      <formula1>OR(AND($E$6=0,$I$6&lt;=$B$6,$I$6&gt;0),$I$6=0)</formula1>
    </dataValidation>
    <dataValidation type="custom" allowBlank="1" showInputMessage="1" showErrorMessage="1" error="La aportación en especie no puede ser superior al importe." sqref="I8:I9" xr:uid="{00000000-0002-0000-0500-000006000000}">
      <formula1>OR(AND(E6=0,I6&lt;=B6,I6&gt;0),I6=0)</formula1>
    </dataValidation>
  </dataValidations>
  <printOptions horizontalCentered="1"/>
  <pageMargins left="0.78740157480314965" right="0.48" top="0.37" bottom="0.4" header="0" footer="0"/>
  <pageSetup paperSize="9" scale="76" orientation="portrait" r:id="rId1"/>
  <headerFooter alignWithMargins="0"/>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28">
    <tabColor indexed="41"/>
    <pageSetUpPr fitToPage="1"/>
  </sheetPr>
  <dimension ref="A1:P42"/>
  <sheetViews>
    <sheetView workbookViewId="0"/>
  </sheetViews>
  <sheetFormatPr baseColWidth="10" defaultColWidth="11" defaultRowHeight="15"/>
  <cols>
    <col min="1" max="1" width="18.625" style="36" customWidth="1"/>
    <col min="2" max="2" width="11" style="36"/>
    <col min="3" max="3" width="13.5" style="36" customWidth="1"/>
    <col min="4" max="5" width="11" style="36"/>
    <col min="6" max="6" width="12.625" style="36" customWidth="1"/>
    <col min="7" max="8" width="11" style="36"/>
    <col min="9" max="9" width="12" style="36" customWidth="1"/>
    <col min="10" max="11" width="11" style="36"/>
    <col min="12" max="12" width="11.375" style="36" customWidth="1"/>
    <col min="13" max="14" width="11" style="36"/>
    <col min="15" max="15" width="11.75" style="36" bestFit="1" customWidth="1"/>
    <col min="16" max="17" width="8.625" style="36" customWidth="1"/>
    <col min="18" max="18" width="9.875" style="36" customWidth="1"/>
    <col min="19" max="20" width="8.625" style="36" customWidth="1"/>
    <col min="21" max="16384" width="11" style="36"/>
  </cols>
  <sheetData>
    <row r="1" spans="1:16" s="68" customFormat="1" ht="22.5">
      <c r="A1" s="68" t="str">
        <f>'IVA 0'!A1</f>
        <v>Previsões de Liquidações de IVA</v>
      </c>
      <c r="B1" s="260"/>
      <c r="F1" s="532" t="str">
        <f>Parametros!D$77</f>
        <v>Ano 2:  2028</v>
      </c>
      <c r="G1" s="260"/>
    </row>
    <row r="2" spans="1:16" s="68" customFormat="1" ht="22.5">
      <c r="A2" s="68" t="str">
        <f>'Prev.Vendas 0'!A2</f>
        <v>WWW, S.L.</v>
      </c>
      <c r="B2" s="260"/>
    </row>
    <row r="3" spans="1:16" ht="15.75" thickBot="1">
      <c r="A3" s="1116"/>
      <c r="B3" s="61"/>
      <c r="C3" s="61"/>
      <c r="D3" s="239"/>
      <c r="E3" s="239"/>
      <c r="F3" s="239"/>
      <c r="G3" s="239"/>
      <c r="H3" s="239"/>
      <c r="I3" s="239"/>
      <c r="J3" s="239"/>
      <c r="K3" s="239"/>
      <c r="L3" s="239"/>
      <c r="M3" s="239"/>
      <c r="N3" s="239"/>
      <c r="O3" s="239"/>
      <c r="P3" s="239"/>
    </row>
    <row r="4" spans="1:16" ht="15.75" thickBot="1">
      <c r="A4" s="1149" t="str">
        <f t="array" ref="A4:A8">'IVA 0'!A4:A8</f>
        <v>IVA Soportado</v>
      </c>
      <c r="B4" s="438"/>
      <c r="C4" s="165" t="str">
        <f t="array" ref="C4:N4">meses</f>
        <v>janeiro</v>
      </c>
      <c r="D4" s="165" t="str">
        <v>fevereiro</v>
      </c>
      <c r="E4" s="165" t="str">
        <v>março</v>
      </c>
      <c r="F4" s="165" t="str">
        <v>abril</v>
      </c>
      <c r="G4" s="165" t="str">
        <v>maio</v>
      </c>
      <c r="H4" s="165" t="str">
        <v>junho</v>
      </c>
      <c r="I4" s="165" t="str">
        <v>julho</v>
      </c>
      <c r="J4" s="165" t="str">
        <v>agosto</v>
      </c>
      <c r="K4" s="165" t="str">
        <v>setembro</v>
      </c>
      <c r="L4" s="165" t="str">
        <v>outubro</v>
      </c>
      <c r="M4" s="165" t="str">
        <v>novembro</v>
      </c>
      <c r="N4" s="165" t="str">
        <v>dezembro</v>
      </c>
      <c r="O4" s="166" t="str">
        <f>'IVA 0'!$O$4</f>
        <v>Totais</v>
      </c>
    </row>
    <row r="5" spans="1:16">
      <c r="A5" s="2488" t="str">
        <v>IVA sop. de Compras e C.V.</v>
      </c>
      <c r="B5" s="2489"/>
      <c r="C5" s="1117">
        <f t="array" aca="1" ref="C5:N5" ca="1">'Distr CV 2'!B67:M67</f>
        <v>32.749983</v>
      </c>
      <c r="D5" s="1118">
        <f ca="1"/>
        <v>32.749983</v>
      </c>
      <c r="E5" s="1118">
        <f ca="1"/>
        <v>32.749983</v>
      </c>
      <c r="F5" s="1118">
        <f ca="1"/>
        <v>32.749983</v>
      </c>
      <c r="G5" s="1118">
        <f ca="1"/>
        <v>32.749983</v>
      </c>
      <c r="H5" s="1118">
        <f ca="1"/>
        <v>32.749983</v>
      </c>
      <c r="I5" s="1118">
        <f ca="1"/>
        <v>32.749983</v>
      </c>
      <c r="J5" s="1118">
        <f ca="1"/>
        <v>32.749983</v>
      </c>
      <c r="K5" s="1118">
        <f ca="1"/>
        <v>32.749983</v>
      </c>
      <c r="L5" s="1118">
        <f ca="1"/>
        <v>32.749983</v>
      </c>
      <c r="M5" s="1118">
        <f ca="1"/>
        <v>32.749983</v>
      </c>
      <c r="N5" s="1119">
        <f ca="1"/>
        <v>32.749983</v>
      </c>
      <c r="O5" s="1150">
        <f ca="1">SUM(C5:N5)</f>
        <v>392.99979599999989</v>
      </c>
    </row>
    <row r="6" spans="1:16">
      <c r="A6" s="1153" t="str">
        <v>IVA sop. de Gastos fixos</v>
      </c>
      <c r="B6" s="1120"/>
      <c r="C6" s="1118">
        <f t="array" aca="1" ref="C6:N6" ca="1">'G.F. 2'!B60:M60</f>
        <v>9.9022644000000017</v>
      </c>
      <c r="D6" s="1118">
        <f ca="1"/>
        <v>9.9022644000000017</v>
      </c>
      <c r="E6" s="1118">
        <f ca="1"/>
        <v>9.9022644000000017</v>
      </c>
      <c r="F6" s="1118">
        <f ca="1"/>
        <v>9.9022644000000017</v>
      </c>
      <c r="G6" s="1118">
        <f ca="1"/>
        <v>9.9022644000000017</v>
      </c>
      <c r="H6" s="1118">
        <f ca="1"/>
        <v>9.9022644000000017</v>
      </c>
      <c r="I6" s="1118">
        <f ca="1"/>
        <v>9.9022644000000017</v>
      </c>
      <c r="J6" s="1118">
        <f ca="1"/>
        <v>9.9022644000000017</v>
      </c>
      <c r="K6" s="1118">
        <f ca="1"/>
        <v>9.9022644000000017</v>
      </c>
      <c r="L6" s="1118">
        <f ca="1"/>
        <v>9.9022644000000017</v>
      </c>
      <c r="M6" s="1118">
        <f ca="1"/>
        <v>9.9022644000000017</v>
      </c>
      <c r="N6" s="1119">
        <f ca="1"/>
        <v>9.9022644000000017</v>
      </c>
      <c r="O6" s="1150">
        <f ca="1">SUM(C6:N6)</f>
        <v>118.82717280000004</v>
      </c>
    </row>
    <row r="7" spans="1:16">
      <c r="A7" s="1153" t="str">
        <v>IVA sop. de investimentos</v>
      </c>
      <c r="B7" s="1121"/>
      <c r="C7" s="1118">
        <f t="array" ref="C7:N7">'Investimentos AC'!$D$44/12+'Investimentos AC'!$D$43/12</f>
        <v>0</v>
      </c>
      <c r="D7" s="1118">
        <v>0</v>
      </c>
      <c r="E7" s="1118">
        <v>0</v>
      </c>
      <c r="F7" s="1118">
        <v>0</v>
      </c>
      <c r="G7" s="1118">
        <v>0</v>
      </c>
      <c r="H7" s="1118">
        <v>0</v>
      </c>
      <c r="I7" s="1118">
        <v>0</v>
      </c>
      <c r="J7" s="1118">
        <v>0</v>
      </c>
      <c r="K7" s="1118">
        <v>0</v>
      </c>
      <c r="L7" s="1118">
        <v>0</v>
      </c>
      <c r="M7" s="1118">
        <v>0</v>
      </c>
      <c r="N7" s="1119">
        <v>0</v>
      </c>
      <c r="O7" s="1150">
        <f>SUM(C7:N7)</f>
        <v>0</v>
      </c>
    </row>
    <row r="8" spans="1:16" ht="15.75" thickBot="1">
      <c r="A8" s="1154" t="str">
        <v>IVA quotas Leasing/Renting</v>
      </c>
      <c r="B8" s="1122"/>
      <c r="C8" s="1123">
        <f t="array" ref="C8:N8">Leasing!B40:M40+Renting!B38:M38</f>
        <v>0</v>
      </c>
      <c r="D8" s="1124">
        <v>0</v>
      </c>
      <c r="E8" s="1124">
        <v>0</v>
      </c>
      <c r="F8" s="1124">
        <v>0</v>
      </c>
      <c r="G8" s="1124">
        <v>0</v>
      </c>
      <c r="H8" s="1124">
        <v>0</v>
      </c>
      <c r="I8" s="1124">
        <v>0</v>
      </c>
      <c r="J8" s="1124">
        <v>0</v>
      </c>
      <c r="K8" s="1124">
        <v>0</v>
      </c>
      <c r="L8" s="1124">
        <v>0</v>
      </c>
      <c r="M8" s="1124">
        <v>0</v>
      </c>
      <c r="N8" s="1125">
        <v>0</v>
      </c>
      <c r="O8" s="1151">
        <f>SUM(C8:N8)</f>
        <v>0</v>
      </c>
    </row>
    <row r="9" spans="1:16" ht="15.75" thickBot="1">
      <c r="A9" s="2490"/>
      <c r="B9" s="2491" t="str">
        <f>'IVA 0'!B9</f>
        <v>Total IVA Soportado</v>
      </c>
      <c r="C9" s="1169">
        <f t="shared" ref="C9:O9" ca="1" si="0">SUM(C5:C8)</f>
        <v>42.6522474</v>
      </c>
      <c r="D9" s="1170">
        <f t="shared" ca="1" si="0"/>
        <v>42.6522474</v>
      </c>
      <c r="E9" s="1170">
        <f t="shared" ca="1" si="0"/>
        <v>42.6522474</v>
      </c>
      <c r="F9" s="1170">
        <f t="shared" ca="1" si="0"/>
        <v>42.6522474</v>
      </c>
      <c r="G9" s="1170">
        <f t="shared" ca="1" si="0"/>
        <v>42.6522474</v>
      </c>
      <c r="H9" s="1170">
        <f t="shared" ca="1" si="0"/>
        <v>42.6522474</v>
      </c>
      <c r="I9" s="1170">
        <f t="shared" ca="1" si="0"/>
        <v>42.6522474</v>
      </c>
      <c r="J9" s="1170">
        <f t="shared" ca="1" si="0"/>
        <v>42.6522474</v>
      </c>
      <c r="K9" s="1170">
        <f t="shared" ca="1" si="0"/>
        <v>42.6522474</v>
      </c>
      <c r="L9" s="1170">
        <f t="shared" ca="1" si="0"/>
        <v>42.6522474</v>
      </c>
      <c r="M9" s="1170">
        <f t="shared" ca="1" si="0"/>
        <v>42.6522474</v>
      </c>
      <c r="N9" s="1171">
        <f t="shared" ca="1" si="0"/>
        <v>42.6522474</v>
      </c>
      <c r="O9" s="1172">
        <f t="shared" ca="1" si="0"/>
        <v>511.82696879999992</v>
      </c>
    </row>
    <row r="10" spans="1:16" ht="15.75" thickBot="1">
      <c r="A10" s="1126"/>
      <c r="C10" s="1127"/>
      <c r="D10" s="1127"/>
      <c r="E10" s="1127"/>
      <c r="F10" s="1127"/>
      <c r="G10" s="1127"/>
      <c r="H10" s="1127"/>
      <c r="I10" s="1127"/>
      <c r="J10" s="1127"/>
      <c r="K10" s="1127"/>
      <c r="L10" s="1127"/>
      <c r="M10" s="1127"/>
      <c r="N10" s="1127"/>
      <c r="O10" s="1127"/>
    </row>
    <row r="11" spans="1:16" ht="15.75" thickBot="1">
      <c r="A11" s="2484" t="str">
        <f t="array" ref="A11:A13">'IVA 0'!A11:A13</f>
        <v>Coeficientes de prorrata Trimestrais</v>
      </c>
      <c r="B11" s="2485"/>
      <c r="C11" s="2527">
        <f t="array" ref="C11:O11">C42:O42</f>
        <v>1</v>
      </c>
      <c r="D11" s="2527">
        <v>0</v>
      </c>
      <c r="E11" s="2528">
        <f ca="1"/>
        <v>0</v>
      </c>
      <c r="F11" s="2527">
        <v>0</v>
      </c>
      <c r="G11" s="2527">
        <v>0</v>
      </c>
      <c r="H11" s="2528">
        <f ca="1"/>
        <v>0</v>
      </c>
      <c r="I11" s="2527">
        <v>0</v>
      </c>
      <c r="J11" s="2527">
        <v>0</v>
      </c>
      <c r="K11" s="2528">
        <f ca="1"/>
        <v>0</v>
      </c>
      <c r="L11" s="2527">
        <v>0</v>
      </c>
      <c r="M11" s="2527">
        <v>0</v>
      </c>
      <c r="N11" s="2528">
        <f ca="1"/>
        <v>0</v>
      </c>
      <c r="O11" s="3177">
        <f ca="1"/>
        <v>1</v>
      </c>
    </row>
    <row r="12" spans="1:16">
      <c r="A12" s="2486" t="str">
        <v>Total IVA soportado deducível</v>
      </c>
      <c r="B12" s="2487"/>
      <c r="C12" s="3176">
        <f t="array" aca="1" ref="C12:N12" ca="1">$C$11*C9:N9</f>
        <v>42.6522474</v>
      </c>
      <c r="D12" s="3176">
        <f ca="1"/>
        <v>42.6522474</v>
      </c>
      <c r="E12" s="3176">
        <f ca="1"/>
        <v>42.6522474</v>
      </c>
      <c r="F12" s="3176">
        <f ca="1"/>
        <v>42.6522474</v>
      </c>
      <c r="G12" s="3176">
        <f ca="1"/>
        <v>42.6522474</v>
      </c>
      <c r="H12" s="3176">
        <f ca="1"/>
        <v>42.6522474</v>
      </c>
      <c r="I12" s="3176">
        <f ca="1"/>
        <v>42.6522474</v>
      </c>
      <c r="J12" s="3176">
        <f ca="1"/>
        <v>42.6522474</v>
      </c>
      <c r="K12" s="3176">
        <f ca="1"/>
        <v>42.6522474</v>
      </c>
      <c r="L12" s="3176">
        <f ca="1"/>
        <v>42.6522474</v>
      </c>
      <c r="M12" s="3176">
        <f ca="1"/>
        <v>42.6522474</v>
      </c>
      <c r="N12" s="3176">
        <f ca="1"/>
        <v>42.6522474</v>
      </c>
      <c r="O12" s="1166">
        <f ca="1">SUM(C12:N12)</f>
        <v>511.82696880000009</v>
      </c>
    </row>
    <row r="13" spans="1:16" ht="16.5" customHeight="1" thickBot="1">
      <c r="A13" s="232" t="str">
        <v>Total IVA soportado para gasto</v>
      </c>
      <c r="B13" s="2483"/>
      <c r="C13" s="1167">
        <f t="array" aca="1" ref="C13:N13" ca="1">C9:N9-C12:N12</f>
        <v>0</v>
      </c>
      <c r="D13" s="1167">
        <f ca="1"/>
        <v>0</v>
      </c>
      <c r="E13" s="1167">
        <f ca="1"/>
        <v>0</v>
      </c>
      <c r="F13" s="1167">
        <f ca="1"/>
        <v>0</v>
      </c>
      <c r="G13" s="1167">
        <f ca="1"/>
        <v>0</v>
      </c>
      <c r="H13" s="1167">
        <f ca="1"/>
        <v>0</v>
      </c>
      <c r="I13" s="1167">
        <f ca="1"/>
        <v>0</v>
      </c>
      <c r="J13" s="1167">
        <f ca="1"/>
        <v>0</v>
      </c>
      <c r="K13" s="1167">
        <f ca="1"/>
        <v>0</v>
      </c>
      <c r="L13" s="1167">
        <f ca="1"/>
        <v>0</v>
      </c>
      <c r="M13" s="1167">
        <f ca="1"/>
        <v>0</v>
      </c>
      <c r="N13" s="1167">
        <f ca="1"/>
        <v>0</v>
      </c>
      <c r="O13" s="1168">
        <f ca="1">SUM(C13:N13)</f>
        <v>0</v>
      </c>
    </row>
    <row r="14" spans="1:16" ht="15.75" thickBot="1"/>
    <row r="15" spans="1:16" ht="15.75" thickBot="1">
      <c r="A15" s="65"/>
      <c r="B15" s="395" t="str">
        <f>'IVA 0'!B15</f>
        <v>Conta Corrente IVA</v>
      </c>
      <c r="C15" s="1162" t="str">
        <f>'Dados Básicos'!$B$32</f>
        <v>Não</v>
      </c>
      <c r="D15" s="2454">
        <f>IVAcc</f>
        <v>0</v>
      </c>
      <c r="F15" s="1164"/>
      <c r="G15" s="694"/>
      <c r="L15" s="65"/>
      <c r="M15" s="375"/>
      <c r="N15" s="3182" t="s">
        <v>1264</v>
      </c>
      <c r="O15" s="3183">
        <f ca="1">-O9*($O$11-$C$11)</f>
        <v>0</v>
      </c>
    </row>
    <row r="17" spans="1:15" s="99" customFormat="1" ht="23.25" thickBot="1">
      <c r="A17" s="68" t="str">
        <f>'IVA 0'!A17</f>
        <v xml:space="preserve">Liquidações Trimestrais de IVA da empresa </v>
      </c>
      <c r="B17" s="260"/>
      <c r="C17" s="68"/>
      <c r="D17" s="68"/>
      <c r="F17" s="260"/>
    </row>
    <row r="18" spans="1:15" ht="15.75" thickBot="1">
      <c r="A18" s="2475"/>
      <c r="B18" s="2476"/>
      <c r="C18" s="1143" t="str">
        <f t="array" ref="C18:N18">meses</f>
        <v>janeiro</v>
      </c>
      <c r="D18" s="1143" t="str">
        <v>fevereiro</v>
      </c>
      <c r="E18" s="1143" t="str">
        <v>março</v>
      </c>
      <c r="F18" s="1143" t="str">
        <v>abril</v>
      </c>
      <c r="G18" s="1143" t="str">
        <v>maio</v>
      </c>
      <c r="H18" s="1143" t="str">
        <v>junho</v>
      </c>
      <c r="I18" s="1143" t="str">
        <v>julho</v>
      </c>
      <c r="J18" s="1143" t="str">
        <v>agosto</v>
      </c>
      <c r="K18" s="1143" t="str">
        <v>setembro</v>
      </c>
      <c r="L18" s="1143" t="str">
        <v>outubro</v>
      </c>
      <c r="M18" s="1143" t="str">
        <v>novembro</v>
      </c>
      <c r="N18" s="1143" t="str">
        <v>dezembro</v>
      </c>
      <c r="O18" s="1144" t="str">
        <f>'IVA 0'!$O$4</f>
        <v>Totais</v>
      </c>
    </row>
    <row r="19" spans="1:15">
      <c r="A19" s="2477" t="str">
        <f t="array" ref="A19:A22">'IVA 0'!A19:A22</f>
        <v>Total IVA Repercutido</v>
      </c>
      <c r="B19" s="2478"/>
      <c r="C19" s="1117">
        <f t="array" aca="1" ref="C19" ca="1">SUM(Parametros!$E$24:$E$31*C31:C38)</f>
        <v>233.92844999999997</v>
      </c>
      <c r="D19" s="1117">
        <f t="array" aca="1" ref="D19" ca="1">SUM(Parametros!$E$24:$E$31*D31:D38)</f>
        <v>233.92844999999997</v>
      </c>
      <c r="E19" s="1117">
        <f t="array" aca="1" ref="E19" ca="1">SUM(Parametros!$E$24:$E$31*E31:E38)</f>
        <v>233.92844999999997</v>
      </c>
      <c r="F19" s="1117">
        <f t="array" aca="1" ref="F19" ca="1">SUM(Parametros!$E$24:$E$31*F31:F38)</f>
        <v>233.92844999999997</v>
      </c>
      <c r="G19" s="1117">
        <f t="array" aca="1" ref="G19" ca="1">SUM(Parametros!$E$24:$E$31*G31:G38)</f>
        <v>233.92844999999997</v>
      </c>
      <c r="H19" s="1117">
        <f t="array" aca="1" ref="H19" ca="1">SUM(Parametros!$E$24:$E$31*H31:H38)</f>
        <v>233.92844999999997</v>
      </c>
      <c r="I19" s="1117">
        <f t="array" aca="1" ref="I19" ca="1">SUM(Parametros!$E$24:$E$31*I31:I38)</f>
        <v>233.92844999999997</v>
      </c>
      <c r="J19" s="1117">
        <f t="array" aca="1" ref="J19" ca="1">SUM(Parametros!$E$24:$E$31*J31:J38)</f>
        <v>233.92844999999997</v>
      </c>
      <c r="K19" s="1117">
        <f t="array" aca="1" ref="K19" ca="1">SUM(Parametros!$E$24:$E$31*K31:K38)</f>
        <v>233.92844999999997</v>
      </c>
      <c r="L19" s="1117">
        <f t="array" aca="1" ref="L19" ca="1">SUM(Parametros!$E$24:$E$31*L31:L38)</f>
        <v>233.92844999999997</v>
      </c>
      <c r="M19" s="1117">
        <f t="array" aca="1" ref="M19" ca="1">SUM(Parametros!$E$24:$E$31*M31:M38)</f>
        <v>233.92844999999997</v>
      </c>
      <c r="N19" s="1117">
        <f t="array" aca="1" ref="N19" ca="1">SUM(Parametros!$E$24:$E$31*N31:N38)</f>
        <v>233.92844999999997</v>
      </c>
      <c r="O19" s="1146">
        <f ca="1">SUM(C19:N19)</f>
        <v>2807.1413999999991</v>
      </c>
    </row>
    <row r="20" spans="1:15">
      <c r="A20" s="2479" t="str">
        <v>Total IVA soportado deducível</v>
      </c>
      <c r="B20" s="2480"/>
      <c r="C20" s="1118">
        <f t="array" aca="1" ref="C20:N20" ca="1">C12:N12</f>
        <v>42.6522474</v>
      </c>
      <c r="D20" s="1118">
        <f ca="1"/>
        <v>42.6522474</v>
      </c>
      <c r="E20" s="1118">
        <f ca="1"/>
        <v>42.6522474</v>
      </c>
      <c r="F20" s="1118">
        <f ca="1"/>
        <v>42.6522474</v>
      </c>
      <c r="G20" s="1118">
        <f ca="1"/>
        <v>42.6522474</v>
      </c>
      <c r="H20" s="1118">
        <f ca="1"/>
        <v>42.6522474</v>
      </c>
      <c r="I20" s="1118">
        <f ca="1"/>
        <v>42.6522474</v>
      </c>
      <c r="J20" s="1118">
        <f ca="1"/>
        <v>42.6522474</v>
      </c>
      <c r="K20" s="1118">
        <f ca="1"/>
        <v>42.6522474</v>
      </c>
      <c r="L20" s="1118">
        <f ca="1"/>
        <v>42.6522474</v>
      </c>
      <c r="M20" s="1118">
        <f ca="1"/>
        <v>42.6522474</v>
      </c>
      <c r="N20" s="1118">
        <f ca="1"/>
        <v>42.6522474</v>
      </c>
      <c r="O20" s="1141">
        <f ca="1">SUM(C20:N20)</f>
        <v>511.82696880000009</v>
      </c>
    </row>
    <row r="21" spans="1:15" ht="15.75" thickBot="1">
      <c r="A21" s="2481" t="str">
        <v>Diferências IVA</v>
      </c>
      <c r="B21" s="2482"/>
      <c r="C21" s="1165">
        <f t="array" aca="1" ref="C21:N21" ca="1">C19:N19-C20:N20</f>
        <v>191.27620259999998</v>
      </c>
      <c r="D21" s="1165">
        <f ca="1"/>
        <v>191.27620259999998</v>
      </c>
      <c r="E21" s="1165">
        <f ca="1"/>
        <v>191.27620259999998</v>
      </c>
      <c r="F21" s="1165">
        <f ca="1"/>
        <v>191.27620259999998</v>
      </c>
      <c r="G21" s="1165">
        <f ca="1"/>
        <v>191.27620259999998</v>
      </c>
      <c r="H21" s="1165">
        <f ca="1"/>
        <v>191.27620259999998</v>
      </c>
      <c r="I21" s="1165">
        <f ca="1"/>
        <v>191.27620259999998</v>
      </c>
      <c r="J21" s="1165">
        <f ca="1"/>
        <v>191.27620259999998</v>
      </c>
      <c r="K21" s="1165">
        <f ca="1"/>
        <v>191.27620259999998</v>
      </c>
      <c r="L21" s="1165">
        <f ca="1"/>
        <v>191.27620259999998</v>
      </c>
      <c r="M21" s="1165">
        <f ca="1"/>
        <v>191.27620259999998</v>
      </c>
      <c r="N21" s="1165">
        <f ca="1"/>
        <v>191.27620259999998</v>
      </c>
      <c r="O21" s="1142">
        <f ca="1">SUM(C21:N21)</f>
        <v>2295.3144311999999</v>
      </c>
    </row>
    <row r="22" spans="1:15" s="49" customFormat="1" ht="19.5" customHeight="1">
      <c r="A22" s="2557" t="str">
        <v>Quotas de IVA</v>
      </c>
      <c r="B22" s="2558"/>
      <c r="C22" s="2559">
        <f ca="1">'IVA 1'!O22</f>
        <v>530.52551999999991</v>
      </c>
      <c r="D22" s="2563">
        <f>+IF(IVAmensual=1,  IF(AND(IVAdev=1,C22&lt;0),0,MIN(C22,0))  +C21,0)</f>
        <v>0</v>
      </c>
      <c r="E22" s="2546">
        <f>+IF(IVAmensual=1,    MIN(D22,0)+D21,0)</f>
        <v>0</v>
      </c>
      <c r="F22" s="2563">
        <f ca="1">IF(IVAmensual=0,    IF(AND(IVAdev=1,C22&lt;0),0,MIN(C22,0))+SUM(C21:E21),0)
+IF(IVAmensual=1,    MIN(E22,0)+E21,0)</f>
        <v>573.82860779999987</v>
      </c>
      <c r="G22" s="2546">
        <f>+IF(IVAmensual=1,    MIN(F22,0)+F21,0)</f>
        <v>0</v>
      </c>
      <c r="H22" s="2546">
        <f>+IF(IVAmensual=1,    MIN(G22,0)+G21,0)</f>
        <v>0</v>
      </c>
      <c r="I22" s="2546">
        <f ca="1">IF(IVAmensual=0,   MIN(F22,0)+SUM(F21:H21),0)
+IF(IVAmensual=1,    MIN(H22,0)+H21,0)</f>
        <v>573.82860779999987</v>
      </c>
      <c r="J22" s="2546">
        <f>+IF(IVAmensual=1,    MIN(I22,0)+I21,0)</f>
        <v>0</v>
      </c>
      <c r="K22" s="2546">
        <f>+IF(IVAmensual=1,    MIN(J22,0)+J21,0)</f>
        <v>0</v>
      </c>
      <c r="L22" s="2546">
        <f ca="1">IF(IVAmensual=0,   MIN(I22,0)+SUM(I21:K21),0)
+IF(IVAmensual=1,    MIN(K22,0)+K21,0)</f>
        <v>573.82860779999987</v>
      </c>
      <c r="M22" s="2546">
        <f>+IF(IVAmensual=1,    MIN(L22,0)+L21,0)</f>
        <v>0</v>
      </c>
      <c r="N22" s="2546">
        <f>+IF(IVAmensual=1,    MIN(M22,0)+M21,0)</f>
        <v>0</v>
      </c>
      <c r="O22" s="3178">
        <f ca="1">IF(IVAmensual=0,   MIN(L22,0)+SUM(L21:N21)+O15,0)
+IF(IVAmensual=1,    MIN(N22,0)+N21+O15,0)</f>
        <v>573.82860779999987</v>
      </c>
    </row>
    <row r="23" spans="1:15" ht="10.5" customHeight="1">
      <c r="A23" s="388"/>
      <c r="B23" s="2480"/>
      <c r="C23" s="910"/>
      <c r="D23" s="910"/>
      <c r="E23" s="910"/>
      <c r="F23" s="910"/>
      <c r="G23" s="910"/>
      <c r="H23" s="910"/>
      <c r="I23" s="910"/>
      <c r="J23" s="910"/>
      <c r="K23" s="910"/>
      <c r="L23" s="910"/>
      <c r="M23" s="910"/>
      <c r="N23" s="910"/>
      <c r="O23" s="1147"/>
    </row>
    <row r="24" spans="1:15" s="49" customFormat="1" ht="19.5" customHeight="1" thickBot="1">
      <c r="A24" s="2547" t="str">
        <f>'IVA 0'!A24</f>
        <v>Liquidações de IVA</v>
      </c>
      <c r="B24" s="2548"/>
      <c r="C24" s="2549">
        <f t="shared" ref="C24:O24" ca="1" si="1">IF(AND(IVAcc=0,C22&gt;0),C22,0)</f>
        <v>530.52551999999991</v>
      </c>
      <c r="D24" s="2550">
        <f t="shared" si="1"/>
        <v>0</v>
      </c>
      <c r="E24" s="2550">
        <f t="shared" si="1"/>
        <v>0</v>
      </c>
      <c r="F24" s="2550">
        <f t="shared" ca="1" si="1"/>
        <v>573.82860779999987</v>
      </c>
      <c r="G24" s="2550">
        <f t="shared" si="1"/>
        <v>0</v>
      </c>
      <c r="H24" s="2550">
        <f t="shared" si="1"/>
        <v>0</v>
      </c>
      <c r="I24" s="2550">
        <f t="shared" ca="1" si="1"/>
        <v>573.82860779999987</v>
      </c>
      <c r="J24" s="2550">
        <f t="shared" si="1"/>
        <v>0</v>
      </c>
      <c r="K24" s="2550">
        <f t="shared" si="1"/>
        <v>0</v>
      </c>
      <c r="L24" s="2550">
        <f t="shared" ca="1" si="1"/>
        <v>573.82860779999987</v>
      </c>
      <c r="M24" s="2550">
        <f t="shared" si="1"/>
        <v>0</v>
      </c>
      <c r="N24" s="2550">
        <f t="shared" si="1"/>
        <v>0</v>
      </c>
      <c r="O24" s="2551">
        <f t="shared" ca="1" si="1"/>
        <v>573.82860779999987</v>
      </c>
    </row>
    <row r="25" spans="1:15" ht="9" customHeight="1" thickBot="1">
      <c r="C25" s="904"/>
      <c r="D25" s="904"/>
      <c r="E25" s="904"/>
      <c r="F25" s="904"/>
      <c r="G25" s="904"/>
      <c r="H25" s="904"/>
      <c r="I25" s="904"/>
      <c r="J25" s="904"/>
      <c r="K25" s="904"/>
      <c r="L25" s="904"/>
      <c r="M25" s="904"/>
      <c r="N25" s="904"/>
      <c r="O25" s="904"/>
    </row>
    <row r="26" spans="1:15" s="49" customFormat="1" ht="18.75" customHeight="1" thickBot="1">
      <c r="A26" s="2552" t="str">
        <f>'IVA 0'!A26</f>
        <v>Devoluções IVA</v>
      </c>
      <c r="B26" s="2553"/>
      <c r="C26" s="2554">
        <f>'IVA 1'!O26</f>
        <v>0</v>
      </c>
      <c r="D26" s="2555">
        <f>-IF(AND(IVAcc,IVAmensual=1),C21,0)</f>
        <v>0</v>
      </c>
      <c r="E26" s="2555">
        <f>-IF(AND(IVAcc,IVAmensual=1),D21,0)</f>
        <v>0</v>
      </c>
      <c r="F26" s="2555">
        <f>-IF(AND(IVAcc,IVAmensual=0),SUM(C21:E21),0)
-IF(AND(IVAcc,IVAmensual=1),E21,0)</f>
        <v>0</v>
      </c>
      <c r="G26" s="2555">
        <f>-IF(AND(IVAcc,IVAmensual=1),F21,0)</f>
        <v>0</v>
      </c>
      <c r="H26" s="2562">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60">
        <f>-IF(AND(IVAcc,IVAmensual=0),SUM(L21:N21),0)
-IF(AND(IVAcc,IVAmensual=1),N21,0)</f>
        <v>0</v>
      </c>
    </row>
    <row r="29" spans="1:15" s="99" customFormat="1" ht="23.25" thickBot="1">
      <c r="A29" s="68" t="str">
        <f>'IVA 0'!A29</f>
        <v>Regra de prorrata</v>
      </c>
      <c r="D29" s="260"/>
      <c r="E29" s="260"/>
    </row>
    <row r="30" spans="1:15" ht="15.75" thickBot="1">
      <c r="A30" s="1155" t="str">
        <f>'IVA 0'!A30</f>
        <v>IVA repercutido</v>
      </c>
      <c r="B30" s="105" t="str">
        <f>'IVA 0'!B30</f>
        <v>taxa IVA</v>
      </c>
      <c r="C30" s="438" t="str">
        <f t="array" ref="C30:N30">meses</f>
        <v>janeiro</v>
      </c>
      <c r="D30" s="165" t="str">
        <v>fevereiro</v>
      </c>
      <c r="E30" s="165" t="str">
        <v>março</v>
      </c>
      <c r="F30" s="165" t="str">
        <v>abril</v>
      </c>
      <c r="G30" s="165" t="str">
        <v>maio</v>
      </c>
      <c r="H30" s="165" t="str">
        <v>junho</v>
      </c>
      <c r="I30" s="165" t="str">
        <v>julho</v>
      </c>
      <c r="J30" s="165" t="str">
        <v>agosto</v>
      </c>
      <c r="K30" s="165" t="str">
        <v>setembro</v>
      </c>
      <c r="L30" s="165" t="str">
        <v>outubro</v>
      </c>
      <c r="M30" s="165" t="str">
        <v>novembro</v>
      </c>
      <c r="N30" s="165" t="str">
        <v>dezembro</v>
      </c>
      <c r="O30" s="166" t="str">
        <f>'IVA 0'!$O$4</f>
        <v>Totais</v>
      </c>
    </row>
    <row r="31" spans="1:15">
      <c r="A31" s="1773" t="str">
        <f t="array" ref="A31:A38">productos</f>
        <v>produto 1</v>
      </c>
      <c r="B31" s="1128">
        <f t="array" ref="B31:B38">Parametros!E24:E31</f>
        <v>0.21</v>
      </c>
      <c r="C31" s="1129">
        <f t="array" aca="1" ref="C31:N38" ca="1">'Prev.Vendas 2'!B17:M24</f>
        <v>1113.9449999999999</v>
      </c>
      <c r="D31" s="1129">
        <f ca="1"/>
        <v>1113.9449999999999</v>
      </c>
      <c r="E31" s="1129">
        <f ca="1"/>
        <v>1113.9449999999999</v>
      </c>
      <c r="F31" s="1129">
        <f ca="1"/>
        <v>1113.9449999999999</v>
      </c>
      <c r="G31" s="1129">
        <f ca="1"/>
        <v>1113.9449999999999</v>
      </c>
      <c r="H31" s="1129">
        <f ca="1"/>
        <v>1113.9449999999999</v>
      </c>
      <c r="I31" s="1129">
        <f ca="1"/>
        <v>1113.9449999999999</v>
      </c>
      <c r="J31" s="1129">
        <f ca="1"/>
        <v>1113.9449999999999</v>
      </c>
      <c r="K31" s="1129">
        <f ca="1"/>
        <v>1113.9449999999999</v>
      </c>
      <c r="L31" s="1129">
        <f ca="1"/>
        <v>1113.9449999999999</v>
      </c>
      <c r="M31" s="1129">
        <f ca="1"/>
        <v>1113.9449999999999</v>
      </c>
      <c r="N31" s="1129">
        <f ca="1"/>
        <v>1113.9449999999999</v>
      </c>
      <c r="O31" s="1156">
        <f t="shared" ref="O31:O41" ca="1" si="2">SUM(C31:N31)</f>
        <v>13367.339999999998</v>
      </c>
    </row>
    <row r="32" spans="1:15">
      <c r="A32" s="1552" t="str">
        <v/>
      </c>
      <c r="B32" s="1130">
        <v>0.21</v>
      </c>
      <c r="C32" s="1131">
        <f ca="1"/>
        <v>0</v>
      </c>
      <c r="D32" s="1131">
        <f ca="1"/>
        <v>0</v>
      </c>
      <c r="E32" s="1131">
        <f ca="1"/>
        <v>0</v>
      </c>
      <c r="F32" s="1131">
        <f ca="1"/>
        <v>0</v>
      </c>
      <c r="G32" s="1131">
        <f ca="1"/>
        <v>0</v>
      </c>
      <c r="H32" s="1131">
        <f ca="1"/>
        <v>0</v>
      </c>
      <c r="I32" s="1131">
        <f ca="1"/>
        <v>0</v>
      </c>
      <c r="J32" s="1131">
        <f ca="1"/>
        <v>0</v>
      </c>
      <c r="K32" s="1131">
        <f ca="1"/>
        <v>0</v>
      </c>
      <c r="L32" s="1131">
        <f ca="1"/>
        <v>0</v>
      </c>
      <c r="M32" s="1131">
        <f ca="1"/>
        <v>0</v>
      </c>
      <c r="N32" s="1131">
        <f ca="1"/>
        <v>0</v>
      </c>
      <c r="O32" s="1157">
        <f t="shared" ca="1" si="2"/>
        <v>0</v>
      </c>
    </row>
    <row r="33" spans="1:15">
      <c r="A33" s="1552" t="str">
        <v/>
      </c>
      <c r="B33" s="1130">
        <v>0.21</v>
      </c>
      <c r="C33" s="1131">
        <f ca="1"/>
        <v>0</v>
      </c>
      <c r="D33" s="1131">
        <f ca="1"/>
        <v>0</v>
      </c>
      <c r="E33" s="1131">
        <f ca="1"/>
        <v>0</v>
      </c>
      <c r="F33" s="1131">
        <f ca="1"/>
        <v>0</v>
      </c>
      <c r="G33" s="1131">
        <f ca="1"/>
        <v>0</v>
      </c>
      <c r="H33" s="1131">
        <f ca="1"/>
        <v>0</v>
      </c>
      <c r="I33" s="1131">
        <f ca="1"/>
        <v>0</v>
      </c>
      <c r="J33" s="1131">
        <f ca="1"/>
        <v>0</v>
      </c>
      <c r="K33" s="1131">
        <f ca="1"/>
        <v>0</v>
      </c>
      <c r="L33" s="1131">
        <f ca="1"/>
        <v>0</v>
      </c>
      <c r="M33" s="1131">
        <f ca="1"/>
        <v>0</v>
      </c>
      <c r="N33" s="1131">
        <f ca="1"/>
        <v>0</v>
      </c>
      <c r="O33" s="1157">
        <f t="shared" ca="1" si="2"/>
        <v>0</v>
      </c>
    </row>
    <row r="34" spans="1:15">
      <c r="A34" s="1552" t="str">
        <v/>
      </c>
      <c r="B34" s="1130">
        <v>0.21</v>
      </c>
      <c r="C34" s="1131">
        <f ca="1"/>
        <v>0</v>
      </c>
      <c r="D34" s="1131">
        <f ca="1"/>
        <v>0</v>
      </c>
      <c r="E34" s="1131">
        <f ca="1"/>
        <v>0</v>
      </c>
      <c r="F34" s="1131">
        <f ca="1"/>
        <v>0</v>
      </c>
      <c r="G34" s="1131">
        <f ca="1"/>
        <v>0</v>
      </c>
      <c r="H34" s="1131">
        <f ca="1"/>
        <v>0</v>
      </c>
      <c r="I34" s="1131">
        <f ca="1"/>
        <v>0</v>
      </c>
      <c r="J34" s="1131">
        <f ca="1"/>
        <v>0</v>
      </c>
      <c r="K34" s="1131">
        <f ca="1"/>
        <v>0</v>
      </c>
      <c r="L34" s="1131">
        <f ca="1"/>
        <v>0</v>
      </c>
      <c r="M34" s="1131">
        <f ca="1"/>
        <v>0</v>
      </c>
      <c r="N34" s="1131">
        <f ca="1"/>
        <v>0</v>
      </c>
      <c r="O34" s="1157">
        <f t="shared" ca="1" si="2"/>
        <v>0</v>
      </c>
    </row>
    <row r="35" spans="1:15">
      <c r="A35" s="1552" t="str">
        <v/>
      </c>
      <c r="B35" s="1130">
        <v>0.21</v>
      </c>
      <c r="C35" s="1131">
        <f ca="1"/>
        <v>0</v>
      </c>
      <c r="D35" s="1131">
        <f ca="1"/>
        <v>0</v>
      </c>
      <c r="E35" s="1131">
        <f ca="1"/>
        <v>0</v>
      </c>
      <c r="F35" s="1131">
        <f ca="1"/>
        <v>0</v>
      </c>
      <c r="G35" s="1131">
        <f ca="1"/>
        <v>0</v>
      </c>
      <c r="H35" s="1131">
        <f ca="1"/>
        <v>0</v>
      </c>
      <c r="I35" s="1131">
        <f ca="1"/>
        <v>0</v>
      </c>
      <c r="J35" s="1131">
        <f ca="1"/>
        <v>0</v>
      </c>
      <c r="K35" s="1131">
        <f ca="1"/>
        <v>0</v>
      </c>
      <c r="L35" s="1131">
        <f ca="1"/>
        <v>0</v>
      </c>
      <c r="M35" s="1131">
        <f ca="1"/>
        <v>0</v>
      </c>
      <c r="N35" s="1131">
        <f ca="1"/>
        <v>0</v>
      </c>
      <c r="O35" s="1157">
        <f t="shared" ca="1" si="2"/>
        <v>0</v>
      </c>
    </row>
    <row r="36" spans="1:15">
      <c r="A36" s="1552" t="str">
        <v/>
      </c>
      <c r="B36" s="1130">
        <v>0.21</v>
      </c>
      <c r="C36" s="1131">
        <f ca="1"/>
        <v>0</v>
      </c>
      <c r="D36" s="1131">
        <f ca="1"/>
        <v>0</v>
      </c>
      <c r="E36" s="1131">
        <f ca="1"/>
        <v>0</v>
      </c>
      <c r="F36" s="1131">
        <f ca="1"/>
        <v>0</v>
      </c>
      <c r="G36" s="1131">
        <f ca="1"/>
        <v>0</v>
      </c>
      <c r="H36" s="1131">
        <f ca="1"/>
        <v>0</v>
      </c>
      <c r="I36" s="1131">
        <f ca="1"/>
        <v>0</v>
      </c>
      <c r="J36" s="1131">
        <f ca="1"/>
        <v>0</v>
      </c>
      <c r="K36" s="1131">
        <f ca="1"/>
        <v>0</v>
      </c>
      <c r="L36" s="1131">
        <f ca="1"/>
        <v>0</v>
      </c>
      <c r="M36" s="1131">
        <f ca="1"/>
        <v>0</v>
      </c>
      <c r="N36" s="1131">
        <f ca="1"/>
        <v>0</v>
      </c>
      <c r="O36" s="1157">
        <f t="shared" ca="1" si="2"/>
        <v>0</v>
      </c>
    </row>
    <row r="37" spans="1:15">
      <c r="A37" s="1552" t="str">
        <v/>
      </c>
      <c r="B37" s="1130">
        <v>0.21</v>
      </c>
      <c r="C37" s="1131">
        <f ca="1"/>
        <v>0</v>
      </c>
      <c r="D37" s="1131">
        <f ca="1"/>
        <v>0</v>
      </c>
      <c r="E37" s="1131">
        <f ca="1"/>
        <v>0</v>
      </c>
      <c r="F37" s="1131">
        <f ca="1"/>
        <v>0</v>
      </c>
      <c r="G37" s="1131">
        <f ca="1"/>
        <v>0</v>
      </c>
      <c r="H37" s="1131">
        <f ca="1"/>
        <v>0</v>
      </c>
      <c r="I37" s="1131">
        <f ca="1"/>
        <v>0</v>
      </c>
      <c r="J37" s="1131">
        <f ca="1"/>
        <v>0</v>
      </c>
      <c r="K37" s="1131">
        <f ca="1"/>
        <v>0</v>
      </c>
      <c r="L37" s="1131">
        <f ca="1"/>
        <v>0</v>
      </c>
      <c r="M37" s="1131">
        <f ca="1"/>
        <v>0</v>
      </c>
      <c r="N37" s="1131">
        <f ca="1"/>
        <v>0</v>
      </c>
      <c r="O37" s="1157">
        <f t="shared" ca="1" si="2"/>
        <v>0</v>
      </c>
    </row>
    <row r="38" spans="1:15" ht="15.75" thickBot="1">
      <c r="A38" s="1774" t="str">
        <v/>
      </c>
      <c r="B38" s="1132">
        <v>0.21</v>
      </c>
      <c r="C38" s="1133">
        <f ca="1"/>
        <v>0</v>
      </c>
      <c r="D38" s="1133">
        <f ca="1"/>
        <v>0</v>
      </c>
      <c r="E38" s="1133">
        <f ca="1"/>
        <v>0</v>
      </c>
      <c r="F38" s="1133">
        <f ca="1"/>
        <v>0</v>
      </c>
      <c r="G38" s="1133">
        <f ca="1"/>
        <v>0</v>
      </c>
      <c r="H38" s="1133">
        <f ca="1"/>
        <v>0</v>
      </c>
      <c r="I38" s="1133">
        <f ca="1"/>
        <v>0</v>
      </c>
      <c r="J38" s="1133">
        <f ca="1"/>
        <v>0</v>
      </c>
      <c r="K38" s="1133">
        <f ca="1"/>
        <v>0</v>
      </c>
      <c r="L38" s="1133">
        <f ca="1"/>
        <v>0</v>
      </c>
      <c r="M38" s="1133">
        <f ca="1"/>
        <v>0</v>
      </c>
      <c r="N38" s="1133">
        <f ca="1"/>
        <v>0</v>
      </c>
      <c r="O38" s="1158">
        <f t="shared" ca="1" si="2"/>
        <v>0</v>
      </c>
    </row>
    <row r="39" spans="1:15" ht="18" customHeight="1">
      <c r="A39" s="1159" t="str">
        <f t="array" ref="A39:A42">'IVA 0'!A39:A42</f>
        <v>Vendas sujetas a IVA</v>
      </c>
      <c r="B39" s="209"/>
      <c r="C39" s="1135">
        <f ca="1">SUMIF($B$31:$B$38,"&lt;&gt;0",C31:C38)</f>
        <v>1113.9449999999999</v>
      </c>
      <c r="D39" s="1136">
        <f t="shared" ref="D39:N39" ca="1" si="3">SUMIF($B$31:$B$38,"&lt;&gt;0",D31:D38)</f>
        <v>1113.9449999999999</v>
      </c>
      <c r="E39" s="1136">
        <f t="shared" ca="1" si="3"/>
        <v>1113.9449999999999</v>
      </c>
      <c r="F39" s="1136">
        <f t="shared" ca="1" si="3"/>
        <v>1113.9449999999999</v>
      </c>
      <c r="G39" s="1136">
        <f t="shared" ca="1" si="3"/>
        <v>1113.9449999999999</v>
      </c>
      <c r="H39" s="1136">
        <f t="shared" ca="1" si="3"/>
        <v>1113.9449999999999</v>
      </c>
      <c r="I39" s="1136">
        <f t="shared" ca="1" si="3"/>
        <v>1113.9449999999999</v>
      </c>
      <c r="J39" s="1136">
        <f t="shared" ca="1" si="3"/>
        <v>1113.9449999999999</v>
      </c>
      <c r="K39" s="1136">
        <f t="shared" ca="1" si="3"/>
        <v>1113.9449999999999</v>
      </c>
      <c r="L39" s="1136">
        <f t="shared" ca="1" si="3"/>
        <v>1113.9449999999999</v>
      </c>
      <c r="M39" s="1136">
        <f t="shared" ca="1" si="3"/>
        <v>1113.9449999999999</v>
      </c>
      <c r="N39" s="1137">
        <f t="shared" ca="1" si="3"/>
        <v>1113.9449999999999</v>
      </c>
      <c r="O39" s="1156">
        <f ca="1">SUM(C39:N39)</f>
        <v>13367.339999999998</v>
      </c>
    </row>
    <row r="40" spans="1:15" ht="18" customHeight="1">
      <c r="A40" s="1160" t="str">
        <v>Vendas exentas de IVA</v>
      </c>
      <c r="B40" s="214"/>
      <c r="C40" s="1138">
        <f>SUMIF($B$31:$B$38,"=0",C31:C38)</f>
        <v>0</v>
      </c>
      <c r="D40" s="1139">
        <f t="shared" ref="D40:N40" si="4">SUMIF($B$31:$B$38,"=0",D31:D38)</f>
        <v>0</v>
      </c>
      <c r="E40" s="1139">
        <f t="shared" si="4"/>
        <v>0</v>
      </c>
      <c r="F40" s="1139">
        <f t="shared" si="4"/>
        <v>0</v>
      </c>
      <c r="G40" s="1139">
        <f t="shared" si="4"/>
        <v>0</v>
      </c>
      <c r="H40" s="1139">
        <f t="shared" si="4"/>
        <v>0</v>
      </c>
      <c r="I40" s="1139">
        <f t="shared" si="4"/>
        <v>0</v>
      </c>
      <c r="J40" s="1139">
        <f t="shared" si="4"/>
        <v>0</v>
      </c>
      <c r="K40" s="1139">
        <f t="shared" si="4"/>
        <v>0</v>
      </c>
      <c r="L40" s="1139">
        <f t="shared" si="4"/>
        <v>0</v>
      </c>
      <c r="M40" s="1139">
        <f t="shared" si="4"/>
        <v>0</v>
      </c>
      <c r="N40" s="1140">
        <f t="shared" si="4"/>
        <v>0</v>
      </c>
      <c r="O40" s="1157">
        <f t="shared" si="2"/>
        <v>0</v>
      </c>
    </row>
    <row r="41" spans="1:15" ht="18" customHeight="1">
      <c r="A41" s="1160" t="str">
        <v>Total Faturação</v>
      </c>
      <c r="B41" s="214"/>
      <c r="C41" s="1138">
        <f t="array" aca="1" ref="C41:N41" ca="1">C40:N40+C39:N39</f>
        <v>1113.9449999999999</v>
      </c>
      <c r="D41" s="1139">
        <f ca="1"/>
        <v>1113.9449999999999</v>
      </c>
      <c r="E41" s="1139">
        <f ca="1"/>
        <v>1113.9449999999999</v>
      </c>
      <c r="F41" s="1139">
        <f ca="1"/>
        <v>1113.9449999999999</v>
      </c>
      <c r="G41" s="1139">
        <f ca="1"/>
        <v>1113.9449999999999</v>
      </c>
      <c r="H41" s="1139">
        <f ca="1"/>
        <v>1113.9449999999999</v>
      </c>
      <c r="I41" s="1139">
        <f ca="1"/>
        <v>1113.9449999999999</v>
      </c>
      <c r="J41" s="1139">
        <f ca="1"/>
        <v>1113.9449999999999</v>
      </c>
      <c r="K41" s="1139">
        <f ca="1"/>
        <v>1113.9449999999999</v>
      </c>
      <c r="L41" s="1139">
        <f ca="1"/>
        <v>1113.9449999999999</v>
      </c>
      <c r="M41" s="1139">
        <f ca="1"/>
        <v>1113.9449999999999</v>
      </c>
      <c r="N41" s="1140">
        <f ca="1"/>
        <v>1113.9449999999999</v>
      </c>
      <c r="O41" s="1157">
        <f t="shared" ca="1" si="2"/>
        <v>13367.339999999998</v>
      </c>
    </row>
    <row r="42" spans="1:15" ht="18" customHeight="1" thickBot="1">
      <c r="A42" s="1161" t="str">
        <v>Coeficiente para a prorrata</v>
      </c>
      <c r="B42" s="215"/>
      <c r="C42" s="3179">
        <f>'IVA 1'!C42</f>
        <v>1</v>
      </c>
      <c r="D42" s="3179">
        <f>IF(IVAmensual=1,    IF(OR(IVAcc,D41&lt;0.1),1,D39/D41), 0)*0</f>
        <v>0</v>
      </c>
      <c r="E42" s="3179">
        <f ca="1">IF(IVAmensual=1, IF(OR(IVAcc,C41&lt;0.1),1,C39/C41),    IF(OR(IVAcc,SUM(C41:E41)&lt;0.4),1,SUM(C39:E39)/SUM(C41:E41)))*0</f>
        <v>0</v>
      </c>
      <c r="F42" s="3179">
        <f>IF(IVAmensual=1,    IF(OR(IVAcc,F41&lt;0.1),1,F39/F41), 0)*0</f>
        <v>0</v>
      </c>
      <c r="G42" s="3179">
        <f>IF(IVAmensual=1,    IF(OR(IVAcc,G41&lt;0.1),1,G39/G41), 0)*0</f>
        <v>0</v>
      </c>
      <c r="H42" s="3179">
        <f ca="1">IF(IVAmensual=1, IF(OR(IVAcc,F41&lt;0.1),1,F39/F41),    IF(OR(IVAcc,SUM(F41:H41)&lt;0.4),1,SUM(F39:H39)/SUM(F41:H41)))*0</f>
        <v>0</v>
      </c>
      <c r="I42" s="3179">
        <f>IF(IVAmensual=1,    IF(OR(IVAcc,I41&lt;0.1),1,I39/I41), 0)*0</f>
        <v>0</v>
      </c>
      <c r="J42" s="3179">
        <f>IF(IVAmensual=1,    IF(OR(IVAcc,J41&lt;0.1),1,J39/J41), 0)*0</f>
        <v>0</v>
      </c>
      <c r="K42" s="3179">
        <f ca="1">IF(IVAmensual=1, IF(OR(IVAcc,I41&lt;0.1),1,I39/I41),    IF(OR(IVAcc,SUM(I41:K41)&lt;0.4),1,SUM(I39:K39)/SUM(I41:K41)))*0</f>
        <v>0</v>
      </c>
      <c r="L42" s="3179">
        <f>IF(IVAmensual=1,    IF(OR(IVAcc,L41&lt;0.1),1,L39/L41), 0)*0</f>
        <v>0</v>
      </c>
      <c r="M42" s="3179">
        <f>IF(IVAmensual=1,    IF(OR(IVAcc,M41&lt;0.1),1,M39/M41), 0)*0</f>
        <v>0</v>
      </c>
      <c r="N42" s="3179">
        <f ca="1">IF(IVAmensual=1, IF(OR(IVAcc,L41&lt;0.1),1,L39/L41),    IF(OR(IVAcc,SUM(L41:N41)&lt;0.4),1,SUM(L39:N39)/SUM(L41:N41)))*0</f>
        <v>0</v>
      </c>
      <c r="O42" s="3180">
        <f ca="1" xml:space="preserve"> IF(OR(IVAcc, O41&lt;0.4), 1, O39/O41   )</f>
        <v>1</v>
      </c>
    </row>
  </sheetData>
  <sheetProtection sheet="1" objects="1" scenarios="1"/>
  <phoneticPr fontId="4" type="noConversion"/>
  <conditionalFormatting sqref="C31:N38">
    <cfRule type="expression" dxfId="10"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47">
    <tabColor indexed="61"/>
    <pageSetUpPr fitToPage="1"/>
  </sheetPr>
  <dimension ref="A1:P42"/>
  <sheetViews>
    <sheetView workbookViewId="0"/>
  </sheetViews>
  <sheetFormatPr baseColWidth="10" defaultColWidth="11" defaultRowHeight="15"/>
  <cols>
    <col min="1" max="1" width="18.625" style="36" customWidth="1"/>
    <col min="2" max="2" width="11" style="36"/>
    <col min="3" max="3" width="13.5" style="36" customWidth="1"/>
    <col min="4" max="5" width="11" style="36"/>
    <col min="6" max="6" width="12.625" style="36" customWidth="1"/>
    <col min="7" max="8" width="11" style="36"/>
    <col min="9" max="9" width="12" style="36" customWidth="1"/>
    <col min="10" max="11" width="11" style="36"/>
    <col min="12" max="12" width="11.375" style="36" customWidth="1"/>
    <col min="13" max="14" width="11" style="36"/>
    <col min="15" max="15" width="11.75" style="36" bestFit="1" customWidth="1"/>
    <col min="16" max="17" width="8.625" style="36" customWidth="1"/>
    <col min="18" max="18" width="9.875" style="36" customWidth="1"/>
    <col min="19" max="20" width="8.625" style="36" customWidth="1"/>
    <col min="21" max="16384" width="11" style="36"/>
  </cols>
  <sheetData>
    <row r="1" spans="1:16" s="68" customFormat="1" ht="22.5">
      <c r="A1" s="68" t="str">
        <f>'IVA 0'!A1</f>
        <v>Previsões de Liquidações de IVA</v>
      </c>
      <c r="B1" s="260"/>
      <c r="F1" s="532" t="str">
        <f>Parametros!E$77</f>
        <v>Ano 3:  2029</v>
      </c>
      <c r="G1" s="260"/>
    </row>
    <row r="2" spans="1:16" s="68" customFormat="1" ht="22.5">
      <c r="A2" s="68" t="str">
        <f>'Prev.Vendas 0'!A2</f>
        <v>WWW, S.L.</v>
      </c>
      <c r="B2" s="260"/>
    </row>
    <row r="3" spans="1:16" ht="15.75" thickBot="1">
      <c r="A3" s="1116"/>
      <c r="B3" s="61"/>
      <c r="C3" s="61"/>
      <c r="D3" s="239"/>
      <c r="E3" s="239"/>
      <c r="F3" s="239"/>
      <c r="G3" s="239"/>
      <c r="H3" s="239"/>
      <c r="I3" s="239"/>
      <c r="J3" s="239"/>
      <c r="K3" s="239"/>
      <c r="L3" s="239"/>
      <c r="M3" s="239"/>
      <c r="N3" s="239"/>
      <c r="O3" s="239"/>
      <c r="P3" s="239"/>
    </row>
    <row r="4" spans="1:16" ht="15.75" thickBot="1">
      <c r="A4" s="1149" t="str">
        <f t="array" ref="A4:A8">'IVA 0'!A4:A8</f>
        <v>IVA Soportado</v>
      </c>
      <c r="B4" s="438"/>
      <c r="C4" s="165" t="str">
        <f t="array" ref="C4:N4">meses</f>
        <v>janeiro</v>
      </c>
      <c r="D4" s="165" t="str">
        <v>fevereiro</v>
      </c>
      <c r="E4" s="165" t="str">
        <v>março</v>
      </c>
      <c r="F4" s="165" t="str">
        <v>abril</v>
      </c>
      <c r="G4" s="165" t="str">
        <v>maio</v>
      </c>
      <c r="H4" s="165" t="str">
        <v>junho</v>
      </c>
      <c r="I4" s="165" t="str">
        <v>julho</v>
      </c>
      <c r="J4" s="165" t="str">
        <v>agosto</v>
      </c>
      <c r="K4" s="165" t="str">
        <v>setembro</v>
      </c>
      <c r="L4" s="165" t="str">
        <v>outubro</v>
      </c>
      <c r="M4" s="165" t="str">
        <v>novembro</v>
      </c>
      <c r="N4" s="165" t="str">
        <v>dezembro</v>
      </c>
      <c r="O4" s="166" t="str">
        <f>'IVA 0'!$O$4</f>
        <v>Totais</v>
      </c>
    </row>
    <row r="5" spans="1:16">
      <c r="A5" s="2488" t="str">
        <v>IVA sop. de Compras e C.V.</v>
      </c>
      <c r="B5" s="2489"/>
      <c r="C5" s="1117">
        <f t="array" aca="1" ref="C5:N5" ca="1">'Distr CV 3'!B67:M67</f>
        <v>35.4351697014</v>
      </c>
      <c r="D5" s="1118">
        <f ca="1"/>
        <v>35.4351697014</v>
      </c>
      <c r="E5" s="1118">
        <f ca="1"/>
        <v>35.4351697014</v>
      </c>
      <c r="F5" s="1118">
        <f ca="1"/>
        <v>35.4351697014</v>
      </c>
      <c r="G5" s="1118">
        <f ca="1"/>
        <v>35.4351697014</v>
      </c>
      <c r="H5" s="1118">
        <f ca="1"/>
        <v>35.4351697014</v>
      </c>
      <c r="I5" s="1118">
        <f ca="1"/>
        <v>35.4351697014</v>
      </c>
      <c r="J5" s="1118">
        <f ca="1"/>
        <v>35.4351697014</v>
      </c>
      <c r="K5" s="1118">
        <f ca="1"/>
        <v>35.4351697014</v>
      </c>
      <c r="L5" s="1118">
        <f ca="1"/>
        <v>35.4351697014</v>
      </c>
      <c r="M5" s="1118">
        <f ca="1"/>
        <v>35.4351697014</v>
      </c>
      <c r="N5" s="1119">
        <f ca="1"/>
        <v>35.4351697014</v>
      </c>
      <c r="O5" s="1150">
        <f ca="1">SUM(C5:N5)</f>
        <v>425.22203641680011</v>
      </c>
    </row>
    <row r="6" spans="1:16">
      <c r="A6" s="1153" t="str">
        <v>IVA sop. de Gastos fixos</v>
      </c>
      <c r="B6" s="1120"/>
      <c r="C6" s="1118">
        <f t="array" aca="1" ref="C6:N6" ca="1">'G.F. 3'!B60:M60</f>
        <v>10.691265656400002</v>
      </c>
      <c r="D6" s="1118">
        <f ca="1"/>
        <v>10.691265656400002</v>
      </c>
      <c r="E6" s="1118">
        <f ca="1"/>
        <v>10.691265656400002</v>
      </c>
      <c r="F6" s="1118">
        <f ca="1"/>
        <v>10.691265656400002</v>
      </c>
      <c r="G6" s="1118">
        <f ca="1"/>
        <v>10.691265656400002</v>
      </c>
      <c r="H6" s="1118">
        <f ca="1"/>
        <v>10.691265656400002</v>
      </c>
      <c r="I6" s="1118">
        <f ca="1"/>
        <v>10.691265656400002</v>
      </c>
      <c r="J6" s="1118">
        <f ca="1"/>
        <v>10.691265656400002</v>
      </c>
      <c r="K6" s="1118">
        <f ca="1"/>
        <v>10.691265656400002</v>
      </c>
      <c r="L6" s="1118">
        <f ca="1"/>
        <v>10.691265656400002</v>
      </c>
      <c r="M6" s="1118">
        <f ca="1"/>
        <v>10.691265656400002</v>
      </c>
      <c r="N6" s="1119">
        <f ca="1"/>
        <v>10.691265656400002</v>
      </c>
      <c r="O6" s="1150">
        <f ca="1">SUM(C6:N6)</f>
        <v>128.29518787680004</v>
      </c>
    </row>
    <row r="7" spans="1:16">
      <c r="A7" s="1153" t="str">
        <v>IVA sop. de investimentos</v>
      </c>
      <c r="B7" s="1121"/>
      <c r="C7" s="1118">
        <f t="array" ref="C7:N7">'Investimentos AC'!$E$44/12+'Investimentos AC'!$E$43/12</f>
        <v>0</v>
      </c>
      <c r="D7" s="1118">
        <v>0</v>
      </c>
      <c r="E7" s="1118">
        <v>0</v>
      </c>
      <c r="F7" s="1118">
        <v>0</v>
      </c>
      <c r="G7" s="1118">
        <v>0</v>
      </c>
      <c r="H7" s="1118">
        <v>0</v>
      </c>
      <c r="I7" s="1118">
        <v>0</v>
      </c>
      <c r="J7" s="1118">
        <v>0</v>
      </c>
      <c r="K7" s="1118">
        <v>0</v>
      </c>
      <c r="L7" s="1118">
        <v>0</v>
      </c>
      <c r="M7" s="1118">
        <v>0</v>
      </c>
      <c r="N7" s="1119">
        <v>0</v>
      </c>
      <c r="O7" s="1150">
        <f>SUM(C7:N7)</f>
        <v>0</v>
      </c>
    </row>
    <row r="8" spans="1:16" ht="15.75" thickBot="1">
      <c r="A8" s="1154" t="str">
        <v>IVA quotas Leasing/Renting</v>
      </c>
      <c r="B8" s="1122"/>
      <c r="C8" s="1123">
        <f t="array" ref="C8:N8">Leasing!B48:M48+Renting!B45:M45</f>
        <v>0</v>
      </c>
      <c r="D8" s="1124">
        <v>0</v>
      </c>
      <c r="E8" s="1124">
        <v>0</v>
      </c>
      <c r="F8" s="1124">
        <v>0</v>
      </c>
      <c r="G8" s="1124">
        <v>0</v>
      </c>
      <c r="H8" s="1124">
        <v>0</v>
      </c>
      <c r="I8" s="1124">
        <v>0</v>
      </c>
      <c r="J8" s="1124">
        <v>0</v>
      </c>
      <c r="K8" s="1124">
        <v>0</v>
      </c>
      <c r="L8" s="1124">
        <v>0</v>
      </c>
      <c r="M8" s="1124">
        <v>0</v>
      </c>
      <c r="N8" s="1125">
        <v>0</v>
      </c>
      <c r="O8" s="1151">
        <f>SUM(C8:N8)</f>
        <v>0</v>
      </c>
    </row>
    <row r="9" spans="1:16" ht="15.75" thickBot="1">
      <c r="A9" s="2490"/>
      <c r="B9" s="2491" t="str">
        <f>'IVA 0'!B9</f>
        <v>Total IVA Soportado</v>
      </c>
      <c r="C9" s="1169">
        <f t="shared" ref="C9:O9" ca="1" si="0">SUM(C5:C8)</f>
        <v>46.126435357800005</v>
      </c>
      <c r="D9" s="1170">
        <f t="shared" ca="1" si="0"/>
        <v>46.126435357800005</v>
      </c>
      <c r="E9" s="1170">
        <f t="shared" ca="1" si="0"/>
        <v>46.126435357800005</v>
      </c>
      <c r="F9" s="1170">
        <f t="shared" ca="1" si="0"/>
        <v>46.126435357800005</v>
      </c>
      <c r="G9" s="1170">
        <f t="shared" ca="1" si="0"/>
        <v>46.126435357800005</v>
      </c>
      <c r="H9" s="1170">
        <f t="shared" ca="1" si="0"/>
        <v>46.126435357800005</v>
      </c>
      <c r="I9" s="1170">
        <f t="shared" ca="1" si="0"/>
        <v>46.126435357800005</v>
      </c>
      <c r="J9" s="1170">
        <f t="shared" ca="1" si="0"/>
        <v>46.126435357800005</v>
      </c>
      <c r="K9" s="1170">
        <f t="shared" ca="1" si="0"/>
        <v>46.126435357800005</v>
      </c>
      <c r="L9" s="1170">
        <f t="shared" ca="1" si="0"/>
        <v>46.126435357800005</v>
      </c>
      <c r="M9" s="1170">
        <f t="shared" ca="1" si="0"/>
        <v>46.126435357800005</v>
      </c>
      <c r="N9" s="1171">
        <f t="shared" ca="1" si="0"/>
        <v>46.126435357800005</v>
      </c>
      <c r="O9" s="1172">
        <f t="shared" ca="1" si="0"/>
        <v>553.51722429360018</v>
      </c>
    </row>
    <row r="10" spans="1:16" ht="15.75" thickBot="1">
      <c r="A10" s="1126"/>
      <c r="C10" s="1127"/>
      <c r="D10" s="1127"/>
      <c r="E10" s="1127"/>
      <c r="F10" s="1127"/>
      <c r="G10" s="1127"/>
      <c r="H10" s="1127"/>
      <c r="I10" s="1127"/>
      <c r="J10" s="1127"/>
      <c r="K10" s="1127"/>
      <c r="L10" s="1127"/>
      <c r="M10" s="1127"/>
      <c r="N10" s="1127"/>
      <c r="O10" s="1127"/>
    </row>
    <row r="11" spans="1:16" ht="15.75" thickBot="1">
      <c r="A11" s="2484" t="str">
        <f t="array" ref="A11:A13">'IVA 0'!A11:A13</f>
        <v>Coeficientes de prorrata Trimestrais</v>
      </c>
      <c r="B11" s="2485"/>
      <c r="C11" s="2527">
        <f t="array" ref="C11:O11">C42:O42</f>
        <v>1</v>
      </c>
      <c r="D11" s="2527">
        <v>0</v>
      </c>
      <c r="E11" s="2528">
        <f ca="1"/>
        <v>0</v>
      </c>
      <c r="F11" s="2527">
        <v>0</v>
      </c>
      <c r="G11" s="2527">
        <v>0</v>
      </c>
      <c r="H11" s="2528">
        <f ca="1"/>
        <v>0</v>
      </c>
      <c r="I11" s="2527">
        <v>0</v>
      </c>
      <c r="J11" s="2527">
        <v>0</v>
      </c>
      <c r="K11" s="2528">
        <f ca="1"/>
        <v>0</v>
      </c>
      <c r="L11" s="2527">
        <v>0</v>
      </c>
      <c r="M11" s="2527">
        <v>0</v>
      </c>
      <c r="N11" s="2528">
        <f ca="1"/>
        <v>0</v>
      </c>
      <c r="O11" s="3177">
        <f ca="1"/>
        <v>1</v>
      </c>
    </row>
    <row r="12" spans="1:16">
      <c r="A12" s="2486" t="str">
        <v>Total IVA soportado deducível</v>
      </c>
      <c r="B12" s="2487"/>
      <c r="C12" s="3176">
        <f t="array" aca="1" ref="C12:N12" ca="1">$C$11*C9:N9</f>
        <v>46.126435357800005</v>
      </c>
      <c r="D12" s="3176">
        <f ca="1"/>
        <v>46.126435357800005</v>
      </c>
      <c r="E12" s="3176">
        <f ca="1"/>
        <v>46.126435357800005</v>
      </c>
      <c r="F12" s="3176">
        <f ca="1"/>
        <v>46.126435357800005</v>
      </c>
      <c r="G12" s="3176">
        <f ca="1"/>
        <v>46.126435357800005</v>
      </c>
      <c r="H12" s="3176">
        <f ca="1"/>
        <v>46.126435357800005</v>
      </c>
      <c r="I12" s="3176">
        <f ca="1"/>
        <v>46.126435357800005</v>
      </c>
      <c r="J12" s="3176">
        <f ca="1"/>
        <v>46.126435357800005</v>
      </c>
      <c r="K12" s="3176">
        <f ca="1"/>
        <v>46.126435357800005</v>
      </c>
      <c r="L12" s="3176">
        <f ca="1"/>
        <v>46.126435357800005</v>
      </c>
      <c r="M12" s="3176">
        <f ca="1"/>
        <v>46.126435357800005</v>
      </c>
      <c r="N12" s="3176">
        <f ca="1"/>
        <v>46.126435357800005</v>
      </c>
      <c r="O12" s="1166">
        <f ca="1">SUM(C12:N12)</f>
        <v>553.51722429360007</v>
      </c>
    </row>
    <row r="13" spans="1:16" ht="16.5" customHeight="1" thickBot="1">
      <c r="A13" s="232" t="str">
        <v>Total IVA soportado para gasto</v>
      </c>
      <c r="B13" s="2483"/>
      <c r="C13" s="1167">
        <f t="array" aca="1" ref="C13:N13" ca="1">C9:N9-C12:N12</f>
        <v>0</v>
      </c>
      <c r="D13" s="1167">
        <f ca="1"/>
        <v>0</v>
      </c>
      <c r="E13" s="1167">
        <f ca="1"/>
        <v>0</v>
      </c>
      <c r="F13" s="1167">
        <f ca="1"/>
        <v>0</v>
      </c>
      <c r="G13" s="1167">
        <f ca="1"/>
        <v>0</v>
      </c>
      <c r="H13" s="1167">
        <f ca="1"/>
        <v>0</v>
      </c>
      <c r="I13" s="1167">
        <f ca="1"/>
        <v>0</v>
      </c>
      <c r="J13" s="1167">
        <f ca="1"/>
        <v>0</v>
      </c>
      <c r="K13" s="1167">
        <f ca="1"/>
        <v>0</v>
      </c>
      <c r="L13" s="1167">
        <f ca="1"/>
        <v>0</v>
      </c>
      <c r="M13" s="1167">
        <f ca="1"/>
        <v>0</v>
      </c>
      <c r="N13" s="1167">
        <f ca="1"/>
        <v>0</v>
      </c>
      <c r="O13" s="1168">
        <f ca="1">SUM(C13:N13)</f>
        <v>0</v>
      </c>
    </row>
    <row r="14" spans="1:16" ht="15.75" thickBot="1"/>
    <row r="15" spans="1:16" ht="15.75" thickBot="1">
      <c r="A15" s="65"/>
      <c r="B15" s="395" t="str">
        <f>'IVA 0'!B15</f>
        <v>Conta Corrente IVA</v>
      </c>
      <c r="C15" s="1162" t="str">
        <f>'Dados Básicos'!$B$32</f>
        <v>Não</v>
      </c>
      <c r="D15" s="2454">
        <f>IVAcc</f>
        <v>0</v>
      </c>
      <c r="F15" s="1164"/>
      <c r="G15" s="694"/>
      <c r="L15" s="65"/>
      <c r="M15" s="375"/>
      <c r="N15" s="3182" t="s">
        <v>1264</v>
      </c>
      <c r="O15" s="3183">
        <f ca="1">-O9*($O$11-$C$11)</f>
        <v>0</v>
      </c>
    </row>
    <row r="17" spans="1:15" s="99" customFormat="1" ht="23.25" thickBot="1">
      <c r="A17" s="68" t="str">
        <f>'IVA 0'!A17</f>
        <v xml:space="preserve">Liquidações Trimestrais de IVA da empresa </v>
      </c>
      <c r="B17" s="260"/>
      <c r="C17" s="68"/>
      <c r="D17" s="68"/>
      <c r="F17" s="260"/>
    </row>
    <row r="18" spans="1:15" ht="15.75" thickBot="1">
      <c r="A18" s="2475"/>
      <c r="B18" s="2476"/>
      <c r="C18" s="1143" t="str">
        <f t="array" ref="C18:N18">meses</f>
        <v>janeiro</v>
      </c>
      <c r="D18" s="1143" t="str">
        <v>fevereiro</v>
      </c>
      <c r="E18" s="1143" t="str">
        <v>março</v>
      </c>
      <c r="F18" s="1143" t="str">
        <v>abril</v>
      </c>
      <c r="G18" s="1143" t="str">
        <v>maio</v>
      </c>
      <c r="H18" s="1143" t="str">
        <v>junho</v>
      </c>
      <c r="I18" s="1143" t="str">
        <v>julho</v>
      </c>
      <c r="J18" s="1143" t="str">
        <v>agosto</v>
      </c>
      <c r="K18" s="1143" t="str">
        <v>setembro</v>
      </c>
      <c r="L18" s="1143" t="str">
        <v>outubro</v>
      </c>
      <c r="M18" s="1143" t="str">
        <v>novembro</v>
      </c>
      <c r="N18" s="1143" t="str">
        <v>dezembro</v>
      </c>
      <c r="O18" s="1144" t="str">
        <f>'IVA 0'!$O$4</f>
        <v>Totais</v>
      </c>
    </row>
    <row r="19" spans="1:15">
      <c r="A19" s="2477" t="str">
        <f t="array" ref="A19:A22">'IVA 0'!A19:A22</f>
        <v>Total IVA Repercutido</v>
      </c>
      <c r="B19" s="2478"/>
      <c r="C19" s="1117">
        <f t="array" aca="1" ref="C19" ca="1">SUM(Parametros!$E$24:$E$31*C31:C38)</f>
        <v>253.10835501</v>
      </c>
      <c r="D19" s="1117">
        <f t="array" aca="1" ref="D19" ca="1">SUM(Parametros!$E$24:$E$31*D31:D38)</f>
        <v>253.10835501</v>
      </c>
      <c r="E19" s="1117">
        <f t="array" aca="1" ref="E19" ca="1">SUM(Parametros!$E$24:$E$31*E31:E38)</f>
        <v>253.10835501</v>
      </c>
      <c r="F19" s="1117">
        <f t="array" aca="1" ref="F19" ca="1">SUM(Parametros!$E$24:$E$31*F31:F38)</f>
        <v>253.10835501</v>
      </c>
      <c r="G19" s="1117">
        <f t="array" aca="1" ref="G19" ca="1">SUM(Parametros!$E$24:$E$31*G31:G38)</f>
        <v>253.10835501</v>
      </c>
      <c r="H19" s="1117">
        <f t="array" aca="1" ref="H19" ca="1">SUM(Parametros!$E$24:$E$31*H31:H38)</f>
        <v>253.10835501</v>
      </c>
      <c r="I19" s="1117">
        <f t="array" aca="1" ref="I19" ca="1">SUM(Parametros!$E$24:$E$31*I31:I38)</f>
        <v>253.10835501</v>
      </c>
      <c r="J19" s="1117">
        <f t="array" aca="1" ref="J19" ca="1">SUM(Parametros!$E$24:$E$31*J31:J38)</f>
        <v>253.10835501</v>
      </c>
      <c r="K19" s="1117">
        <f t="array" aca="1" ref="K19" ca="1">SUM(Parametros!$E$24:$E$31*K31:K38)</f>
        <v>253.10835501</v>
      </c>
      <c r="L19" s="1117">
        <f t="array" aca="1" ref="L19" ca="1">SUM(Parametros!$E$24:$E$31*L31:L38)</f>
        <v>253.10835501</v>
      </c>
      <c r="M19" s="1117">
        <f t="array" aca="1" ref="M19" ca="1">SUM(Parametros!$E$24:$E$31*M31:M38)</f>
        <v>253.10835501</v>
      </c>
      <c r="N19" s="1117">
        <f t="array" aca="1" ref="N19" ca="1">SUM(Parametros!$E$24:$E$31*N31:N38)</f>
        <v>253.10835501</v>
      </c>
      <c r="O19" s="1146">
        <f ca="1">SUM(C19:N19)</f>
        <v>3037.3002601200005</v>
      </c>
    </row>
    <row r="20" spans="1:15">
      <c r="A20" s="2479" t="str">
        <v>Total IVA soportado deducível</v>
      </c>
      <c r="B20" s="2480"/>
      <c r="C20" s="1118">
        <f t="array" aca="1" ref="C20:N20" ca="1">C12:N12</f>
        <v>46.126435357800005</v>
      </c>
      <c r="D20" s="1118">
        <f ca="1"/>
        <v>46.126435357800005</v>
      </c>
      <c r="E20" s="1118">
        <f ca="1"/>
        <v>46.126435357800005</v>
      </c>
      <c r="F20" s="1118">
        <f ca="1"/>
        <v>46.126435357800005</v>
      </c>
      <c r="G20" s="1118">
        <f ca="1"/>
        <v>46.126435357800005</v>
      </c>
      <c r="H20" s="1118">
        <f ca="1"/>
        <v>46.126435357800005</v>
      </c>
      <c r="I20" s="1118">
        <f ca="1"/>
        <v>46.126435357800005</v>
      </c>
      <c r="J20" s="1118">
        <f ca="1"/>
        <v>46.126435357800005</v>
      </c>
      <c r="K20" s="1118">
        <f ca="1"/>
        <v>46.126435357800005</v>
      </c>
      <c r="L20" s="1118">
        <f ca="1"/>
        <v>46.126435357800005</v>
      </c>
      <c r="M20" s="1118">
        <f ca="1"/>
        <v>46.126435357800005</v>
      </c>
      <c r="N20" s="1118">
        <f ca="1"/>
        <v>46.126435357800005</v>
      </c>
      <c r="O20" s="1141">
        <f ca="1">SUM(C20:N20)</f>
        <v>553.51722429360007</v>
      </c>
    </row>
    <row r="21" spans="1:15" ht="15.75" thickBot="1">
      <c r="A21" s="2481" t="str">
        <v>Diferências IVA</v>
      </c>
      <c r="B21" s="2482"/>
      <c r="C21" s="1165">
        <f t="array" aca="1" ref="C21:N21" ca="1">C19:N19-C20:N20</f>
        <v>206.98191965219999</v>
      </c>
      <c r="D21" s="1165">
        <f ca="1"/>
        <v>206.98191965219999</v>
      </c>
      <c r="E21" s="1165">
        <f ca="1"/>
        <v>206.98191965219999</v>
      </c>
      <c r="F21" s="1165">
        <f ca="1"/>
        <v>206.98191965219999</v>
      </c>
      <c r="G21" s="1165">
        <f ca="1"/>
        <v>206.98191965219999</v>
      </c>
      <c r="H21" s="1165">
        <f ca="1"/>
        <v>206.98191965219999</v>
      </c>
      <c r="I21" s="1165">
        <f ca="1"/>
        <v>206.98191965219999</v>
      </c>
      <c r="J21" s="1165">
        <f ca="1"/>
        <v>206.98191965219999</v>
      </c>
      <c r="K21" s="1165">
        <f ca="1"/>
        <v>206.98191965219999</v>
      </c>
      <c r="L21" s="1165">
        <f ca="1"/>
        <v>206.98191965219999</v>
      </c>
      <c r="M21" s="1165">
        <f ca="1"/>
        <v>206.98191965219999</v>
      </c>
      <c r="N21" s="1165">
        <f ca="1"/>
        <v>206.98191965219999</v>
      </c>
      <c r="O21" s="1142">
        <f ca="1">SUM(C21:N21)</f>
        <v>2483.7830358264</v>
      </c>
    </row>
    <row r="22" spans="1:15" s="49" customFormat="1" ht="19.5" customHeight="1">
      <c r="A22" s="2557" t="str">
        <v>Quotas de IVA</v>
      </c>
      <c r="B22" s="2558"/>
      <c r="C22" s="2559">
        <f ca="1">'IVA 2'!O22</f>
        <v>573.82860779999987</v>
      </c>
      <c r="D22" s="2563">
        <f>+IF(IVAmensual=1,  IF(AND(IVAdev=1,C22&lt;0),0,MIN(C22,0))  +C21,0)</f>
        <v>0</v>
      </c>
      <c r="E22" s="2546">
        <f>+IF(IVAmensual=1,    MIN(D22,0)+D21,0)</f>
        <v>0</v>
      </c>
      <c r="F22" s="2563">
        <f ca="1">IF(IVAmensual=0,    IF(AND(IVAdev=1,C22&lt;0),0,MIN(C22,0))+SUM(C21:E21),0)
+IF(IVAmensual=1,    MIN(E22,0)+E21,0)</f>
        <v>620.9457589566</v>
      </c>
      <c r="G22" s="2546">
        <f>+IF(IVAmensual=1,    MIN(F22,0)+F21,0)</f>
        <v>0</v>
      </c>
      <c r="H22" s="2546">
        <f>+IF(IVAmensual=1,    MIN(G22,0)+G21,0)</f>
        <v>0</v>
      </c>
      <c r="I22" s="2546">
        <f ca="1">IF(IVAmensual=0,   MIN(F22,0)+SUM(F21:H21),0)
+IF(IVAmensual=1,    MIN(H22,0)+H21,0)</f>
        <v>620.9457589566</v>
      </c>
      <c r="J22" s="2546">
        <f>+IF(IVAmensual=1,    MIN(I22,0)+I21,0)</f>
        <v>0</v>
      </c>
      <c r="K22" s="2546">
        <f>+IF(IVAmensual=1,    MIN(J22,0)+J21,0)</f>
        <v>0</v>
      </c>
      <c r="L22" s="2546">
        <f ca="1">IF(IVAmensual=0,   MIN(I22,0)+SUM(I21:K21),0)
+IF(IVAmensual=1,    MIN(K22,0)+K21,0)</f>
        <v>620.9457589566</v>
      </c>
      <c r="M22" s="2546">
        <f>+IF(IVAmensual=1,    MIN(L22,0)+L21,0)</f>
        <v>0</v>
      </c>
      <c r="N22" s="2546">
        <f>+IF(IVAmensual=1,    MIN(M22,0)+M21,0)</f>
        <v>0</v>
      </c>
      <c r="O22" s="3178">
        <f ca="1">IF(IVAmensual=0,   MIN(L22,0)+SUM(L21:N21)+O15,0)
+IF(IVAmensual=1,    MIN(N22,0)+N21+O15,0)</f>
        <v>620.9457589566</v>
      </c>
    </row>
    <row r="23" spans="1:15" ht="10.5" customHeight="1">
      <c r="A23" s="388"/>
      <c r="B23" s="2480"/>
      <c r="C23" s="910"/>
      <c r="D23" s="910"/>
      <c r="E23" s="910"/>
      <c r="F23" s="910"/>
      <c r="G23" s="910"/>
      <c r="H23" s="910"/>
      <c r="I23" s="910"/>
      <c r="J23" s="910"/>
      <c r="K23" s="910"/>
      <c r="L23" s="910"/>
      <c r="M23" s="910"/>
      <c r="N23" s="910"/>
      <c r="O23" s="1147"/>
    </row>
    <row r="24" spans="1:15" s="49" customFormat="1" ht="19.5" customHeight="1" thickBot="1">
      <c r="A24" s="2547" t="str">
        <f>'IVA 0'!A24</f>
        <v>Liquidações de IVA</v>
      </c>
      <c r="B24" s="2548"/>
      <c r="C24" s="2549">
        <f t="shared" ref="C24:O24" ca="1" si="1">IF(AND(IVAcc=0,C22&gt;0),C22,0)</f>
        <v>573.82860779999987</v>
      </c>
      <c r="D24" s="2550">
        <f t="shared" si="1"/>
        <v>0</v>
      </c>
      <c r="E24" s="2550">
        <f t="shared" si="1"/>
        <v>0</v>
      </c>
      <c r="F24" s="2550">
        <f t="shared" ca="1" si="1"/>
        <v>620.9457589566</v>
      </c>
      <c r="G24" s="2550">
        <f t="shared" si="1"/>
        <v>0</v>
      </c>
      <c r="H24" s="2550">
        <f t="shared" si="1"/>
        <v>0</v>
      </c>
      <c r="I24" s="2550">
        <f t="shared" ca="1" si="1"/>
        <v>620.9457589566</v>
      </c>
      <c r="J24" s="2550">
        <f t="shared" si="1"/>
        <v>0</v>
      </c>
      <c r="K24" s="2550">
        <f t="shared" si="1"/>
        <v>0</v>
      </c>
      <c r="L24" s="2550">
        <f t="shared" ca="1" si="1"/>
        <v>620.9457589566</v>
      </c>
      <c r="M24" s="2550">
        <f t="shared" si="1"/>
        <v>0</v>
      </c>
      <c r="N24" s="2550">
        <f t="shared" si="1"/>
        <v>0</v>
      </c>
      <c r="O24" s="2551">
        <f t="shared" ca="1" si="1"/>
        <v>620.9457589566</v>
      </c>
    </row>
    <row r="25" spans="1:15" ht="9" customHeight="1" thickBot="1">
      <c r="C25" s="904"/>
      <c r="D25" s="904"/>
      <c r="E25" s="904"/>
      <c r="F25" s="904"/>
      <c r="G25" s="904"/>
      <c r="H25" s="904"/>
      <c r="I25" s="904"/>
      <c r="J25" s="904"/>
      <c r="K25" s="904"/>
      <c r="L25" s="904"/>
      <c r="M25" s="904"/>
      <c r="N25" s="904"/>
      <c r="O25" s="904"/>
    </row>
    <row r="26" spans="1:15" s="49" customFormat="1" ht="18.75" customHeight="1" thickBot="1">
      <c r="A26" s="2552" t="str">
        <f>'IVA 0'!A26</f>
        <v>Devoluções IVA</v>
      </c>
      <c r="B26" s="2553"/>
      <c r="C26" s="2554">
        <f>'IVA 2'!O26</f>
        <v>0</v>
      </c>
      <c r="D26" s="2555">
        <f>-IF(AND(IVAcc,IVAmensual=1),C21,0)</f>
        <v>0</v>
      </c>
      <c r="E26" s="2555">
        <f>-IF(AND(IVAcc,IVAmensual=1),D21,0)</f>
        <v>0</v>
      </c>
      <c r="F26" s="2555">
        <f>-IF(AND(IVAcc,IVAmensual=0),SUM(C21:E21),0)
-IF(AND(IVAcc,IVAmensual=1),E21,0)</f>
        <v>0</v>
      </c>
      <c r="G26" s="2555">
        <f>-IF(AND(IVAcc,IVAmensual=1),F21,0)</f>
        <v>0</v>
      </c>
      <c r="H26" s="2562">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60">
        <f>-IF(AND(IVAcc,IVAmensual=0),SUM(L21:N21),0)
-IF(AND(IVAcc,IVAmensual=1),N21,0)</f>
        <v>0</v>
      </c>
    </row>
    <row r="29" spans="1:15" s="99" customFormat="1" ht="23.25" thickBot="1">
      <c r="A29" s="68" t="str">
        <f>'IVA 0'!A29</f>
        <v>Regra de prorrata</v>
      </c>
      <c r="D29" s="260"/>
      <c r="E29" s="260"/>
    </row>
    <row r="30" spans="1:15" ht="15.75" thickBot="1">
      <c r="A30" s="1155" t="str">
        <f>'IVA 0'!A30</f>
        <v>IVA repercutido</v>
      </c>
      <c r="B30" s="105" t="str">
        <f>'IVA 0'!B30</f>
        <v>taxa IVA</v>
      </c>
      <c r="C30" s="438" t="str">
        <f t="array" ref="C30:N30">meses</f>
        <v>janeiro</v>
      </c>
      <c r="D30" s="165" t="str">
        <v>fevereiro</v>
      </c>
      <c r="E30" s="165" t="str">
        <v>março</v>
      </c>
      <c r="F30" s="165" t="str">
        <v>abril</v>
      </c>
      <c r="G30" s="165" t="str">
        <v>maio</v>
      </c>
      <c r="H30" s="165" t="str">
        <v>junho</v>
      </c>
      <c r="I30" s="165" t="str">
        <v>julho</v>
      </c>
      <c r="J30" s="165" t="str">
        <v>agosto</v>
      </c>
      <c r="K30" s="165" t="str">
        <v>setembro</v>
      </c>
      <c r="L30" s="165" t="str">
        <v>outubro</v>
      </c>
      <c r="M30" s="165" t="str">
        <v>novembro</v>
      </c>
      <c r="N30" s="165" t="str">
        <v>dezembro</v>
      </c>
      <c r="O30" s="166" t="str">
        <f>'IVA 0'!$O$4</f>
        <v>Totais</v>
      </c>
    </row>
    <row r="31" spans="1:15">
      <c r="A31" s="1773" t="str">
        <f t="array" ref="A31:A38">productos</f>
        <v>produto 1</v>
      </c>
      <c r="B31" s="1128">
        <f t="array" ref="B31:B38">Parametros!E24:E31</f>
        <v>0.21</v>
      </c>
      <c r="C31" s="1129">
        <f t="array" aca="1" ref="C31:N38" ca="1">'Prev.Vendas 3'!B17:M24</f>
        <v>1205.277881</v>
      </c>
      <c r="D31" s="1129">
        <f ca="1"/>
        <v>1205.277881</v>
      </c>
      <c r="E31" s="1129">
        <f ca="1"/>
        <v>1205.277881</v>
      </c>
      <c r="F31" s="1129">
        <f ca="1"/>
        <v>1205.277881</v>
      </c>
      <c r="G31" s="1129">
        <f ca="1"/>
        <v>1205.277881</v>
      </c>
      <c r="H31" s="1129">
        <f ca="1"/>
        <v>1205.277881</v>
      </c>
      <c r="I31" s="1129">
        <f ca="1"/>
        <v>1205.277881</v>
      </c>
      <c r="J31" s="1129">
        <f ca="1"/>
        <v>1205.277881</v>
      </c>
      <c r="K31" s="1129">
        <f ca="1"/>
        <v>1205.277881</v>
      </c>
      <c r="L31" s="1129">
        <f ca="1"/>
        <v>1205.277881</v>
      </c>
      <c r="M31" s="1129">
        <f ca="1"/>
        <v>1205.277881</v>
      </c>
      <c r="N31" s="1129">
        <f ca="1"/>
        <v>1205.277881</v>
      </c>
      <c r="O31" s="1156">
        <f t="shared" ref="O31:O41" ca="1" si="2">SUM(C31:N31)</f>
        <v>14463.334572</v>
      </c>
    </row>
    <row r="32" spans="1:15">
      <c r="A32" s="1552" t="str">
        <v/>
      </c>
      <c r="B32" s="1130">
        <v>0.21</v>
      </c>
      <c r="C32" s="1131">
        <f ca="1"/>
        <v>0</v>
      </c>
      <c r="D32" s="1131">
        <f ca="1"/>
        <v>0</v>
      </c>
      <c r="E32" s="1131">
        <f ca="1"/>
        <v>0</v>
      </c>
      <c r="F32" s="1131">
        <f ca="1"/>
        <v>0</v>
      </c>
      <c r="G32" s="1131">
        <f ca="1"/>
        <v>0</v>
      </c>
      <c r="H32" s="1131">
        <f ca="1"/>
        <v>0</v>
      </c>
      <c r="I32" s="1131">
        <f ca="1"/>
        <v>0</v>
      </c>
      <c r="J32" s="1131">
        <f ca="1"/>
        <v>0</v>
      </c>
      <c r="K32" s="1131">
        <f ca="1"/>
        <v>0</v>
      </c>
      <c r="L32" s="1131">
        <f ca="1"/>
        <v>0</v>
      </c>
      <c r="M32" s="1131">
        <f ca="1"/>
        <v>0</v>
      </c>
      <c r="N32" s="1131">
        <f ca="1"/>
        <v>0</v>
      </c>
      <c r="O32" s="1157">
        <f t="shared" ca="1" si="2"/>
        <v>0</v>
      </c>
    </row>
    <row r="33" spans="1:15">
      <c r="A33" s="1552" t="str">
        <v/>
      </c>
      <c r="B33" s="1130">
        <v>0.21</v>
      </c>
      <c r="C33" s="1131">
        <f ca="1"/>
        <v>0</v>
      </c>
      <c r="D33" s="1131">
        <f ca="1"/>
        <v>0</v>
      </c>
      <c r="E33" s="1131">
        <f ca="1"/>
        <v>0</v>
      </c>
      <c r="F33" s="1131">
        <f ca="1"/>
        <v>0</v>
      </c>
      <c r="G33" s="1131">
        <f ca="1"/>
        <v>0</v>
      </c>
      <c r="H33" s="1131">
        <f ca="1"/>
        <v>0</v>
      </c>
      <c r="I33" s="1131">
        <f ca="1"/>
        <v>0</v>
      </c>
      <c r="J33" s="1131">
        <f ca="1"/>
        <v>0</v>
      </c>
      <c r="K33" s="1131">
        <f ca="1"/>
        <v>0</v>
      </c>
      <c r="L33" s="1131">
        <f ca="1"/>
        <v>0</v>
      </c>
      <c r="M33" s="1131">
        <f ca="1"/>
        <v>0</v>
      </c>
      <c r="N33" s="1131">
        <f ca="1"/>
        <v>0</v>
      </c>
      <c r="O33" s="1157">
        <f t="shared" ca="1" si="2"/>
        <v>0</v>
      </c>
    </row>
    <row r="34" spans="1:15">
      <c r="A34" s="1552" t="str">
        <v/>
      </c>
      <c r="B34" s="1130">
        <v>0.21</v>
      </c>
      <c r="C34" s="1131">
        <f ca="1"/>
        <v>0</v>
      </c>
      <c r="D34" s="1131">
        <f ca="1"/>
        <v>0</v>
      </c>
      <c r="E34" s="1131">
        <f ca="1"/>
        <v>0</v>
      </c>
      <c r="F34" s="1131">
        <f ca="1"/>
        <v>0</v>
      </c>
      <c r="G34" s="1131">
        <f ca="1"/>
        <v>0</v>
      </c>
      <c r="H34" s="1131">
        <f ca="1"/>
        <v>0</v>
      </c>
      <c r="I34" s="1131">
        <f ca="1"/>
        <v>0</v>
      </c>
      <c r="J34" s="1131">
        <f ca="1"/>
        <v>0</v>
      </c>
      <c r="K34" s="1131">
        <f ca="1"/>
        <v>0</v>
      </c>
      <c r="L34" s="1131">
        <f ca="1"/>
        <v>0</v>
      </c>
      <c r="M34" s="1131">
        <f ca="1"/>
        <v>0</v>
      </c>
      <c r="N34" s="1131">
        <f ca="1"/>
        <v>0</v>
      </c>
      <c r="O34" s="1157">
        <f t="shared" ca="1" si="2"/>
        <v>0</v>
      </c>
    </row>
    <row r="35" spans="1:15">
      <c r="A35" s="1552" t="str">
        <v/>
      </c>
      <c r="B35" s="1130">
        <v>0.21</v>
      </c>
      <c r="C35" s="1131">
        <f ca="1"/>
        <v>0</v>
      </c>
      <c r="D35" s="1131">
        <f ca="1"/>
        <v>0</v>
      </c>
      <c r="E35" s="1131">
        <f ca="1"/>
        <v>0</v>
      </c>
      <c r="F35" s="1131">
        <f ca="1"/>
        <v>0</v>
      </c>
      <c r="G35" s="1131">
        <f ca="1"/>
        <v>0</v>
      </c>
      <c r="H35" s="1131">
        <f ca="1"/>
        <v>0</v>
      </c>
      <c r="I35" s="1131">
        <f ca="1"/>
        <v>0</v>
      </c>
      <c r="J35" s="1131">
        <f ca="1"/>
        <v>0</v>
      </c>
      <c r="K35" s="1131">
        <f ca="1"/>
        <v>0</v>
      </c>
      <c r="L35" s="1131">
        <f ca="1"/>
        <v>0</v>
      </c>
      <c r="M35" s="1131">
        <f ca="1"/>
        <v>0</v>
      </c>
      <c r="N35" s="1131">
        <f ca="1"/>
        <v>0</v>
      </c>
      <c r="O35" s="1157">
        <f t="shared" ca="1" si="2"/>
        <v>0</v>
      </c>
    </row>
    <row r="36" spans="1:15">
      <c r="A36" s="1552" t="str">
        <v/>
      </c>
      <c r="B36" s="1130">
        <v>0.21</v>
      </c>
      <c r="C36" s="1131">
        <f ca="1"/>
        <v>0</v>
      </c>
      <c r="D36" s="1131">
        <f ca="1"/>
        <v>0</v>
      </c>
      <c r="E36" s="1131">
        <f ca="1"/>
        <v>0</v>
      </c>
      <c r="F36" s="1131">
        <f ca="1"/>
        <v>0</v>
      </c>
      <c r="G36" s="1131">
        <f ca="1"/>
        <v>0</v>
      </c>
      <c r="H36" s="1131">
        <f ca="1"/>
        <v>0</v>
      </c>
      <c r="I36" s="1131">
        <f ca="1"/>
        <v>0</v>
      </c>
      <c r="J36" s="1131">
        <f ca="1"/>
        <v>0</v>
      </c>
      <c r="K36" s="1131">
        <f ca="1"/>
        <v>0</v>
      </c>
      <c r="L36" s="1131">
        <f ca="1"/>
        <v>0</v>
      </c>
      <c r="M36" s="1131">
        <f ca="1"/>
        <v>0</v>
      </c>
      <c r="N36" s="1131">
        <f ca="1"/>
        <v>0</v>
      </c>
      <c r="O36" s="1157">
        <f t="shared" ca="1" si="2"/>
        <v>0</v>
      </c>
    </row>
    <row r="37" spans="1:15">
      <c r="A37" s="1552" t="str">
        <v/>
      </c>
      <c r="B37" s="1130">
        <v>0.21</v>
      </c>
      <c r="C37" s="1131">
        <f ca="1"/>
        <v>0</v>
      </c>
      <c r="D37" s="1131">
        <f ca="1"/>
        <v>0</v>
      </c>
      <c r="E37" s="1131">
        <f ca="1"/>
        <v>0</v>
      </c>
      <c r="F37" s="1131">
        <f ca="1"/>
        <v>0</v>
      </c>
      <c r="G37" s="1131">
        <f ca="1"/>
        <v>0</v>
      </c>
      <c r="H37" s="1131">
        <f ca="1"/>
        <v>0</v>
      </c>
      <c r="I37" s="1131">
        <f ca="1"/>
        <v>0</v>
      </c>
      <c r="J37" s="1131">
        <f ca="1"/>
        <v>0</v>
      </c>
      <c r="K37" s="1131">
        <f ca="1"/>
        <v>0</v>
      </c>
      <c r="L37" s="1131">
        <f ca="1"/>
        <v>0</v>
      </c>
      <c r="M37" s="1131">
        <f ca="1"/>
        <v>0</v>
      </c>
      <c r="N37" s="1131">
        <f ca="1"/>
        <v>0</v>
      </c>
      <c r="O37" s="1157">
        <f t="shared" ca="1" si="2"/>
        <v>0</v>
      </c>
    </row>
    <row r="38" spans="1:15" ht="15.75" thickBot="1">
      <c r="A38" s="1774" t="str">
        <v/>
      </c>
      <c r="B38" s="1132">
        <v>0.21</v>
      </c>
      <c r="C38" s="1133">
        <f ca="1"/>
        <v>0</v>
      </c>
      <c r="D38" s="1133">
        <f ca="1"/>
        <v>0</v>
      </c>
      <c r="E38" s="1133">
        <f ca="1"/>
        <v>0</v>
      </c>
      <c r="F38" s="1133">
        <f ca="1"/>
        <v>0</v>
      </c>
      <c r="G38" s="1133">
        <f ca="1"/>
        <v>0</v>
      </c>
      <c r="H38" s="1133">
        <f ca="1"/>
        <v>0</v>
      </c>
      <c r="I38" s="1133">
        <f ca="1"/>
        <v>0</v>
      </c>
      <c r="J38" s="1133">
        <f ca="1"/>
        <v>0</v>
      </c>
      <c r="K38" s="1133">
        <f ca="1"/>
        <v>0</v>
      </c>
      <c r="L38" s="1133">
        <f ca="1"/>
        <v>0</v>
      </c>
      <c r="M38" s="1133">
        <f ca="1"/>
        <v>0</v>
      </c>
      <c r="N38" s="1133">
        <f ca="1"/>
        <v>0</v>
      </c>
      <c r="O38" s="1158">
        <f t="shared" ca="1" si="2"/>
        <v>0</v>
      </c>
    </row>
    <row r="39" spans="1:15" ht="18" customHeight="1">
      <c r="A39" s="1159" t="str">
        <f t="array" ref="A39:A42">'IVA 0'!A39:A42</f>
        <v>Vendas sujetas a IVA</v>
      </c>
      <c r="B39" s="209"/>
      <c r="C39" s="1135">
        <f t="shared" ref="C39:N39" ca="1" si="3">SUMIF($B$31:$B$38,"&lt;&gt;0",C31:C38)</f>
        <v>1205.277881</v>
      </c>
      <c r="D39" s="1136">
        <f t="shared" ca="1" si="3"/>
        <v>1205.277881</v>
      </c>
      <c r="E39" s="1136">
        <f t="shared" ca="1" si="3"/>
        <v>1205.277881</v>
      </c>
      <c r="F39" s="1136">
        <f t="shared" ca="1" si="3"/>
        <v>1205.277881</v>
      </c>
      <c r="G39" s="1136">
        <f t="shared" ca="1" si="3"/>
        <v>1205.277881</v>
      </c>
      <c r="H39" s="1136">
        <f t="shared" ca="1" si="3"/>
        <v>1205.277881</v>
      </c>
      <c r="I39" s="1136">
        <f t="shared" ca="1" si="3"/>
        <v>1205.277881</v>
      </c>
      <c r="J39" s="1136">
        <f t="shared" ca="1" si="3"/>
        <v>1205.277881</v>
      </c>
      <c r="K39" s="1136">
        <f t="shared" ca="1" si="3"/>
        <v>1205.277881</v>
      </c>
      <c r="L39" s="1136">
        <f t="shared" ca="1" si="3"/>
        <v>1205.277881</v>
      </c>
      <c r="M39" s="1136">
        <f t="shared" ca="1" si="3"/>
        <v>1205.277881</v>
      </c>
      <c r="N39" s="1137">
        <f t="shared" ca="1" si="3"/>
        <v>1205.277881</v>
      </c>
      <c r="O39" s="1156">
        <f t="shared" ca="1" si="2"/>
        <v>14463.334572</v>
      </c>
    </row>
    <row r="40" spans="1:15" ht="18" customHeight="1">
      <c r="A40" s="1160" t="str">
        <v>Vendas exentas de IVA</v>
      </c>
      <c r="B40" s="214"/>
      <c r="C40" s="1138">
        <f t="shared" ref="C40:N40" si="4">SUMIF($B$31:$B$38,"=0",C31:C38)</f>
        <v>0</v>
      </c>
      <c r="D40" s="1139">
        <f t="shared" si="4"/>
        <v>0</v>
      </c>
      <c r="E40" s="1139">
        <f t="shared" si="4"/>
        <v>0</v>
      </c>
      <c r="F40" s="1139">
        <f t="shared" si="4"/>
        <v>0</v>
      </c>
      <c r="G40" s="1139">
        <f t="shared" si="4"/>
        <v>0</v>
      </c>
      <c r="H40" s="1139">
        <f t="shared" si="4"/>
        <v>0</v>
      </c>
      <c r="I40" s="1139">
        <f t="shared" si="4"/>
        <v>0</v>
      </c>
      <c r="J40" s="1139">
        <f t="shared" si="4"/>
        <v>0</v>
      </c>
      <c r="K40" s="1139">
        <f t="shared" si="4"/>
        <v>0</v>
      </c>
      <c r="L40" s="1139">
        <f t="shared" si="4"/>
        <v>0</v>
      </c>
      <c r="M40" s="1139">
        <f t="shared" si="4"/>
        <v>0</v>
      </c>
      <c r="N40" s="1140">
        <f t="shared" si="4"/>
        <v>0</v>
      </c>
      <c r="O40" s="1157">
        <f t="shared" si="2"/>
        <v>0</v>
      </c>
    </row>
    <row r="41" spans="1:15" ht="18" customHeight="1">
      <c r="A41" s="1160" t="str">
        <v>Total Faturação</v>
      </c>
      <c r="B41" s="214"/>
      <c r="C41" s="1138">
        <f t="array" aca="1" ref="C41:N41" ca="1">C40:N40+C39:N39</f>
        <v>1205.277881</v>
      </c>
      <c r="D41" s="1139">
        <f ca="1"/>
        <v>1205.277881</v>
      </c>
      <c r="E41" s="1139">
        <f ca="1"/>
        <v>1205.277881</v>
      </c>
      <c r="F41" s="1139">
        <f ca="1"/>
        <v>1205.277881</v>
      </c>
      <c r="G41" s="1139">
        <f ca="1"/>
        <v>1205.277881</v>
      </c>
      <c r="H41" s="1139">
        <f ca="1"/>
        <v>1205.277881</v>
      </c>
      <c r="I41" s="1139">
        <f ca="1"/>
        <v>1205.277881</v>
      </c>
      <c r="J41" s="1139">
        <f ca="1"/>
        <v>1205.277881</v>
      </c>
      <c r="K41" s="1139">
        <f ca="1"/>
        <v>1205.277881</v>
      </c>
      <c r="L41" s="1139">
        <f ca="1"/>
        <v>1205.277881</v>
      </c>
      <c r="M41" s="1139">
        <f ca="1"/>
        <v>1205.277881</v>
      </c>
      <c r="N41" s="1140">
        <f ca="1"/>
        <v>1205.277881</v>
      </c>
      <c r="O41" s="1157">
        <f t="shared" ca="1" si="2"/>
        <v>14463.334572</v>
      </c>
    </row>
    <row r="42" spans="1:15" ht="18" customHeight="1" thickBot="1">
      <c r="A42" s="1161" t="str">
        <v>Coeficiente para a prorrata</v>
      </c>
      <c r="B42" s="215"/>
      <c r="C42" s="3179">
        <f>'IVA 2'!C42</f>
        <v>1</v>
      </c>
      <c r="D42" s="3179">
        <f>IF(IVAmensual=1,    IF(OR(IVAcc,D41&lt;0.1),1,D39/D41), 0)*0</f>
        <v>0</v>
      </c>
      <c r="E42" s="3179">
        <f ca="1">IF(IVAmensual=1, IF(OR(IVAcc,C41&lt;0.1),1,C39/C41),    IF(OR(IVAcc,SUM(C41:E41)&lt;0.4),1,SUM(C39:E39)/SUM(C41:E41)))*0</f>
        <v>0</v>
      </c>
      <c r="F42" s="3179">
        <f>IF(IVAmensual=1,    IF(OR(IVAcc,F41&lt;0.1),1,F39/F41), 0)*0</f>
        <v>0</v>
      </c>
      <c r="G42" s="3179">
        <f>IF(IVAmensual=1,    IF(OR(IVAcc,G41&lt;0.1),1,G39/G41), 0)*0</f>
        <v>0</v>
      </c>
      <c r="H42" s="3179">
        <f ca="1">IF(IVAmensual=1, IF(OR(IVAcc,F41&lt;0.1),1,F39/F41),    IF(OR(IVAcc,SUM(F41:H41)&lt;0.4),1,SUM(F39:H39)/SUM(F41:H41)))*0</f>
        <v>0</v>
      </c>
      <c r="I42" s="3179">
        <f>IF(IVAmensual=1,    IF(OR(IVAcc,I41&lt;0.1),1,I39/I41), 0)*0</f>
        <v>0</v>
      </c>
      <c r="J42" s="3179">
        <f>IF(IVAmensual=1,    IF(OR(IVAcc,J41&lt;0.1),1,J39/J41), 0)*0</f>
        <v>0</v>
      </c>
      <c r="K42" s="3179">
        <f ca="1">IF(IVAmensual=1, IF(OR(IVAcc,I41&lt;0.1),1,I39/I41),    IF(OR(IVAcc,SUM(I41:K41)&lt;0.4),1,SUM(I39:K39)/SUM(I41:K41)))*0</f>
        <v>0</v>
      </c>
      <c r="L42" s="3179">
        <f>IF(IVAmensual=1,    IF(OR(IVAcc,L41&lt;0.1),1,L39/L41), 0)*0</f>
        <v>0</v>
      </c>
      <c r="M42" s="3179">
        <f>IF(IVAmensual=1,    IF(OR(IVAcc,M41&lt;0.1),1,M39/M41), 0)*0</f>
        <v>0</v>
      </c>
      <c r="N42" s="3179">
        <f ca="1">IF(IVAmensual=1, IF(OR(IVAcc,L41&lt;0.1),1,L39/L41),    IF(OR(IVAcc,SUM(L41:N41)&lt;0.4),1,SUM(L39:N39)/SUM(L41:N41)))*0</f>
        <v>0</v>
      </c>
      <c r="O42" s="3180">
        <f ca="1" xml:space="preserve"> IF(OR(IVAcc, O41&lt;0.4), 1, O39/O41   )</f>
        <v>1</v>
      </c>
    </row>
  </sheetData>
  <sheetProtection sheet="1" objects="1" scenarios="1"/>
  <phoneticPr fontId="4" type="noConversion"/>
  <conditionalFormatting sqref="C31:N38">
    <cfRule type="expression" dxfId="9"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48">
    <tabColor indexed="61"/>
    <pageSetUpPr fitToPage="1"/>
  </sheetPr>
  <dimension ref="A1:P42"/>
  <sheetViews>
    <sheetView workbookViewId="0"/>
  </sheetViews>
  <sheetFormatPr baseColWidth="10" defaultColWidth="11" defaultRowHeight="15"/>
  <cols>
    <col min="1" max="1" width="18.625" style="36" customWidth="1"/>
    <col min="2" max="2" width="11" style="36"/>
    <col min="3" max="3" width="13.5" style="36" customWidth="1"/>
    <col min="4" max="5" width="11" style="36"/>
    <col min="6" max="6" width="12.625" style="36" customWidth="1"/>
    <col min="7" max="8" width="11" style="36"/>
    <col min="9" max="9" width="12" style="36" customWidth="1"/>
    <col min="10" max="11" width="11" style="36"/>
    <col min="12" max="12" width="11.375" style="36" customWidth="1"/>
    <col min="13" max="14" width="11" style="36"/>
    <col min="15" max="15" width="11.75" style="36" bestFit="1" customWidth="1"/>
    <col min="16" max="17" width="8.625" style="36" customWidth="1"/>
    <col min="18" max="18" width="9.875" style="36" customWidth="1"/>
    <col min="19" max="20" width="8.625" style="36" customWidth="1"/>
    <col min="21" max="16384" width="11" style="36"/>
  </cols>
  <sheetData>
    <row r="1" spans="1:16" s="68" customFormat="1" ht="22.5">
      <c r="A1" s="68" t="str">
        <f>'IVA 0'!A1</f>
        <v>Previsões de Liquidações de IVA</v>
      </c>
      <c r="B1" s="260"/>
      <c r="F1" s="532" t="str">
        <f>Parametros!F$77</f>
        <v>Ano 4:  2030</v>
      </c>
      <c r="G1" s="241"/>
    </row>
    <row r="2" spans="1:16" s="68" customFormat="1" ht="22.5">
      <c r="A2" s="68" t="str">
        <f>'Prev.Vendas 0'!A2</f>
        <v>WWW, S.L.</v>
      </c>
      <c r="B2" s="260"/>
    </row>
    <row r="3" spans="1:16" ht="15.75" thickBot="1">
      <c r="A3" s="1116"/>
      <c r="B3" s="61"/>
      <c r="C3" s="61"/>
      <c r="D3" s="239"/>
      <c r="E3" s="239"/>
      <c r="F3" s="239"/>
      <c r="G3" s="239"/>
      <c r="H3" s="239"/>
      <c r="I3" s="239"/>
      <c r="J3" s="239"/>
      <c r="K3" s="239"/>
      <c r="L3" s="239"/>
      <c r="M3" s="239"/>
      <c r="N3" s="239"/>
      <c r="O3" s="239"/>
      <c r="P3" s="239"/>
    </row>
    <row r="4" spans="1:16" ht="15.75" thickBot="1">
      <c r="A4" s="1149" t="str">
        <f t="array" ref="A4:A8">'IVA 0'!A4:A8</f>
        <v>IVA Soportado</v>
      </c>
      <c r="B4" s="438"/>
      <c r="C4" s="165" t="str">
        <f t="array" ref="C4:N4">meses</f>
        <v>janeiro</v>
      </c>
      <c r="D4" s="165" t="str">
        <v>fevereiro</v>
      </c>
      <c r="E4" s="165" t="str">
        <v>março</v>
      </c>
      <c r="F4" s="165" t="str">
        <v>abril</v>
      </c>
      <c r="G4" s="165" t="str">
        <v>maio</v>
      </c>
      <c r="H4" s="165" t="str">
        <v>junho</v>
      </c>
      <c r="I4" s="165" t="str">
        <v>julho</v>
      </c>
      <c r="J4" s="165" t="str">
        <v>agosto</v>
      </c>
      <c r="K4" s="165" t="str">
        <v>setembro</v>
      </c>
      <c r="L4" s="165" t="str">
        <v>outubro</v>
      </c>
      <c r="M4" s="165" t="str">
        <v>novembro</v>
      </c>
      <c r="N4" s="165" t="str">
        <v>dezembro</v>
      </c>
      <c r="O4" s="166" t="str">
        <f>'IVA 0'!$O$4</f>
        <v>Totais</v>
      </c>
    </row>
    <row r="5" spans="1:16">
      <c r="A5" s="2488" t="str">
        <v>IVA sop. de Compras e C.V.</v>
      </c>
      <c r="B5" s="2489"/>
      <c r="C5" s="1117">
        <f t="array" aca="1" ref="C5:N5" ca="1">'Distr CV 4'!B67:M67</f>
        <v>38.318172538211996</v>
      </c>
      <c r="D5" s="1118">
        <f ca="1"/>
        <v>38.318172538211996</v>
      </c>
      <c r="E5" s="1118">
        <f ca="1"/>
        <v>38.318172538211996</v>
      </c>
      <c r="F5" s="1118">
        <f ca="1"/>
        <v>38.318172538211996</v>
      </c>
      <c r="G5" s="1118">
        <f ca="1"/>
        <v>38.318172538211996</v>
      </c>
      <c r="H5" s="1118">
        <f ca="1"/>
        <v>38.318172538211996</v>
      </c>
      <c r="I5" s="1118">
        <f ca="1"/>
        <v>38.318172538211996</v>
      </c>
      <c r="J5" s="1118">
        <f ca="1"/>
        <v>38.318172538211996</v>
      </c>
      <c r="K5" s="1118">
        <f ca="1"/>
        <v>38.318172538211996</v>
      </c>
      <c r="L5" s="1118">
        <f ca="1"/>
        <v>38.318172538211996</v>
      </c>
      <c r="M5" s="1118">
        <f ca="1"/>
        <v>38.318172538211996</v>
      </c>
      <c r="N5" s="1119">
        <f ca="1"/>
        <v>38.318172538211996</v>
      </c>
      <c r="O5" s="1150">
        <f ca="1">SUM(C5:N5)</f>
        <v>459.81807045854407</v>
      </c>
    </row>
    <row r="6" spans="1:16">
      <c r="A6" s="1153" t="str">
        <v>IVA sop. de Gastos fixos</v>
      </c>
      <c r="B6" s="1120"/>
      <c r="C6" s="1118">
        <f t="array" aca="1" ref="C6:N6" ca="1">'G.F. 4'!B60:M60</f>
        <v>11.537658010871999</v>
      </c>
      <c r="D6" s="1118">
        <f ca="1"/>
        <v>11.537658010871999</v>
      </c>
      <c r="E6" s="1118">
        <f ca="1"/>
        <v>11.537658010871999</v>
      </c>
      <c r="F6" s="1118">
        <f ca="1"/>
        <v>11.537658010871999</v>
      </c>
      <c r="G6" s="1118">
        <f ca="1"/>
        <v>11.537658010871999</v>
      </c>
      <c r="H6" s="1118">
        <f ca="1"/>
        <v>11.537658010871999</v>
      </c>
      <c r="I6" s="1118">
        <f ca="1"/>
        <v>11.537658010871999</v>
      </c>
      <c r="J6" s="1118">
        <f ca="1"/>
        <v>11.537658010871999</v>
      </c>
      <c r="K6" s="1118">
        <f ca="1"/>
        <v>11.537658010871999</v>
      </c>
      <c r="L6" s="1118">
        <f ca="1"/>
        <v>11.537658010871999</v>
      </c>
      <c r="M6" s="1118">
        <f ca="1"/>
        <v>11.537658010871999</v>
      </c>
      <c r="N6" s="1119">
        <f ca="1"/>
        <v>11.537658010871999</v>
      </c>
      <c r="O6" s="1150">
        <f ca="1">SUM(C6:N6)</f>
        <v>138.45189613046395</v>
      </c>
    </row>
    <row r="7" spans="1:16">
      <c r="A7" s="1153" t="str">
        <v>IVA sop. de investimentos</v>
      </c>
      <c r="B7" s="1121"/>
      <c r="C7" s="1118">
        <f t="array" ref="C7:N7">'Investimentos AC'!$F$44/12+'Investimentos AC'!$F$43/12</f>
        <v>0</v>
      </c>
      <c r="D7" s="1118">
        <v>0</v>
      </c>
      <c r="E7" s="1118">
        <v>0</v>
      </c>
      <c r="F7" s="1118">
        <v>0</v>
      </c>
      <c r="G7" s="1118">
        <v>0</v>
      </c>
      <c r="H7" s="1118">
        <v>0</v>
      </c>
      <c r="I7" s="1118">
        <v>0</v>
      </c>
      <c r="J7" s="1118">
        <v>0</v>
      </c>
      <c r="K7" s="1118">
        <v>0</v>
      </c>
      <c r="L7" s="1118">
        <v>0</v>
      </c>
      <c r="M7" s="1118">
        <v>0</v>
      </c>
      <c r="N7" s="1119">
        <v>0</v>
      </c>
      <c r="O7" s="1150">
        <f>SUM(C7:N7)</f>
        <v>0</v>
      </c>
    </row>
    <row r="8" spans="1:16" ht="15.75" thickBot="1">
      <c r="A8" s="1154" t="str">
        <v>IVA quotas Leasing/Renting</v>
      </c>
      <c r="B8" s="1122"/>
      <c r="C8" s="1123">
        <f t="array" ref="C8:N8">Leasing!B56:M56+Renting!B52:M52</f>
        <v>0</v>
      </c>
      <c r="D8" s="1124">
        <v>0</v>
      </c>
      <c r="E8" s="1124">
        <v>0</v>
      </c>
      <c r="F8" s="1124">
        <v>0</v>
      </c>
      <c r="G8" s="1124">
        <v>0</v>
      </c>
      <c r="H8" s="1124">
        <v>0</v>
      </c>
      <c r="I8" s="1124">
        <v>0</v>
      </c>
      <c r="J8" s="1124">
        <v>0</v>
      </c>
      <c r="K8" s="1124">
        <v>0</v>
      </c>
      <c r="L8" s="1124">
        <v>0</v>
      </c>
      <c r="M8" s="1124">
        <v>0</v>
      </c>
      <c r="N8" s="1125">
        <v>0</v>
      </c>
      <c r="O8" s="1151">
        <f>SUM(C8:N8)</f>
        <v>0</v>
      </c>
    </row>
    <row r="9" spans="1:16" ht="15.75" thickBot="1">
      <c r="A9" s="2490"/>
      <c r="B9" s="2491" t="str">
        <f>'IVA 0'!B9</f>
        <v>Total IVA Soportado</v>
      </c>
      <c r="C9" s="1169">
        <f t="shared" ref="C9:O9" ca="1" si="0">SUM(C5:C8)</f>
        <v>49.855830549083997</v>
      </c>
      <c r="D9" s="1170">
        <f t="shared" ca="1" si="0"/>
        <v>49.855830549083997</v>
      </c>
      <c r="E9" s="1170">
        <f t="shared" ca="1" si="0"/>
        <v>49.855830549083997</v>
      </c>
      <c r="F9" s="1170">
        <f t="shared" ca="1" si="0"/>
        <v>49.855830549083997</v>
      </c>
      <c r="G9" s="1170">
        <f t="shared" ca="1" si="0"/>
        <v>49.855830549083997</v>
      </c>
      <c r="H9" s="1170">
        <f t="shared" ca="1" si="0"/>
        <v>49.855830549083997</v>
      </c>
      <c r="I9" s="1170">
        <f t="shared" ca="1" si="0"/>
        <v>49.855830549083997</v>
      </c>
      <c r="J9" s="1170">
        <f t="shared" ca="1" si="0"/>
        <v>49.855830549083997</v>
      </c>
      <c r="K9" s="1170">
        <f t="shared" ca="1" si="0"/>
        <v>49.855830549083997</v>
      </c>
      <c r="L9" s="1170">
        <f t="shared" ca="1" si="0"/>
        <v>49.855830549083997</v>
      </c>
      <c r="M9" s="1170">
        <f t="shared" ca="1" si="0"/>
        <v>49.855830549083997</v>
      </c>
      <c r="N9" s="1171">
        <f t="shared" ca="1" si="0"/>
        <v>49.855830549083997</v>
      </c>
      <c r="O9" s="1172">
        <f t="shared" ca="1" si="0"/>
        <v>598.26996658900805</v>
      </c>
    </row>
    <row r="10" spans="1:16" ht="15.75" thickBot="1">
      <c r="A10" s="1126"/>
      <c r="C10" s="1127"/>
      <c r="D10" s="1127"/>
      <c r="E10" s="1127"/>
      <c r="F10" s="1127"/>
      <c r="G10" s="1127"/>
      <c r="H10" s="1127"/>
      <c r="I10" s="1127"/>
      <c r="J10" s="1127"/>
      <c r="K10" s="1127"/>
      <c r="L10" s="1127"/>
      <c r="M10" s="1127"/>
      <c r="N10" s="1127"/>
      <c r="O10" s="1127"/>
    </row>
    <row r="11" spans="1:16" ht="15.75" thickBot="1">
      <c r="A11" s="2484" t="str">
        <f t="array" ref="A11:A13">'IVA 0'!A11:A13</f>
        <v>Coeficientes de prorrata Trimestrais</v>
      </c>
      <c r="B11" s="2485"/>
      <c r="C11" s="2527">
        <f t="array" ref="C11:O11">C42:O42</f>
        <v>1</v>
      </c>
      <c r="D11" s="2527">
        <v>0</v>
      </c>
      <c r="E11" s="2528">
        <f ca="1"/>
        <v>0</v>
      </c>
      <c r="F11" s="2527">
        <v>0</v>
      </c>
      <c r="G11" s="2527">
        <v>0</v>
      </c>
      <c r="H11" s="2528">
        <f ca="1"/>
        <v>0</v>
      </c>
      <c r="I11" s="2527">
        <v>0</v>
      </c>
      <c r="J11" s="2527">
        <v>0</v>
      </c>
      <c r="K11" s="2528">
        <f ca="1"/>
        <v>0</v>
      </c>
      <c r="L11" s="2527">
        <v>0</v>
      </c>
      <c r="M11" s="2527">
        <v>0</v>
      </c>
      <c r="N11" s="2528">
        <f ca="1"/>
        <v>0</v>
      </c>
      <c r="O11" s="3177">
        <f ca="1"/>
        <v>1</v>
      </c>
    </row>
    <row r="12" spans="1:16">
      <c r="A12" s="2486" t="str">
        <v>Total IVA soportado deducível</v>
      </c>
      <c r="B12" s="2487"/>
      <c r="C12" s="3176">
        <f t="array" aca="1" ref="C12:N12" ca="1">$C$11*C9:N9</f>
        <v>49.855830549083997</v>
      </c>
      <c r="D12" s="3176">
        <f ca="1"/>
        <v>49.855830549083997</v>
      </c>
      <c r="E12" s="3176">
        <f ca="1"/>
        <v>49.855830549083997</v>
      </c>
      <c r="F12" s="3176">
        <f ca="1"/>
        <v>49.855830549083997</v>
      </c>
      <c r="G12" s="3176">
        <f ca="1"/>
        <v>49.855830549083997</v>
      </c>
      <c r="H12" s="3176">
        <f ca="1"/>
        <v>49.855830549083997</v>
      </c>
      <c r="I12" s="3176">
        <f ca="1"/>
        <v>49.855830549083997</v>
      </c>
      <c r="J12" s="3176">
        <f ca="1"/>
        <v>49.855830549083997</v>
      </c>
      <c r="K12" s="3176">
        <f ca="1"/>
        <v>49.855830549083997</v>
      </c>
      <c r="L12" s="3176">
        <f ca="1"/>
        <v>49.855830549083997</v>
      </c>
      <c r="M12" s="3176">
        <f ca="1"/>
        <v>49.855830549083997</v>
      </c>
      <c r="N12" s="3176">
        <f ca="1"/>
        <v>49.855830549083997</v>
      </c>
      <c r="O12" s="1166">
        <f ca="1">SUM(C12:N12)</f>
        <v>598.26996658900782</v>
      </c>
    </row>
    <row r="13" spans="1:16" ht="16.5" customHeight="1" thickBot="1">
      <c r="A13" s="232" t="str">
        <v>Total IVA soportado para gasto</v>
      </c>
      <c r="B13" s="2483"/>
      <c r="C13" s="1167">
        <f t="array" aca="1" ref="C13:N13" ca="1">C9:N9-C12:N12</f>
        <v>0</v>
      </c>
      <c r="D13" s="1167">
        <f ca="1"/>
        <v>0</v>
      </c>
      <c r="E13" s="1167">
        <f ca="1"/>
        <v>0</v>
      </c>
      <c r="F13" s="1167">
        <f ca="1"/>
        <v>0</v>
      </c>
      <c r="G13" s="1167">
        <f ca="1"/>
        <v>0</v>
      </c>
      <c r="H13" s="1167">
        <f ca="1"/>
        <v>0</v>
      </c>
      <c r="I13" s="1167">
        <f ca="1"/>
        <v>0</v>
      </c>
      <c r="J13" s="1167">
        <f ca="1"/>
        <v>0</v>
      </c>
      <c r="K13" s="1167">
        <f ca="1"/>
        <v>0</v>
      </c>
      <c r="L13" s="1167">
        <f ca="1"/>
        <v>0</v>
      </c>
      <c r="M13" s="1167">
        <f ca="1"/>
        <v>0</v>
      </c>
      <c r="N13" s="1167">
        <f ca="1"/>
        <v>0</v>
      </c>
      <c r="O13" s="1168">
        <f ca="1">SUM(C13:N13)</f>
        <v>0</v>
      </c>
    </row>
    <row r="14" spans="1:16" ht="15.75" thickBot="1"/>
    <row r="15" spans="1:16" ht="15.75" thickBot="1">
      <c r="A15" s="65"/>
      <c r="B15" s="395" t="str">
        <f>'IVA 0'!B15</f>
        <v>Conta Corrente IVA</v>
      </c>
      <c r="C15" s="1162" t="str">
        <f>'Dados Básicos'!$B$32</f>
        <v>Não</v>
      </c>
      <c r="D15" s="2454">
        <f>IVAcc</f>
        <v>0</v>
      </c>
      <c r="F15" s="1164"/>
      <c r="G15" s="694"/>
      <c r="L15" s="65"/>
      <c r="M15" s="375"/>
      <c r="N15" s="3182" t="s">
        <v>1264</v>
      </c>
      <c r="O15" s="3183">
        <f ca="1">-O9*($O$11-$C$11)</f>
        <v>0</v>
      </c>
    </row>
    <row r="17" spans="1:15" s="99" customFormat="1" ht="23.25" thickBot="1">
      <c r="A17" s="68" t="str">
        <f>'IVA 0'!A17</f>
        <v xml:space="preserve">Liquidações Trimestrais de IVA da empresa </v>
      </c>
      <c r="B17" s="260"/>
      <c r="C17" s="68"/>
      <c r="D17" s="68"/>
      <c r="F17" s="260"/>
    </row>
    <row r="18" spans="1:15" ht="15.75" thickBot="1">
      <c r="A18" s="2475"/>
      <c r="B18" s="2476"/>
      <c r="C18" s="1143" t="str">
        <f t="array" ref="C18:N18">meses</f>
        <v>janeiro</v>
      </c>
      <c r="D18" s="1143" t="str">
        <v>fevereiro</v>
      </c>
      <c r="E18" s="1143" t="str">
        <v>março</v>
      </c>
      <c r="F18" s="1143" t="str">
        <v>abril</v>
      </c>
      <c r="G18" s="1143" t="str">
        <v>maio</v>
      </c>
      <c r="H18" s="1143" t="str">
        <v>junho</v>
      </c>
      <c r="I18" s="1143" t="str">
        <v>julho</v>
      </c>
      <c r="J18" s="1143" t="str">
        <v>agosto</v>
      </c>
      <c r="K18" s="1143" t="str">
        <v>setembro</v>
      </c>
      <c r="L18" s="1143" t="str">
        <v>outubro</v>
      </c>
      <c r="M18" s="1143" t="str">
        <v>novembro</v>
      </c>
      <c r="N18" s="1143" t="str">
        <v>dezembro</v>
      </c>
      <c r="O18" s="1144" t="str">
        <f>'IVA 0'!$O$4</f>
        <v>Totais</v>
      </c>
    </row>
    <row r="19" spans="1:15">
      <c r="A19" s="2477" t="str">
        <f t="array" ref="A19:A22">'IVA 0'!A19:A22</f>
        <v>Total IVA Repercutido</v>
      </c>
      <c r="B19" s="2478"/>
      <c r="C19" s="1117">
        <f t="array" aca="1" ref="C19" ca="1">SUM(Parametros!$E$24:$E$31*C31:C38)</f>
        <v>273.70123241580001</v>
      </c>
      <c r="D19" s="1117">
        <f t="array" aca="1" ref="D19" ca="1">SUM(Parametros!$E$24:$E$31*D31:D38)</f>
        <v>273.70123241580001</v>
      </c>
      <c r="E19" s="1117">
        <f t="array" aca="1" ref="E19" ca="1">SUM(Parametros!$E$24:$E$31*E31:E38)</f>
        <v>273.70123241580001</v>
      </c>
      <c r="F19" s="1117">
        <f t="array" aca="1" ref="F19" ca="1">SUM(Parametros!$E$24:$E$31*F31:F38)</f>
        <v>273.70123241580001</v>
      </c>
      <c r="G19" s="1117">
        <f t="array" aca="1" ref="G19" ca="1">SUM(Parametros!$E$24:$E$31*G31:G38)</f>
        <v>273.70123241580001</v>
      </c>
      <c r="H19" s="1117">
        <f t="array" aca="1" ref="H19" ca="1">SUM(Parametros!$E$24:$E$31*H31:H38)</f>
        <v>273.70123241580001</v>
      </c>
      <c r="I19" s="1117">
        <f t="array" aca="1" ref="I19" ca="1">SUM(Parametros!$E$24:$E$31*I31:I38)</f>
        <v>273.70123241580001</v>
      </c>
      <c r="J19" s="1117">
        <f t="array" aca="1" ref="J19" ca="1">SUM(Parametros!$E$24:$E$31*J31:J38)</f>
        <v>273.70123241580001</v>
      </c>
      <c r="K19" s="1117">
        <f t="array" aca="1" ref="K19" ca="1">SUM(Parametros!$E$24:$E$31*K31:K38)</f>
        <v>273.70123241580001</v>
      </c>
      <c r="L19" s="1117">
        <f t="array" aca="1" ref="L19" ca="1">SUM(Parametros!$E$24:$E$31*L31:L38)</f>
        <v>273.70123241580001</v>
      </c>
      <c r="M19" s="1117">
        <f t="array" aca="1" ref="M19" ca="1">SUM(Parametros!$E$24:$E$31*M31:M38)</f>
        <v>273.70123241580001</v>
      </c>
      <c r="N19" s="1117">
        <f t="array" aca="1" ref="N19" ca="1">SUM(Parametros!$E$24:$E$31*N31:N38)</f>
        <v>273.70123241580001</v>
      </c>
      <c r="O19" s="1146">
        <f ca="1">SUM(C19:N19)</f>
        <v>3284.4147889895999</v>
      </c>
    </row>
    <row r="20" spans="1:15">
      <c r="A20" s="2479" t="str">
        <v>Total IVA soportado deducível</v>
      </c>
      <c r="B20" s="2480"/>
      <c r="C20" s="1118">
        <f t="array" aca="1" ref="C20:N20" ca="1">C12:N12</f>
        <v>49.855830549083997</v>
      </c>
      <c r="D20" s="1118">
        <f ca="1"/>
        <v>49.855830549083997</v>
      </c>
      <c r="E20" s="1118">
        <f ca="1"/>
        <v>49.855830549083997</v>
      </c>
      <c r="F20" s="1118">
        <f ca="1"/>
        <v>49.855830549083997</v>
      </c>
      <c r="G20" s="1118">
        <f ca="1"/>
        <v>49.855830549083997</v>
      </c>
      <c r="H20" s="1118">
        <f ca="1"/>
        <v>49.855830549083997</v>
      </c>
      <c r="I20" s="1118">
        <f ca="1"/>
        <v>49.855830549083997</v>
      </c>
      <c r="J20" s="1118">
        <f ca="1"/>
        <v>49.855830549083997</v>
      </c>
      <c r="K20" s="1118">
        <f ca="1"/>
        <v>49.855830549083997</v>
      </c>
      <c r="L20" s="1118">
        <f ca="1"/>
        <v>49.855830549083997</v>
      </c>
      <c r="M20" s="1118">
        <f ca="1"/>
        <v>49.855830549083997</v>
      </c>
      <c r="N20" s="1118">
        <f ca="1"/>
        <v>49.855830549083997</v>
      </c>
      <c r="O20" s="1141">
        <f ca="1">SUM(C20:N20)</f>
        <v>598.26996658900782</v>
      </c>
    </row>
    <row r="21" spans="1:15" ht="15.75" thickBot="1">
      <c r="A21" s="2481" t="str">
        <v>Diferências IVA</v>
      </c>
      <c r="B21" s="2482"/>
      <c r="C21" s="1165">
        <f t="array" aca="1" ref="C21:N21" ca="1">C19:N19-C20:N20</f>
        <v>223.845401866716</v>
      </c>
      <c r="D21" s="1165">
        <f ca="1"/>
        <v>223.845401866716</v>
      </c>
      <c r="E21" s="1165">
        <f ca="1"/>
        <v>223.845401866716</v>
      </c>
      <c r="F21" s="1165">
        <f ca="1"/>
        <v>223.845401866716</v>
      </c>
      <c r="G21" s="1165">
        <f ca="1"/>
        <v>223.845401866716</v>
      </c>
      <c r="H21" s="1165">
        <f ca="1"/>
        <v>223.845401866716</v>
      </c>
      <c r="I21" s="1165">
        <f ca="1"/>
        <v>223.845401866716</v>
      </c>
      <c r="J21" s="1165">
        <f ca="1"/>
        <v>223.845401866716</v>
      </c>
      <c r="K21" s="1165">
        <f ca="1"/>
        <v>223.845401866716</v>
      </c>
      <c r="L21" s="1165">
        <f ca="1"/>
        <v>223.845401866716</v>
      </c>
      <c r="M21" s="1165">
        <f ca="1"/>
        <v>223.845401866716</v>
      </c>
      <c r="N21" s="1165">
        <f ca="1"/>
        <v>223.845401866716</v>
      </c>
      <c r="O21" s="1142">
        <f ca="1">SUM(C21:N21)</f>
        <v>2686.1448224005926</v>
      </c>
    </row>
    <row r="22" spans="1:15" s="49" customFormat="1" ht="19.5" customHeight="1">
      <c r="A22" s="2557" t="str">
        <v>Quotas de IVA</v>
      </c>
      <c r="B22" s="2558"/>
      <c r="C22" s="2559">
        <f ca="1">'IVA 3'!O22</f>
        <v>620.9457589566</v>
      </c>
      <c r="D22" s="2563">
        <f>+IF(IVAmensual=1,  IF(AND(IVAdev=1,C22&lt;0),0,MIN(C22,0))  +C21,0)</f>
        <v>0</v>
      </c>
      <c r="E22" s="2546">
        <f>+IF(IVAmensual=1,    MIN(D22,0)+D21,0)</f>
        <v>0</v>
      </c>
      <c r="F22" s="2563">
        <f ca="1">IF(IVAmensual=0,    IF(AND(IVAdev=1,C22&lt;0),0,MIN(C22,0))+SUM(C21:E21),0)
+IF(IVAmensual=1,    MIN(E22,0)+E21,0)</f>
        <v>671.53620560014804</v>
      </c>
      <c r="G22" s="2546">
        <f>+IF(IVAmensual=1,    MIN(F22,0)+F21,0)</f>
        <v>0</v>
      </c>
      <c r="H22" s="2546">
        <f>+IF(IVAmensual=1,    MIN(G22,0)+G21,0)</f>
        <v>0</v>
      </c>
      <c r="I22" s="2546">
        <f ca="1">IF(IVAmensual=0,   MIN(F22,0)+SUM(F21:H21),0)
+IF(IVAmensual=1,    MIN(H22,0)+H21,0)</f>
        <v>671.53620560014804</v>
      </c>
      <c r="J22" s="2546">
        <f>+IF(IVAmensual=1,    MIN(I22,0)+I21,0)</f>
        <v>0</v>
      </c>
      <c r="K22" s="2546">
        <f>+IF(IVAmensual=1,    MIN(J22,0)+J21,0)</f>
        <v>0</v>
      </c>
      <c r="L22" s="2546">
        <f ca="1">IF(IVAmensual=0,   MIN(I22,0)+SUM(I21:K21),0)
+IF(IVAmensual=1,    MIN(K22,0)+K21,0)</f>
        <v>671.53620560014804</v>
      </c>
      <c r="M22" s="2546">
        <f>+IF(IVAmensual=1,    MIN(L22,0)+L21,0)</f>
        <v>0</v>
      </c>
      <c r="N22" s="2546">
        <f>+IF(IVAmensual=1,    MIN(M22,0)+M21,0)</f>
        <v>0</v>
      </c>
      <c r="O22" s="3178">
        <f ca="1">IF(IVAmensual=0,   MIN(L22,0)+SUM(L21:N21)+O15,0)
+IF(IVAmensual=1,    MIN(N22,0)+N21+O15,0)</f>
        <v>671.53620560014804</v>
      </c>
    </row>
    <row r="23" spans="1:15" ht="10.5" customHeight="1">
      <c r="A23" s="388"/>
      <c r="B23" s="2480"/>
      <c r="C23" s="910"/>
      <c r="D23" s="910"/>
      <c r="E23" s="910"/>
      <c r="F23" s="910"/>
      <c r="G23" s="910"/>
      <c r="H23" s="910"/>
      <c r="I23" s="910"/>
      <c r="J23" s="910"/>
      <c r="K23" s="910"/>
      <c r="L23" s="910"/>
      <c r="M23" s="910"/>
      <c r="N23" s="910"/>
      <c r="O23" s="1147"/>
    </row>
    <row r="24" spans="1:15" s="49" customFormat="1" ht="19.5" customHeight="1" thickBot="1">
      <c r="A24" s="2547" t="str">
        <f>'IVA 0'!A24</f>
        <v>Liquidações de IVA</v>
      </c>
      <c r="B24" s="2548"/>
      <c r="C24" s="2549">
        <f t="shared" ref="C24:O24" ca="1" si="1">IF(AND(IVAcc=0,C22&gt;0),C22,0)</f>
        <v>620.9457589566</v>
      </c>
      <c r="D24" s="2550">
        <f t="shared" si="1"/>
        <v>0</v>
      </c>
      <c r="E24" s="2550">
        <f t="shared" si="1"/>
        <v>0</v>
      </c>
      <c r="F24" s="2550">
        <f t="shared" ca="1" si="1"/>
        <v>671.53620560014804</v>
      </c>
      <c r="G24" s="2550">
        <f t="shared" si="1"/>
        <v>0</v>
      </c>
      <c r="H24" s="2550">
        <f t="shared" si="1"/>
        <v>0</v>
      </c>
      <c r="I24" s="2550">
        <f t="shared" ca="1" si="1"/>
        <v>671.53620560014804</v>
      </c>
      <c r="J24" s="2550">
        <f t="shared" si="1"/>
        <v>0</v>
      </c>
      <c r="K24" s="2550">
        <f t="shared" si="1"/>
        <v>0</v>
      </c>
      <c r="L24" s="2550">
        <f t="shared" ca="1" si="1"/>
        <v>671.53620560014804</v>
      </c>
      <c r="M24" s="2550">
        <f t="shared" si="1"/>
        <v>0</v>
      </c>
      <c r="N24" s="2550">
        <f t="shared" si="1"/>
        <v>0</v>
      </c>
      <c r="O24" s="2551">
        <f t="shared" ca="1" si="1"/>
        <v>671.53620560014804</v>
      </c>
    </row>
    <row r="25" spans="1:15" ht="9" customHeight="1" thickBot="1">
      <c r="C25" s="904"/>
      <c r="D25" s="904"/>
      <c r="E25" s="904"/>
      <c r="F25" s="904"/>
      <c r="G25" s="904"/>
      <c r="H25" s="904"/>
      <c r="I25" s="904"/>
      <c r="J25" s="904"/>
      <c r="K25" s="904"/>
      <c r="L25" s="904"/>
      <c r="M25" s="904"/>
      <c r="N25" s="904"/>
      <c r="O25" s="904"/>
    </row>
    <row r="26" spans="1:15" s="49" customFormat="1" ht="18.75" customHeight="1" thickBot="1">
      <c r="A26" s="2552" t="str">
        <f>'IVA 0'!A26</f>
        <v>Devoluções IVA</v>
      </c>
      <c r="B26" s="2553"/>
      <c r="C26" s="2554">
        <f>'IVA 3'!O26</f>
        <v>0</v>
      </c>
      <c r="D26" s="2555">
        <f>-IF(AND(IVAcc,IVAmensual=1),C21,0)</f>
        <v>0</v>
      </c>
      <c r="E26" s="2555">
        <f>-IF(AND(IVAcc,IVAmensual=1),D21,0)</f>
        <v>0</v>
      </c>
      <c r="F26" s="2555">
        <f>-IF(AND(IVAcc,IVAmensual=0),SUM(C21:E21),0)
-IF(AND(IVAcc,IVAmensual=1),E21,0)</f>
        <v>0</v>
      </c>
      <c r="G26" s="2555">
        <f>-IF(AND(IVAcc,IVAmensual=1),F21,0)</f>
        <v>0</v>
      </c>
      <c r="H26" s="2562">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60">
        <f>-IF(AND(IVAcc,IVAmensual=0),SUM(L21:N21),0)
-IF(AND(IVAcc,IVAmensual=1),N21,0)</f>
        <v>0</v>
      </c>
    </row>
    <row r="29" spans="1:15" s="99" customFormat="1" ht="23.25" thickBot="1">
      <c r="A29" s="68" t="str">
        <f>'IVA 0'!A29</f>
        <v>Regra de prorrata</v>
      </c>
      <c r="D29" s="260"/>
      <c r="E29" s="260"/>
    </row>
    <row r="30" spans="1:15" ht="15.75" thickBot="1">
      <c r="A30" s="1155" t="str">
        <f>'IVA 0'!A30</f>
        <v>IVA repercutido</v>
      </c>
      <c r="B30" s="105" t="str">
        <f>'IVA 0'!B30</f>
        <v>taxa IVA</v>
      </c>
      <c r="C30" s="438" t="str">
        <f t="array" ref="C30:N30">meses</f>
        <v>janeiro</v>
      </c>
      <c r="D30" s="165" t="str">
        <v>fevereiro</v>
      </c>
      <c r="E30" s="165" t="str">
        <v>março</v>
      </c>
      <c r="F30" s="165" t="str">
        <v>abril</v>
      </c>
      <c r="G30" s="165" t="str">
        <v>maio</v>
      </c>
      <c r="H30" s="165" t="str">
        <v>junho</v>
      </c>
      <c r="I30" s="165" t="str">
        <v>julho</v>
      </c>
      <c r="J30" s="165" t="str">
        <v>agosto</v>
      </c>
      <c r="K30" s="165" t="str">
        <v>setembro</v>
      </c>
      <c r="L30" s="165" t="str">
        <v>outubro</v>
      </c>
      <c r="M30" s="165" t="str">
        <v>novembro</v>
      </c>
      <c r="N30" s="165" t="str">
        <v>dezembro</v>
      </c>
      <c r="O30" s="166" t="str">
        <f>'IVA 0'!$O$4</f>
        <v>Totais</v>
      </c>
    </row>
    <row r="31" spans="1:15">
      <c r="A31" s="1773" t="str">
        <f t="array" ref="A31:A38">productos</f>
        <v>produto 1</v>
      </c>
      <c r="B31" s="1128">
        <f t="array" ref="B31:B38">Parametros!E24:E31</f>
        <v>0.21</v>
      </c>
      <c r="C31" s="1129">
        <f t="array" aca="1" ref="C31:N38" ca="1">'Prev.Vendas 4'!B17:M24</f>
        <v>1303.3392019800001</v>
      </c>
      <c r="D31" s="1129">
        <f ca="1"/>
        <v>1303.3392019800001</v>
      </c>
      <c r="E31" s="1129">
        <f ca="1"/>
        <v>1303.3392019800001</v>
      </c>
      <c r="F31" s="1129">
        <f ca="1"/>
        <v>1303.3392019800001</v>
      </c>
      <c r="G31" s="1129">
        <f ca="1"/>
        <v>1303.3392019800001</v>
      </c>
      <c r="H31" s="1129">
        <f ca="1"/>
        <v>1303.3392019800001</v>
      </c>
      <c r="I31" s="1129">
        <f ca="1"/>
        <v>1303.3392019800001</v>
      </c>
      <c r="J31" s="1129">
        <f ca="1"/>
        <v>1303.3392019800001</v>
      </c>
      <c r="K31" s="1129">
        <f ca="1"/>
        <v>1303.3392019800001</v>
      </c>
      <c r="L31" s="1129">
        <f ca="1"/>
        <v>1303.3392019800001</v>
      </c>
      <c r="M31" s="1129">
        <f ca="1"/>
        <v>1303.3392019800001</v>
      </c>
      <c r="N31" s="1129">
        <f ca="1"/>
        <v>1303.3392019800001</v>
      </c>
      <c r="O31" s="1156">
        <f t="shared" ref="O31:O41" ca="1" si="2">SUM(C31:N31)</f>
        <v>15640.070423759998</v>
      </c>
    </row>
    <row r="32" spans="1:15">
      <c r="A32" s="1552" t="str">
        <v/>
      </c>
      <c r="B32" s="1130">
        <v>0.21</v>
      </c>
      <c r="C32" s="1131">
        <f ca="1"/>
        <v>0</v>
      </c>
      <c r="D32" s="1131">
        <f ca="1"/>
        <v>0</v>
      </c>
      <c r="E32" s="1131">
        <f ca="1"/>
        <v>0</v>
      </c>
      <c r="F32" s="1131">
        <f ca="1"/>
        <v>0</v>
      </c>
      <c r="G32" s="1131">
        <f ca="1"/>
        <v>0</v>
      </c>
      <c r="H32" s="1131">
        <f ca="1"/>
        <v>0</v>
      </c>
      <c r="I32" s="1131">
        <f ca="1"/>
        <v>0</v>
      </c>
      <c r="J32" s="1131">
        <f ca="1"/>
        <v>0</v>
      </c>
      <c r="K32" s="1131">
        <f ca="1"/>
        <v>0</v>
      </c>
      <c r="L32" s="1131">
        <f ca="1"/>
        <v>0</v>
      </c>
      <c r="M32" s="1131">
        <f ca="1"/>
        <v>0</v>
      </c>
      <c r="N32" s="1131">
        <f ca="1"/>
        <v>0</v>
      </c>
      <c r="O32" s="1157">
        <f t="shared" ca="1" si="2"/>
        <v>0</v>
      </c>
    </row>
    <row r="33" spans="1:15">
      <c r="A33" s="1552" t="str">
        <v/>
      </c>
      <c r="B33" s="1130">
        <v>0.21</v>
      </c>
      <c r="C33" s="1131">
        <f ca="1"/>
        <v>0</v>
      </c>
      <c r="D33" s="1131">
        <f ca="1"/>
        <v>0</v>
      </c>
      <c r="E33" s="1131">
        <f ca="1"/>
        <v>0</v>
      </c>
      <c r="F33" s="1131">
        <f ca="1"/>
        <v>0</v>
      </c>
      <c r="G33" s="1131">
        <f ca="1"/>
        <v>0</v>
      </c>
      <c r="H33" s="1131">
        <f ca="1"/>
        <v>0</v>
      </c>
      <c r="I33" s="1131">
        <f ca="1"/>
        <v>0</v>
      </c>
      <c r="J33" s="1131">
        <f ca="1"/>
        <v>0</v>
      </c>
      <c r="K33" s="1131">
        <f ca="1"/>
        <v>0</v>
      </c>
      <c r="L33" s="1131">
        <f ca="1"/>
        <v>0</v>
      </c>
      <c r="M33" s="1131">
        <f ca="1"/>
        <v>0</v>
      </c>
      <c r="N33" s="1131">
        <f ca="1"/>
        <v>0</v>
      </c>
      <c r="O33" s="1157">
        <f t="shared" ca="1" si="2"/>
        <v>0</v>
      </c>
    </row>
    <row r="34" spans="1:15">
      <c r="A34" s="1552" t="str">
        <v/>
      </c>
      <c r="B34" s="1130">
        <v>0.21</v>
      </c>
      <c r="C34" s="1131">
        <f ca="1"/>
        <v>0</v>
      </c>
      <c r="D34" s="1131">
        <f ca="1"/>
        <v>0</v>
      </c>
      <c r="E34" s="1131">
        <f ca="1"/>
        <v>0</v>
      </c>
      <c r="F34" s="1131">
        <f ca="1"/>
        <v>0</v>
      </c>
      <c r="G34" s="1131">
        <f ca="1"/>
        <v>0</v>
      </c>
      <c r="H34" s="1131">
        <f ca="1"/>
        <v>0</v>
      </c>
      <c r="I34" s="1131">
        <f ca="1"/>
        <v>0</v>
      </c>
      <c r="J34" s="1131">
        <f ca="1"/>
        <v>0</v>
      </c>
      <c r="K34" s="1131">
        <f ca="1"/>
        <v>0</v>
      </c>
      <c r="L34" s="1131">
        <f ca="1"/>
        <v>0</v>
      </c>
      <c r="M34" s="1131">
        <f ca="1"/>
        <v>0</v>
      </c>
      <c r="N34" s="1131">
        <f ca="1"/>
        <v>0</v>
      </c>
      <c r="O34" s="1157">
        <f t="shared" ca="1" si="2"/>
        <v>0</v>
      </c>
    </row>
    <row r="35" spans="1:15">
      <c r="A35" s="1552" t="str">
        <v/>
      </c>
      <c r="B35" s="1130">
        <v>0.21</v>
      </c>
      <c r="C35" s="1131">
        <f ca="1"/>
        <v>0</v>
      </c>
      <c r="D35" s="1131">
        <f ca="1"/>
        <v>0</v>
      </c>
      <c r="E35" s="1131">
        <f ca="1"/>
        <v>0</v>
      </c>
      <c r="F35" s="1131">
        <f ca="1"/>
        <v>0</v>
      </c>
      <c r="G35" s="1131">
        <f ca="1"/>
        <v>0</v>
      </c>
      <c r="H35" s="1131">
        <f ca="1"/>
        <v>0</v>
      </c>
      <c r="I35" s="1131">
        <f ca="1"/>
        <v>0</v>
      </c>
      <c r="J35" s="1131">
        <f ca="1"/>
        <v>0</v>
      </c>
      <c r="K35" s="1131">
        <f ca="1"/>
        <v>0</v>
      </c>
      <c r="L35" s="1131">
        <f ca="1"/>
        <v>0</v>
      </c>
      <c r="M35" s="1131">
        <f ca="1"/>
        <v>0</v>
      </c>
      <c r="N35" s="1131">
        <f ca="1"/>
        <v>0</v>
      </c>
      <c r="O35" s="1157">
        <f t="shared" ca="1" si="2"/>
        <v>0</v>
      </c>
    </row>
    <row r="36" spans="1:15">
      <c r="A36" s="1552" t="str">
        <v/>
      </c>
      <c r="B36" s="1130">
        <v>0.21</v>
      </c>
      <c r="C36" s="1131">
        <f ca="1"/>
        <v>0</v>
      </c>
      <c r="D36" s="1131">
        <f ca="1"/>
        <v>0</v>
      </c>
      <c r="E36" s="1131">
        <f ca="1"/>
        <v>0</v>
      </c>
      <c r="F36" s="1131">
        <f ca="1"/>
        <v>0</v>
      </c>
      <c r="G36" s="1131">
        <f ca="1"/>
        <v>0</v>
      </c>
      <c r="H36" s="1131">
        <f ca="1"/>
        <v>0</v>
      </c>
      <c r="I36" s="1131">
        <f ca="1"/>
        <v>0</v>
      </c>
      <c r="J36" s="1131">
        <f ca="1"/>
        <v>0</v>
      </c>
      <c r="K36" s="1131">
        <f ca="1"/>
        <v>0</v>
      </c>
      <c r="L36" s="1131">
        <f ca="1"/>
        <v>0</v>
      </c>
      <c r="M36" s="1131">
        <f ca="1"/>
        <v>0</v>
      </c>
      <c r="N36" s="1131">
        <f ca="1"/>
        <v>0</v>
      </c>
      <c r="O36" s="1157">
        <f t="shared" ca="1" si="2"/>
        <v>0</v>
      </c>
    </row>
    <row r="37" spans="1:15">
      <c r="A37" s="1552" t="str">
        <v/>
      </c>
      <c r="B37" s="1130">
        <v>0.21</v>
      </c>
      <c r="C37" s="1131">
        <f ca="1"/>
        <v>0</v>
      </c>
      <c r="D37" s="1131">
        <f ca="1"/>
        <v>0</v>
      </c>
      <c r="E37" s="1131">
        <f ca="1"/>
        <v>0</v>
      </c>
      <c r="F37" s="1131">
        <f ca="1"/>
        <v>0</v>
      </c>
      <c r="G37" s="1131">
        <f ca="1"/>
        <v>0</v>
      </c>
      <c r="H37" s="1131">
        <f ca="1"/>
        <v>0</v>
      </c>
      <c r="I37" s="1131">
        <f ca="1"/>
        <v>0</v>
      </c>
      <c r="J37" s="1131">
        <f ca="1"/>
        <v>0</v>
      </c>
      <c r="K37" s="1131">
        <f ca="1"/>
        <v>0</v>
      </c>
      <c r="L37" s="1131">
        <f ca="1"/>
        <v>0</v>
      </c>
      <c r="M37" s="1131">
        <f ca="1"/>
        <v>0</v>
      </c>
      <c r="N37" s="1131">
        <f ca="1"/>
        <v>0</v>
      </c>
      <c r="O37" s="1157">
        <f t="shared" ca="1" si="2"/>
        <v>0</v>
      </c>
    </row>
    <row r="38" spans="1:15" ht="15.75" thickBot="1">
      <c r="A38" s="1774" t="str">
        <v/>
      </c>
      <c r="B38" s="1132">
        <v>0.21</v>
      </c>
      <c r="C38" s="1133">
        <f ca="1"/>
        <v>0</v>
      </c>
      <c r="D38" s="1133">
        <f ca="1"/>
        <v>0</v>
      </c>
      <c r="E38" s="1133">
        <f ca="1"/>
        <v>0</v>
      </c>
      <c r="F38" s="1133">
        <f ca="1"/>
        <v>0</v>
      </c>
      <c r="G38" s="1133">
        <f ca="1"/>
        <v>0</v>
      </c>
      <c r="H38" s="1133">
        <f ca="1"/>
        <v>0</v>
      </c>
      <c r="I38" s="1133">
        <f ca="1"/>
        <v>0</v>
      </c>
      <c r="J38" s="1133">
        <f ca="1"/>
        <v>0</v>
      </c>
      <c r="K38" s="1133">
        <f ca="1"/>
        <v>0</v>
      </c>
      <c r="L38" s="1133">
        <f ca="1"/>
        <v>0</v>
      </c>
      <c r="M38" s="1133">
        <f ca="1"/>
        <v>0</v>
      </c>
      <c r="N38" s="1133">
        <f ca="1"/>
        <v>0</v>
      </c>
      <c r="O38" s="1158">
        <f t="shared" ca="1" si="2"/>
        <v>0</v>
      </c>
    </row>
    <row r="39" spans="1:15" ht="18" customHeight="1">
      <c r="A39" s="1159" t="str">
        <f t="array" ref="A39:A42">'IVA 0'!A39:A42</f>
        <v>Vendas sujetas a IVA</v>
      </c>
      <c r="B39" s="209"/>
      <c r="C39" s="1135">
        <f t="shared" ref="C39:N39" ca="1" si="3">SUMIF($B$31:$B$38,"&lt;&gt;0",C31:C38)</f>
        <v>1303.3392019800001</v>
      </c>
      <c r="D39" s="1136">
        <f t="shared" ca="1" si="3"/>
        <v>1303.3392019800001</v>
      </c>
      <c r="E39" s="1136">
        <f t="shared" ca="1" si="3"/>
        <v>1303.3392019800001</v>
      </c>
      <c r="F39" s="1136">
        <f t="shared" ca="1" si="3"/>
        <v>1303.3392019800001</v>
      </c>
      <c r="G39" s="1136">
        <f t="shared" ca="1" si="3"/>
        <v>1303.3392019800001</v>
      </c>
      <c r="H39" s="1136">
        <f t="shared" ca="1" si="3"/>
        <v>1303.3392019800001</v>
      </c>
      <c r="I39" s="1136">
        <f t="shared" ca="1" si="3"/>
        <v>1303.3392019800001</v>
      </c>
      <c r="J39" s="1136">
        <f t="shared" ca="1" si="3"/>
        <v>1303.3392019800001</v>
      </c>
      <c r="K39" s="1136">
        <f t="shared" ca="1" si="3"/>
        <v>1303.3392019800001</v>
      </c>
      <c r="L39" s="1136">
        <f t="shared" ca="1" si="3"/>
        <v>1303.3392019800001</v>
      </c>
      <c r="M39" s="1136">
        <f t="shared" ca="1" si="3"/>
        <v>1303.3392019800001</v>
      </c>
      <c r="N39" s="1137">
        <f t="shared" ca="1" si="3"/>
        <v>1303.3392019800001</v>
      </c>
      <c r="O39" s="1156">
        <f t="shared" ca="1" si="2"/>
        <v>15640.070423759998</v>
      </c>
    </row>
    <row r="40" spans="1:15" ht="18" customHeight="1">
      <c r="A40" s="1160" t="str">
        <v>Vendas exentas de IVA</v>
      </c>
      <c r="B40" s="214"/>
      <c r="C40" s="1138">
        <f t="shared" ref="C40:N40" si="4">SUMIF($B$31:$B$38,"=0",C31:C38)</f>
        <v>0</v>
      </c>
      <c r="D40" s="1139">
        <f t="shared" si="4"/>
        <v>0</v>
      </c>
      <c r="E40" s="1139">
        <f t="shared" si="4"/>
        <v>0</v>
      </c>
      <c r="F40" s="1139">
        <f t="shared" si="4"/>
        <v>0</v>
      </c>
      <c r="G40" s="1139">
        <f t="shared" si="4"/>
        <v>0</v>
      </c>
      <c r="H40" s="1139">
        <f t="shared" si="4"/>
        <v>0</v>
      </c>
      <c r="I40" s="1139">
        <f t="shared" si="4"/>
        <v>0</v>
      </c>
      <c r="J40" s="1139">
        <f t="shared" si="4"/>
        <v>0</v>
      </c>
      <c r="K40" s="1139">
        <f t="shared" si="4"/>
        <v>0</v>
      </c>
      <c r="L40" s="1139">
        <f t="shared" si="4"/>
        <v>0</v>
      </c>
      <c r="M40" s="1139">
        <f t="shared" si="4"/>
        <v>0</v>
      </c>
      <c r="N40" s="1140">
        <f t="shared" si="4"/>
        <v>0</v>
      </c>
      <c r="O40" s="1157">
        <f t="shared" si="2"/>
        <v>0</v>
      </c>
    </row>
    <row r="41" spans="1:15" ht="18" customHeight="1">
      <c r="A41" s="1160" t="str">
        <v>Total Faturação</v>
      </c>
      <c r="B41" s="214"/>
      <c r="C41" s="1138">
        <f t="array" aca="1" ref="C41:N41" ca="1">C40:N40+C39:N39</f>
        <v>1303.3392019800001</v>
      </c>
      <c r="D41" s="1139">
        <f ca="1"/>
        <v>1303.3392019800001</v>
      </c>
      <c r="E41" s="1139">
        <f ca="1"/>
        <v>1303.3392019800001</v>
      </c>
      <c r="F41" s="1139">
        <f ca="1"/>
        <v>1303.3392019800001</v>
      </c>
      <c r="G41" s="1139">
        <f ca="1"/>
        <v>1303.3392019800001</v>
      </c>
      <c r="H41" s="1139">
        <f ca="1"/>
        <v>1303.3392019800001</v>
      </c>
      <c r="I41" s="1139">
        <f ca="1"/>
        <v>1303.3392019800001</v>
      </c>
      <c r="J41" s="1139">
        <f ca="1"/>
        <v>1303.3392019800001</v>
      </c>
      <c r="K41" s="1139">
        <f ca="1"/>
        <v>1303.3392019800001</v>
      </c>
      <c r="L41" s="1139">
        <f ca="1"/>
        <v>1303.3392019800001</v>
      </c>
      <c r="M41" s="1139">
        <f ca="1"/>
        <v>1303.3392019800001</v>
      </c>
      <c r="N41" s="1140">
        <f ca="1"/>
        <v>1303.3392019800001</v>
      </c>
      <c r="O41" s="1157">
        <f t="shared" ca="1" si="2"/>
        <v>15640.070423759998</v>
      </c>
    </row>
    <row r="42" spans="1:15" ht="18" customHeight="1" thickBot="1">
      <c r="A42" s="1161" t="str">
        <v>Coeficiente para a prorrata</v>
      </c>
      <c r="B42" s="215"/>
      <c r="C42" s="3179">
        <f>'IVA 3'!C42</f>
        <v>1</v>
      </c>
      <c r="D42" s="3179">
        <f>IF(IVAmensual=1,    IF(OR(IVAcc,D41&lt;0.1),1,D39/D41), 0)*0</f>
        <v>0</v>
      </c>
      <c r="E42" s="3179">
        <f ca="1">IF(IVAmensual=1, IF(OR(IVAcc,C41&lt;0.1),1,C39/C41),    IF(OR(IVAcc,SUM(C41:E41)&lt;0.4),1,SUM(C39:E39)/SUM(C41:E41)))*0</f>
        <v>0</v>
      </c>
      <c r="F42" s="3179">
        <f>IF(IVAmensual=1,    IF(OR(IVAcc,F41&lt;0.1),1,F39/F41), 0)*0</f>
        <v>0</v>
      </c>
      <c r="G42" s="3179">
        <f>IF(IVAmensual=1,    IF(OR(IVAcc,G41&lt;0.1),1,G39/G41), 0)*0</f>
        <v>0</v>
      </c>
      <c r="H42" s="3179">
        <f ca="1">IF(IVAmensual=1, IF(OR(IVAcc,F41&lt;0.1),1,F39/F41),    IF(OR(IVAcc,SUM(F41:H41)&lt;0.4),1,SUM(F39:H39)/SUM(F41:H41)))*0</f>
        <v>0</v>
      </c>
      <c r="I42" s="3179">
        <f>IF(IVAmensual=1,    IF(OR(IVAcc,I41&lt;0.1),1,I39/I41), 0)*0</f>
        <v>0</v>
      </c>
      <c r="J42" s="3179">
        <f>IF(IVAmensual=1,    IF(OR(IVAcc,J41&lt;0.1),1,J39/J41), 0)*0</f>
        <v>0</v>
      </c>
      <c r="K42" s="3179">
        <f ca="1">IF(IVAmensual=1, IF(OR(IVAcc,I41&lt;0.1),1,I39/I41),    IF(OR(IVAcc,SUM(I41:K41)&lt;0.4),1,SUM(I39:K39)/SUM(I41:K41)))*0</f>
        <v>0</v>
      </c>
      <c r="L42" s="3179">
        <f>IF(IVAmensual=1,    IF(OR(IVAcc,L41&lt;0.1),1,L39/L41), 0)*0</f>
        <v>0</v>
      </c>
      <c r="M42" s="3179">
        <f>IF(IVAmensual=1,    IF(OR(IVAcc,M41&lt;0.1),1,M39/M41), 0)*0</f>
        <v>0</v>
      </c>
      <c r="N42" s="3179">
        <f ca="1">IF(IVAmensual=1, IF(OR(IVAcc,L41&lt;0.1),1,L39/L41),    IF(OR(IVAcc,SUM(L41:N41)&lt;0.4),1,SUM(L39:N39)/SUM(L41:N41)))*0</f>
        <v>0</v>
      </c>
      <c r="O42" s="3180">
        <f ca="1" xml:space="preserve"> IF(OR(IVAcc, O41&lt;0.4), 1, O39/O41   )</f>
        <v>1</v>
      </c>
    </row>
  </sheetData>
  <sheetProtection sheet="1" objects="1" scenarios="1"/>
  <phoneticPr fontId="4" type="noConversion"/>
  <conditionalFormatting sqref="C31:N38">
    <cfRule type="expression" dxfId="8"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53">
    <pageSetUpPr fitToPage="1"/>
  </sheetPr>
  <dimension ref="A1:F54"/>
  <sheetViews>
    <sheetView workbookViewId="0"/>
  </sheetViews>
  <sheetFormatPr baseColWidth="10" defaultColWidth="11" defaultRowHeight="15"/>
  <cols>
    <col min="1" max="1" width="30.875" style="36" customWidth="1"/>
    <col min="2" max="2" width="10.75" style="36" customWidth="1"/>
    <col min="3" max="6" width="11.125" style="36" customWidth="1"/>
    <col min="7" max="16384" width="11" style="36"/>
  </cols>
  <sheetData>
    <row r="1" spans="1:6" s="99" customFormat="1" ht="22.5">
      <c r="A1" s="68" t="s">
        <v>860</v>
      </c>
      <c r="B1" s="260"/>
      <c r="C1" s="68"/>
      <c r="D1" s="68"/>
      <c r="E1" s="68"/>
    </row>
    <row r="2" spans="1:6" s="99" customFormat="1" ht="22.5">
      <c r="A2" s="68" t="str">
        <f>'Dados Básicos'!B9</f>
        <v>WWW, S.L.</v>
      </c>
      <c r="B2" s="260"/>
      <c r="C2" s="68"/>
      <c r="D2" s="68"/>
      <c r="E2" s="68"/>
      <c r="F2" s="68"/>
    </row>
    <row r="3" spans="1:6" ht="15.75" thickBot="1"/>
    <row r="4" spans="1:6" ht="29.25" thickBot="1">
      <c r="A4" s="17" t="s">
        <v>861</v>
      </c>
      <c r="B4" s="2175" t="str">
        <f t="array" ref="B4:F4">anni</f>
        <v>Ano 0:  2026</v>
      </c>
      <c r="C4" s="2176" t="str">
        <v>Ano 1:  2027</v>
      </c>
      <c r="D4" s="2175" t="str">
        <v>Ano 2:  2028</v>
      </c>
      <c r="E4" s="2176" t="str">
        <v>Ano 3:  2029</v>
      </c>
      <c r="F4" s="2175" t="str">
        <v>Ano 4:  2030</v>
      </c>
    </row>
    <row r="5" spans="1:6">
      <c r="A5" s="251" t="str">
        <f t="array" ref="A5:A12">catlaborales</f>
        <v>Emprsários em nome individual</v>
      </c>
      <c r="B5" s="2692">
        <f t="array" ref="B5:B12">'G.F. 0'!N7:N14</f>
        <v>14400</v>
      </c>
      <c r="C5" s="2693">
        <f t="array" ref="C5:C12">'G.F. 1'!N7:N14</f>
        <v>14976</v>
      </c>
      <c r="D5" s="2692">
        <f t="array" ref="D5:D12">'G.F. 2'!N7:N14</f>
        <v>15575.04</v>
      </c>
      <c r="E5" s="2693">
        <f t="array" ref="E5:E12">'G.F. 3'!N7:N14</f>
        <v>16198.041600000004</v>
      </c>
      <c r="F5" s="2692">
        <f t="array" ref="F5:F12">'G.F. 4'!N7:N14</f>
        <v>16845.963263999998</v>
      </c>
    </row>
    <row r="6" spans="1:6">
      <c r="A6" s="251" t="str">
        <v>Outros trab. Independentes</v>
      </c>
      <c r="B6" s="2692">
        <v>0</v>
      </c>
      <c r="C6" s="2693">
        <v>0</v>
      </c>
      <c r="D6" s="2692">
        <v>0</v>
      </c>
      <c r="E6" s="2693">
        <v>0</v>
      </c>
      <c r="F6" s="2692">
        <v>0</v>
      </c>
    </row>
    <row r="7" spans="1:6">
      <c r="A7" s="251" t="str">
        <v>Empregados</v>
      </c>
      <c r="B7" s="2692">
        <v>0</v>
      </c>
      <c r="C7" s="2693">
        <v>0</v>
      </c>
      <c r="D7" s="2692">
        <v>0</v>
      </c>
      <c r="E7" s="2693">
        <v>0</v>
      </c>
      <c r="F7" s="2692">
        <v>0</v>
      </c>
    </row>
    <row r="8" spans="1:6">
      <c r="A8" s="251" t="str">
        <v/>
      </c>
      <c r="B8" s="2692">
        <v>0</v>
      </c>
      <c r="C8" s="2693">
        <v>0</v>
      </c>
      <c r="D8" s="2692">
        <v>0</v>
      </c>
      <c r="E8" s="2693">
        <v>0</v>
      </c>
      <c r="F8" s="2692">
        <v>0</v>
      </c>
    </row>
    <row r="9" spans="1:6">
      <c r="A9" s="252" t="str">
        <v/>
      </c>
      <c r="B9" s="2692">
        <v>0</v>
      </c>
      <c r="C9" s="2693">
        <v>0</v>
      </c>
      <c r="D9" s="2692">
        <v>0</v>
      </c>
      <c r="E9" s="2693">
        <v>0</v>
      </c>
      <c r="F9" s="2692">
        <v>0</v>
      </c>
    </row>
    <row r="10" spans="1:6">
      <c r="A10" s="251" t="str">
        <v/>
      </c>
      <c r="B10" s="2692">
        <v>0</v>
      </c>
      <c r="C10" s="2693">
        <v>0</v>
      </c>
      <c r="D10" s="2692">
        <v>0</v>
      </c>
      <c r="E10" s="2693">
        <v>0</v>
      </c>
      <c r="F10" s="2692">
        <v>0</v>
      </c>
    </row>
    <row r="11" spans="1:6">
      <c r="A11" s="251" t="str">
        <v/>
      </c>
      <c r="B11" s="2692">
        <v>0</v>
      </c>
      <c r="C11" s="2693">
        <v>0</v>
      </c>
      <c r="D11" s="2692">
        <v>0</v>
      </c>
      <c r="E11" s="2693">
        <v>0</v>
      </c>
      <c r="F11" s="2692">
        <v>0</v>
      </c>
    </row>
    <row r="12" spans="1:6" ht="15.75" thickBot="1">
      <c r="A12" s="251" t="str">
        <v/>
      </c>
      <c r="B12" s="2692">
        <v>0</v>
      </c>
      <c r="C12" s="2693">
        <v>0</v>
      </c>
      <c r="D12" s="2692">
        <v>0</v>
      </c>
      <c r="E12" s="2693">
        <v>0</v>
      </c>
      <c r="F12" s="2692">
        <v>0</v>
      </c>
    </row>
    <row r="13" spans="1:6" ht="15.75" thickBot="1">
      <c r="A13" s="259" t="str">
        <f>'G.F. 0'!A15</f>
        <v>Total Ordenados e salários</v>
      </c>
      <c r="B13" s="437">
        <f>SUM(B5:B12)</f>
        <v>14400</v>
      </c>
      <c r="C13" s="1820">
        <f>SUM(C5:C12)</f>
        <v>14976</v>
      </c>
      <c r="D13" s="437">
        <f>SUM(D5:D12)</f>
        <v>15575.04</v>
      </c>
      <c r="E13" s="1820">
        <f>SUM(E5:E12)</f>
        <v>16198.041600000004</v>
      </c>
      <c r="F13" s="437">
        <f>SUM(F5:F12)</f>
        <v>16845.963263999998</v>
      </c>
    </row>
    <row r="14" spans="1:6" ht="9.75" customHeight="1" thickBot="1">
      <c r="A14" s="256"/>
      <c r="B14" s="262"/>
      <c r="C14" s="262"/>
      <c r="D14" s="262"/>
      <c r="E14" s="262"/>
      <c r="F14" s="1821"/>
    </row>
    <row r="15" spans="1:6" ht="29.25" thickBot="1">
      <c r="A15" s="17" t="str">
        <f t="array" ref="A15:A18">'G.F. 0'!A17:A20</f>
        <v>Seguros Sociáis</v>
      </c>
      <c r="B15" s="2175" t="str">
        <f t="array" ref="B15:F15">anni</f>
        <v>Ano 0:  2026</v>
      </c>
      <c r="C15" s="2176" t="str">
        <v>Ano 1:  2027</v>
      </c>
      <c r="D15" s="2175" t="str">
        <v>Ano 2:  2028</v>
      </c>
      <c r="E15" s="2176" t="str">
        <v>Ano 3:  2029</v>
      </c>
      <c r="F15" s="2175" t="str">
        <v>Ano 4:  2030</v>
      </c>
    </row>
    <row r="16" spans="1:6">
      <c r="A16" s="251" t="str">
        <v>Seg. Social Sócios (Trab. Independentes)</v>
      </c>
      <c r="B16" s="1818">
        <f t="array" ref="B16:B17" ca="1">'G.F. 0'!N18:N19</f>
        <v>1497.9545454545457</v>
      </c>
      <c r="C16" s="1819">
        <f t="array" ref="C16:C17" ca="1">'G.F. 1'!N18:N19</f>
        <v>2862.306818181818</v>
      </c>
      <c r="D16" s="1818">
        <f t="array" ref="D16:D17" ca="1">'G.F. 2'!N18:N19</f>
        <v>3114.9324375000006</v>
      </c>
      <c r="E16" s="1819">
        <f t="array" ref="E16:E17" ca="1">'G.F. 3'!N18:N19</f>
        <v>3369.9672831374996</v>
      </c>
      <c r="F16" s="1818">
        <f t="array" ref="F16:F17" ca="1">'G.F. 4'!N18:N19</f>
        <v>3644.6480344447509</v>
      </c>
    </row>
    <row r="17" spans="1:6" ht="15.75" thickBot="1">
      <c r="A17" s="254" t="str">
        <v>Seg. Social Empregados</v>
      </c>
      <c r="B17" s="1822">
        <v>0</v>
      </c>
      <c r="C17" s="1823">
        <v>0</v>
      </c>
      <c r="D17" s="1822">
        <v>0</v>
      </c>
      <c r="E17" s="1823">
        <v>0</v>
      </c>
      <c r="F17" s="1822">
        <v>0</v>
      </c>
    </row>
    <row r="18" spans="1:6" ht="15.75" thickBot="1">
      <c r="A18" s="259" t="str">
        <v>Total Seguros Sociáis</v>
      </c>
      <c r="B18" s="437">
        <f ca="1">SUM(B16:B17)</f>
        <v>1497.9545454545457</v>
      </c>
      <c r="C18" s="1820">
        <f ca="1">SUM(C16:C17)</f>
        <v>2862.306818181818</v>
      </c>
      <c r="D18" s="437">
        <f ca="1">SUM(D16:D17)</f>
        <v>3114.9324375000006</v>
      </c>
      <c r="E18" s="1820">
        <f ca="1">SUM(E16:E17)</f>
        <v>3369.9672831374996</v>
      </c>
      <c r="F18" s="437">
        <f ca="1">SUM(F16:F17)</f>
        <v>3644.6480344447509</v>
      </c>
    </row>
    <row r="19" spans="1:6" ht="9.75" customHeight="1" thickBot="1">
      <c r="A19" s="256"/>
      <c r="B19" s="262"/>
      <c r="C19" s="262"/>
      <c r="D19" s="262"/>
      <c r="E19" s="262"/>
      <c r="F19" s="1821"/>
    </row>
    <row r="20" spans="1:6" ht="29.25" thickBot="1">
      <c r="A20" s="17" t="str">
        <f t="array" ref="A20:A23">'G.F. 0'!A22:A25</f>
        <v>Altas e baixas do pessoal</v>
      </c>
      <c r="B20" s="2175" t="str">
        <f t="array" ref="B20:F20">anni</f>
        <v>Ano 0:  2026</v>
      </c>
      <c r="C20" s="2176" t="str">
        <v>Ano 1:  2027</v>
      </c>
      <c r="D20" s="2175" t="str">
        <v>Ano 2:  2028</v>
      </c>
      <c r="E20" s="2176" t="str">
        <v>Ano 3:  2029</v>
      </c>
      <c r="F20" s="2175" t="str">
        <v>Ano 4:  2030</v>
      </c>
    </row>
    <row r="21" spans="1:6">
      <c r="A21" s="251" t="str">
        <v>Altas e baixas de sócios</v>
      </c>
      <c r="B21" s="2692">
        <f t="array" ref="B21:B22">'G.F. 0'!N23:N24</f>
        <v>0</v>
      </c>
      <c r="C21" s="2693">
        <f t="array" ref="C21:C22">'G.F. 1'!N23:N24</f>
        <v>0</v>
      </c>
      <c r="D21" s="2692">
        <f t="array" ref="D21:D22">'G.F. 2'!N23:N24</f>
        <v>0</v>
      </c>
      <c r="E21" s="2693">
        <f t="array" ref="E21:E22">'G.F. 3'!N23:N24</f>
        <v>0</v>
      </c>
      <c r="F21" s="2692">
        <f t="array" ref="F21:F22">'G.F. 4'!N23:N24</f>
        <v>0</v>
      </c>
    </row>
    <row r="22" spans="1:6" ht="15.75" thickBot="1">
      <c r="A22" s="251" t="str">
        <v>Altas de empregados</v>
      </c>
      <c r="B22" s="2692">
        <v>0</v>
      </c>
      <c r="C22" s="2693">
        <v>0</v>
      </c>
      <c r="D22" s="2692">
        <v>0</v>
      </c>
      <c r="E22" s="2693">
        <v>0</v>
      </c>
      <c r="F22" s="2692">
        <v>0</v>
      </c>
    </row>
    <row r="23" spans="1:6" ht="15.75" thickBot="1">
      <c r="A23" s="259" t="str">
        <v>Total Altas e baixas do pessoal</v>
      </c>
      <c r="B23" s="437">
        <f>SUM(B21:B22)</f>
        <v>0</v>
      </c>
      <c r="C23" s="1820">
        <f>SUM(C21:C22)</f>
        <v>0</v>
      </c>
      <c r="D23" s="437">
        <f>SUM(D21:D22)</f>
        <v>0</v>
      </c>
      <c r="E23" s="1820">
        <f>SUM(E21:E22)</f>
        <v>0</v>
      </c>
      <c r="F23" s="437">
        <f>SUM(F21:F22)</f>
        <v>0</v>
      </c>
    </row>
    <row r="24" spans="1:6" ht="9" customHeight="1" thickBot="1">
      <c r="A24" s="253"/>
      <c r="B24" s="1824"/>
      <c r="C24" s="1824"/>
      <c r="D24" s="1824"/>
      <c r="E24" s="1824"/>
      <c r="F24" s="1824"/>
    </row>
    <row r="25" spans="1:6" ht="15.75" thickBot="1">
      <c r="A25" s="150" t="str">
        <f>'G.F. 0'!A27</f>
        <v>Total Gastos de pessoal</v>
      </c>
      <c r="B25" s="437">
        <f t="array" ref="B25:F25" ca="1">B13:F13+B18:F18+B23:F23</f>
        <v>15897.954545454546</v>
      </c>
      <c r="C25" s="437">
        <f ca="1"/>
        <v>17838.306818181816</v>
      </c>
      <c r="D25" s="437">
        <f ca="1"/>
        <v>18689.972437500001</v>
      </c>
      <c r="E25" s="437">
        <f ca="1"/>
        <v>19568.008883137503</v>
      </c>
      <c r="F25" s="437">
        <f ca="1"/>
        <v>20490.61129844475</v>
      </c>
    </row>
    <row r="26" spans="1:6">
      <c r="A26" s="88"/>
      <c r="B26" s="2045" t="str">
        <f>'Dados Evaluação'!B53</f>
        <v/>
      </c>
      <c r="C26" s="86"/>
      <c r="D26" s="86"/>
      <c r="E26" s="86"/>
      <c r="F26" s="86"/>
    </row>
    <row r="27" spans="1:6" ht="15.75" thickBot="1">
      <c r="A27" s="88"/>
      <c r="B27" s="1825"/>
      <c r="C27" s="86"/>
      <c r="D27" s="86"/>
      <c r="E27" s="86"/>
      <c r="F27" s="86"/>
    </row>
    <row r="28" spans="1:6" ht="29.25" thickBot="1">
      <c r="A28" s="2855" t="str">
        <f>'G.F. 0'!A32</f>
        <v>Outros gastos fixos</v>
      </c>
      <c r="B28" s="2175" t="str">
        <f t="array" ref="B28:F28">anni</f>
        <v>Ano 0:  2026</v>
      </c>
      <c r="C28" s="2176" t="str">
        <v>Ano 1:  2027</v>
      </c>
      <c r="D28" s="2175" t="str">
        <v>Ano 2:  2028</v>
      </c>
      <c r="E28" s="2176" t="str">
        <v>Ano 3:  2029</v>
      </c>
      <c r="F28" s="2175" t="str">
        <v>Ano 4:  2030</v>
      </c>
    </row>
    <row r="29" spans="1:6">
      <c r="A29" s="1773" t="str">
        <f t="array" ref="A29:A50">'Despesas Fixas Dados'!A6:A27</f>
        <v>Impostos: IAE, IBI, ...</v>
      </c>
      <c r="B29" s="2694">
        <f t="array" ref="B29:B50">'G.F. 0'!$N33:N54</f>
        <v>0</v>
      </c>
      <c r="C29" s="2695">
        <f t="array" ref="C29:C50">'G.F. 1'!N33:N54</f>
        <v>0</v>
      </c>
      <c r="D29" s="2694">
        <f t="array" ref="D29:D50">'G.F. 2'!N33:N54</f>
        <v>0</v>
      </c>
      <c r="E29" s="2695">
        <f t="array" ref="E29:E50">'G.F. 3'!N33:N54</f>
        <v>0</v>
      </c>
      <c r="F29" s="2694">
        <f t="array" ref="F29:F50">'G.F. 4'!N33:N54</f>
        <v>0</v>
      </c>
    </row>
    <row r="30" spans="1:6">
      <c r="A30" s="1773" t="str">
        <v>Outras despesas fixas ( Sem IVA )</v>
      </c>
      <c r="B30" s="2692">
        <v>0</v>
      </c>
      <c r="C30" s="2693">
        <v>0</v>
      </c>
      <c r="D30" s="2692">
        <v>0</v>
      </c>
      <c r="E30" s="2693">
        <v>0</v>
      </c>
      <c r="F30" s="2692">
        <v>0</v>
      </c>
    </row>
    <row r="31" spans="1:6">
      <c r="A31" s="1773" t="str">
        <v>Priémios de Seguros</v>
      </c>
      <c r="B31" s="2692">
        <v>0</v>
      </c>
      <c r="C31" s="2693">
        <v>0</v>
      </c>
      <c r="D31" s="2692">
        <v>0</v>
      </c>
      <c r="E31" s="2693">
        <v>0</v>
      </c>
      <c r="F31" s="2692">
        <v>0</v>
      </c>
    </row>
    <row r="32" spans="1:6">
      <c r="A32" s="1773" t="str">
        <v>Ordem / asociação profissional</v>
      </c>
      <c r="B32" s="2692">
        <v>0</v>
      </c>
      <c r="C32" s="2693">
        <v>0</v>
      </c>
      <c r="D32" s="2692">
        <v>0</v>
      </c>
      <c r="E32" s="2693">
        <v>0</v>
      </c>
      <c r="F32" s="2692">
        <v>0</v>
      </c>
    </row>
    <row r="33" spans="1:6">
      <c r="A33" s="1773" t="str">
        <v>Suministro de Electricidade</v>
      </c>
      <c r="B33" s="2692">
        <v>0</v>
      </c>
      <c r="C33" s="2693">
        <v>0</v>
      </c>
      <c r="D33" s="2692">
        <v>0</v>
      </c>
      <c r="E33" s="2693">
        <v>0</v>
      </c>
      <c r="F33" s="2692">
        <v>0</v>
      </c>
    </row>
    <row r="34" spans="1:6">
      <c r="A34" s="1773" t="str">
        <v>Cuotas periódicas software e IA</v>
      </c>
      <c r="B34" s="2692">
        <v>0</v>
      </c>
      <c r="C34" s="2693">
        <v>0</v>
      </c>
      <c r="D34" s="2692">
        <v>0</v>
      </c>
      <c r="E34" s="2693">
        <v>0</v>
      </c>
      <c r="F34" s="2692">
        <v>0</v>
      </c>
    </row>
    <row r="35" spans="1:6">
      <c r="A35" s="1773" t="str">
        <v>Água, taxas saneamiento e lixo</v>
      </c>
      <c r="B35" s="2692">
        <v>0</v>
      </c>
      <c r="C35" s="2693">
        <v>0</v>
      </c>
      <c r="D35" s="2692">
        <v>0</v>
      </c>
      <c r="E35" s="2693">
        <v>0</v>
      </c>
      <c r="F35" s="2692">
        <v>0</v>
      </c>
    </row>
    <row r="36" spans="1:6">
      <c r="A36" s="1773" t="str">
        <v>Outros suministros (gaz, etc.)</v>
      </c>
      <c r="B36" s="2692">
        <v>0</v>
      </c>
      <c r="C36" s="2693">
        <v>0</v>
      </c>
      <c r="D36" s="2692">
        <v>0</v>
      </c>
      <c r="E36" s="2693">
        <v>0</v>
      </c>
      <c r="F36" s="2692">
        <v>0</v>
      </c>
    </row>
    <row r="37" spans="1:6">
      <c r="A37" s="1773" t="str">
        <v>Telefonia / Internet / Comunicações</v>
      </c>
      <c r="B37" s="2692">
        <v>0</v>
      </c>
      <c r="C37" s="2693">
        <v>0</v>
      </c>
      <c r="D37" s="2692">
        <v>0</v>
      </c>
      <c r="E37" s="2693">
        <v>0</v>
      </c>
      <c r="F37" s="2692">
        <v>0</v>
      </c>
    </row>
    <row r="38" spans="1:6">
      <c r="A38" s="1773" t="str">
        <v>Alojamento e serviços web</v>
      </c>
      <c r="B38" s="2692">
        <v>0</v>
      </c>
      <c r="C38" s="2693">
        <v>0</v>
      </c>
      <c r="D38" s="2692">
        <v>0</v>
      </c>
      <c r="E38" s="2693">
        <v>0</v>
      </c>
      <c r="F38" s="2692">
        <v>0</v>
      </c>
    </row>
    <row r="39" spans="1:6">
      <c r="A39" s="1773" t="str">
        <v>Alarma / Empresa de seguridade</v>
      </c>
      <c r="B39" s="2692">
        <v>0</v>
      </c>
      <c r="C39" s="2693">
        <v>0</v>
      </c>
      <c r="D39" s="2692">
        <v>0</v>
      </c>
      <c r="E39" s="2693">
        <v>0</v>
      </c>
      <c r="F39" s="2692">
        <v>0</v>
      </c>
    </row>
    <row r="40" spans="1:6">
      <c r="A40" s="1773" t="str">
        <v>Material de escritório / papelaria</v>
      </c>
      <c r="B40" s="2692">
        <v>0</v>
      </c>
      <c r="C40" s="2693">
        <v>0</v>
      </c>
      <c r="D40" s="2692">
        <v>0</v>
      </c>
      <c r="E40" s="2693">
        <v>0</v>
      </c>
      <c r="F40" s="2692">
        <v>0</v>
      </c>
    </row>
    <row r="41" spans="1:6">
      <c r="A41" s="1773" t="str">
        <v>Congresos / Salões / Viágems</v>
      </c>
      <c r="B41" s="2692">
        <v>0</v>
      </c>
      <c r="C41" s="2693">
        <v>0</v>
      </c>
      <c r="D41" s="2692">
        <v>0</v>
      </c>
      <c r="E41" s="2693">
        <v>0</v>
      </c>
      <c r="F41" s="2692">
        <v>0</v>
      </c>
    </row>
    <row r="42" spans="1:6">
      <c r="A42" s="1773" t="str">
        <v>Transporte e desplaçamentos</v>
      </c>
      <c r="B42" s="2692">
        <v>0</v>
      </c>
      <c r="C42" s="2693">
        <v>0</v>
      </c>
      <c r="D42" s="2692">
        <v>0</v>
      </c>
      <c r="E42" s="2693">
        <v>0</v>
      </c>
      <c r="F42" s="2692">
        <v>0</v>
      </c>
    </row>
    <row r="43" spans="1:6">
      <c r="A43" s="1773" t="str">
        <v>Asesoría e profissionais independentes</v>
      </c>
      <c r="B43" s="2692">
        <v>0</v>
      </c>
      <c r="C43" s="2693">
        <v>0</v>
      </c>
      <c r="D43" s="2692">
        <v>0</v>
      </c>
      <c r="E43" s="2693">
        <v>0</v>
      </c>
      <c r="F43" s="2692">
        <v>0</v>
      </c>
    </row>
    <row r="44" spans="1:6">
      <c r="A44" s="1773" t="str">
        <v>Arrendamentos / alugueres</v>
      </c>
      <c r="B44" s="2692">
        <v>0</v>
      </c>
      <c r="C44" s="2693">
        <v>0</v>
      </c>
      <c r="D44" s="2692">
        <v>0</v>
      </c>
      <c r="E44" s="2693">
        <v>0</v>
      </c>
      <c r="F44" s="2692">
        <v>0</v>
      </c>
    </row>
    <row r="45" spans="1:6">
      <c r="A45" s="1773" t="str">
        <v>Despesas Variáveis Marketing online</v>
      </c>
      <c r="B45" s="2692">
        <f ca="1"/>
        <v>143.99999999999997</v>
      </c>
      <c r="C45" s="2693">
        <f ca="1"/>
        <v>247.19999999999996</v>
      </c>
      <c r="D45" s="2692">
        <f ca="1"/>
        <v>267.34679999999997</v>
      </c>
      <c r="E45" s="2693">
        <f ca="1"/>
        <v>289.2666914400001</v>
      </c>
      <c r="F45" s="2692">
        <f ca="1"/>
        <v>312.80140847520005</v>
      </c>
    </row>
    <row r="46" spans="1:6">
      <c r="A46" s="1773" t="str">
        <v>Despesas Fixas Marketing online</v>
      </c>
      <c r="B46" s="2692">
        <v>0</v>
      </c>
      <c r="C46" s="2693">
        <v>0</v>
      </c>
      <c r="D46" s="2692">
        <v>0</v>
      </c>
      <c r="E46" s="2693">
        <v>0</v>
      </c>
      <c r="F46" s="2692">
        <v>0</v>
      </c>
    </row>
    <row r="47" spans="1:6">
      <c r="A47" s="1773" t="str">
        <v>Despesas Variáveis Marketing off-line</v>
      </c>
      <c r="B47" s="2692">
        <f ca="1"/>
        <v>143.99999999999997</v>
      </c>
      <c r="C47" s="2693">
        <f ca="1"/>
        <v>247.19999999999996</v>
      </c>
      <c r="D47" s="2692">
        <f ca="1"/>
        <v>267.34679999999997</v>
      </c>
      <c r="E47" s="2693">
        <f ca="1"/>
        <v>289.2666914400001</v>
      </c>
      <c r="F47" s="2692">
        <f ca="1"/>
        <v>312.80140847520005</v>
      </c>
    </row>
    <row r="48" spans="1:6">
      <c r="A48" s="1773" t="str">
        <v>Despesas Fixas Marketing off-line</v>
      </c>
      <c r="B48" s="2692">
        <v>0</v>
      </c>
      <c r="C48" s="2693">
        <v>0</v>
      </c>
      <c r="D48" s="2692">
        <v>0</v>
      </c>
      <c r="E48" s="2693">
        <v>0</v>
      </c>
      <c r="F48" s="2692">
        <v>0</v>
      </c>
    </row>
    <row r="49" spans="1:6">
      <c r="A49" s="1773" t="str">
        <v>Manutenção e reparações</v>
      </c>
      <c r="B49" s="2692">
        <v>0</v>
      </c>
      <c r="C49" s="2693">
        <v>0</v>
      </c>
      <c r="D49" s="2692">
        <v>0</v>
      </c>
      <c r="E49" s="2693">
        <v>0</v>
      </c>
      <c r="F49" s="2692">
        <v>0</v>
      </c>
    </row>
    <row r="50" spans="1:6" ht="15.75" thickBot="1">
      <c r="A50" s="1773" t="str">
        <v>Outras despesas Imprevistas</v>
      </c>
      <c r="B50" s="2692">
        <f ca="1"/>
        <v>28.799999999999994</v>
      </c>
      <c r="C50" s="2693">
        <f ca="1"/>
        <v>29.951999999999995</v>
      </c>
      <c r="D50" s="2692">
        <f ca="1"/>
        <v>31.150079999999999</v>
      </c>
      <c r="E50" s="2693">
        <f ca="1"/>
        <v>32.396083200000007</v>
      </c>
      <c r="F50" s="2692">
        <f ca="1"/>
        <v>33.691926528000003</v>
      </c>
    </row>
    <row r="51" spans="1:6" ht="15.75" thickBot="1">
      <c r="A51" s="2855" t="str">
        <f>'G.F. 0'!A55</f>
        <v>Total Outros gastos fixos</v>
      </c>
      <c r="B51" s="437">
        <f t="shared" ref="B51:F51" ca="1" si="0">SUM(B29:B50)</f>
        <v>316.79999999999995</v>
      </c>
      <c r="C51" s="1820">
        <f t="shared" ca="1" si="0"/>
        <v>524.35199999999986</v>
      </c>
      <c r="D51" s="437">
        <f t="shared" ca="1" si="0"/>
        <v>565.84367999999995</v>
      </c>
      <c r="E51" s="1820">
        <f t="shared" ca="1" si="0"/>
        <v>610.92946608000022</v>
      </c>
      <c r="F51" s="437">
        <f t="shared" ca="1" si="0"/>
        <v>659.29474347840005</v>
      </c>
    </row>
    <row r="52" spans="1:6" ht="15.75" thickBot="1">
      <c r="A52" s="1826"/>
    </row>
    <row r="53" spans="1:6" ht="15.75" thickBot="1">
      <c r="A53" s="150" t="str">
        <f>'G.F. 0'!A58</f>
        <v>Total Gastos Fixos</v>
      </c>
      <c r="B53" s="437">
        <f t="array" ref="B53:F53" ca="1">B25:F25+B51:F51</f>
        <v>16214.754545454545</v>
      </c>
      <c r="C53" s="437">
        <f ca="1"/>
        <v>18362.658818181815</v>
      </c>
      <c r="D53" s="437">
        <f ca="1"/>
        <v>19255.816117499999</v>
      </c>
      <c r="E53" s="437">
        <f ca="1"/>
        <v>20178.938349217504</v>
      </c>
      <c r="F53" s="437">
        <f ca="1"/>
        <v>21149.90604192315</v>
      </c>
    </row>
    <row r="54" spans="1:6">
      <c r="B54" s="2045" t="str">
        <f>B26</f>
        <v/>
      </c>
    </row>
  </sheetData>
  <sheetProtection sheet="1" objects="1" scenarios="1"/>
  <phoneticPr fontId="4" type="noConversion"/>
  <printOptions horizontalCentered="1"/>
  <pageMargins left="0.75" right="0.75" top="0.6692913385826772" bottom="0.52" header="0" footer="0"/>
  <pageSetup paperSize="9" scale="94" orientation="portrait" horizontalDpi="300" r:id="rId1"/>
  <headerFooter alignWithMargins="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36">
    <pageSetUpPr fitToPage="1"/>
  </sheetPr>
  <dimension ref="A1:O43"/>
  <sheetViews>
    <sheetView workbookViewId="0"/>
  </sheetViews>
  <sheetFormatPr baseColWidth="10" defaultColWidth="11" defaultRowHeight="15"/>
  <cols>
    <col min="1" max="1" width="32.875" style="21" customWidth="1"/>
    <col min="2" max="2" width="16.75" style="21" customWidth="1"/>
    <col min="3" max="3" width="14.875" style="22" customWidth="1"/>
    <col min="4" max="8" width="13.5" style="22" customWidth="1"/>
    <col min="9" max="10" width="13.625" style="22" customWidth="1"/>
    <col min="11" max="11" width="15.125" style="22" customWidth="1"/>
    <col min="12" max="12" width="14.875" style="22" customWidth="1"/>
    <col min="13" max="15" width="14.25" style="20" bestFit="1" customWidth="1"/>
    <col min="16" max="16384" width="11" style="21"/>
  </cols>
  <sheetData>
    <row r="1" spans="1:13" ht="25.5">
      <c r="A1" s="572" t="s">
        <v>862</v>
      </c>
      <c r="B1" s="18"/>
      <c r="C1" s="19"/>
      <c r="D1" s="19"/>
      <c r="E1" s="19"/>
      <c r="F1" s="19"/>
      <c r="G1" s="19"/>
      <c r="H1" s="19"/>
      <c r="I1" s="19"/>
      <c r="J1" s="19"/>
      <c r="K1" s="19"/>
      <c r="L1" s="19"/>
      <c r="M1" s="573"/>
    </row>
    <row r="2" spans="1:13" ht="25.5">
      <c r="A2" s="572" t="str">
        <f>'Dados Básicos'!$B$9</f>
        <v>WWW, S.L.</v>
      </c>
      <c r="B2" s="18"/>
      <c r="C2" s="19"/>
      <c r="D2" s="19"/>
      <c r="E2" s="19"/>
      <c r="F2" s="19"/>
      <c r="G2" s="19"/>
      <c r="H2" s="19"/>
      <c r="I2" s="19"/>
      <c r="J2" s="19"/>
      <c r="K2" s="19"/>
      <c r="L2" s="19"/>
    </row>
    <row r="3" spans="1:13" ht="13.5" customHeight="1" thickBot="1"/>
    <row r="4" spans="1:13" s="23" customFormat="1" ht="30.75" customHeight="1" thickBot="1">
      <c r="A4" s="3314" t="s">
        <v>1118</v>
      </c>
      <c r="B4" s="2133" t="s">
        <v>870</v>
      </c>
      <c r="C4" s="2134" t="s">
        <v>863</v>
      </c>
      <c r="D4" s="2135" t="str">
        <f>CONCATENATE("Inv. Neta Início ",'Dados Básicos'!B18)</f>
        <v>Inv. Neta Início Ano 0</v>
      </c>
      <c r="E4" s="2135" t="str">
        <f>CONCATENATE("Inv. Início ano ",'Dados Básicos'!C18)</f>
        <v>Inv. Início ano 1</v>
      </c>
      <c r="F4" s="2135" t="str">
        <f>CONCATENATE("Inv. Início ano ",'Dados Básicos'!D18)</f>
        <v>Inv. Início ano 2</v>
      </c>
      <c r="G4" s="2135" t="str">
        <f>CONCATENATE("Inv. Início ano ",'Dados Básicos'!E18)</f>
        <v>Inv. Início ano 3</v>
      </c>
      <c r="H4" s="2135" t="str">
        <f>CONCATENATE("Inv. Início ano ",'Dados Básicos'!F18)</f>
        <v>Inv. Início ano 4</v>
      </c>
      <c r="J4" s="2899" t="s">
        <v>1102</v>
      </c>
      <c r="K4" s="2900" t="s">
        <v>19</v>
      </c>
      <c r="L4" s="2901" t="s">
        <v>1128</v>
      </c>
    </row>
    <row r="5" spans="1:13" s="463" customFormat="1" ht="21.75" customHeight="1" thickBot="1">
      <c r="A5" s="3315"/>
      <c r="B5" s="2139" t="s">
        <v>871</v>
      </c>
      <c r="C5" s="2140" t="s">
        <v>1122</v>
      </c>
      <c r="D5" s="2141" t="str">
        <f t="array" ref="D5:H5">Parametros!D65:H65</f>
        <v>2026</v>
      </c>
      <c r="E5" s="2141" t="str">
        <v>2027</v>
      </c>
      <c r="F5" s="2142" t="str">
        <v>2028</v>
      </c>
      <c r="G5" s="2142" t="str">
        <v>2029</v>
      </c>
      <c r="H5" s="2142" t="str">
        <v>2030</v>
      </c>
    </row>
    <row r="6" spans="1:13" s="32" customFormat="1" ht="23.25" customHeight="1">
      <c r="A6" s="2146" t="s">
        <v>761</v>
      </c>
      <c r="B6" s="2147">
        <f t="shared" ref="B6:H6" si="0">SUM(B7:B15)</f>
        <v>0</v>
      </c>
      <c r="C6" s="2148">
        <f t="shared" si="0"/>
        <v>0</v>
      </c>
      <c r="D6" s="1343">
        <f t="shared" si="0"/>
        <v>0</v>
      </c>
      <c r="E6" s="2149">
        <f t="shared" si="0"/>
        <v>0</v>
      </c>
      <c r="F6" s="2147">
        <f t="shared" si="0"/>
        <v>0</v>
      </c>
      <c r="G6" s="2147">
        <f t="shared" si="0"/>
        <v>0</v>
      </c>
      <c r="H6" s="2147">
        <f t="shared" si="0"/>
        <v>0</v>
      </c>
      <c r="J6" s="2147">
        <f>SUM(J7:J15)</f>
        <v>0</v>
      </c>
      <c r="K6" s="2147">
        <f>SUM(K7:K15)</f>
        <v>0</v>
      </c>
      <c r="L6" s="2147">
        <f>SUM(L7:L15)</f>
        <v>0</v>
      </c>
    </row>
    <row r="7" spans="1:13" s="24" customFormat="1" ht="18" customHeight="1">
      <c r="A7" s="2136" t="str">
        <f>'Inv. Iniciais ANC'!A6</f>
        <v>Terrenos</v>
      </c>
      <c r="B7" s="1340">
        <f>'Inv. Iniciais ANC'!B6</f>
        <v>0</v>
      </c>
      <c r="C7" s="674"/>
      <c r="D7" s="1338">
        <f t="array" ref="D7:D15">B7:B15-C7:C15</f>
        <v>0</v>
      </c>
      <c r="E7" s="1337">
        <f>'Inv. Adicionais ANC'!C6</f>
        <v>0</v>
      </c>
      <c r="F7" s="1338">
        <f>'Inv. Adicionais ANC'!D6</f>
        <v>0</v>
      </c>
      <c r="G7" s="1338">
        <f>'Inv. Adicionais ANC'!E6</f>
        <v>0</v>
      </c>
      <c r="H7" s="1338">
        <f>'Inv. Adicionais ANC'!F6</f>
        <v>0</v>
      </c>
      <c r="J7" s="2920">
        <f>'Bal. Inicial Previo'!D14</f>
        <v>0</v>
      </c>
      <c r="K7" s="2920">
        <v>0</v>
      </c>
      <c r="L7" s="2920">
        <f t="shared" ref="L7:L17" si="1">J7+K7</f>
        <v>0</v>
      </c>
    </row>
    <row r="8" spans="1:13" ht="18" customHeight="1">
      <c r="A8" s="2136" t="str">
        <f>'Inv. Iniciais ANC'!A7</f>
        <v>Obra construida</v>
      </c>
      <c r="B8" s="1340">
        <f>'Inv. Iniciais ANC'!B10-B7</f>
        <v>0</v>
      </c>
      <c r="C8" s="1339">
        <f>'Inv. Iniciais ANC'!E10</f>
        <v>0</v>
      </c>
      <c r="D8" s="1338">
        <v>0</v>
      </c>
      <c r="E8" s="1337">
        <f>'Inv. Adicionais ANC'!C10-E7</f>
        <v>0</v>
      </c>
      <c r="F8" s="1338">
        <f>'Inv. Adicionais ANC'!D10-F7</f>
        <v>0</v>
      </c>
      <c r="G8" s="1338">
        <f>'Inv. Adicionais ANC'!E10-G7</f>
        <v>0</v>
      </c>
      <c r="H8" s="1338">
        <f>'Inv. Adicionais ANC'!F10-H7</f>
        <v>0</v>
      </c>
      <c r="J8" s="2920">
        <v>0</v>
      </c>
      <c r="K8" s="2920">
        <v>0</v>
      </c>
      <c r="L8" s="2920">
        <f t="shared" si="1"/>
        <v>0</v>
      </c>
    </row>
    <row r="9" spans="1:13" ht="18" customHeight="1">
      <c r="A9" s="2136" t="str">
        <f>MID('Inv. Iniciais ANC'!A20,7,30)</f>
        <v>Instalações</v>
      </c>
      <c r="B9" s="1340">
        <f>'Inv. Iniciais ANC'!B20</f>
        <v>0</v>
      </c>
      <c r="C9" s="1339">
        <f>'Inv. Iniciais ANC'!E20</f>
        <v>0</v>
      </c>
      <c r="D9" s="1338">
        <v>0</v>
      </c>
      <c r="E9" s="1337">
        <f>'Inv. Adicionais ANC'!C20</f>
        <v>0</v>
      </c>
      <c r="F9" s="1338">
        <f>'Inv. Adicionais ANC'!D20</f>
        <v>0</v>
      </c>
      <c r="G9" s="1338">
        <f>'Inv. Adicionais ANC'!E20</f>
        <v>0</v>
      </c>
      <c r="H9" s="1338">
        <f>'Inv. Adicionais ANC'!F20</f>
        <v>0</v>
      </c>
      <c r="J9" s="2920">
        <f>+'Bal. Inicial Previo'!D12</f>
        <v>0</v>
      </c>
      <c r="K9" s="2920">
        <f>'Inv. Adicionais ANC'!B20-'Inv. Adicionais ANC'!B19</f>
        <v>0</v>
      </c>
      <c r="L9" s="2920">
        <f t="shared" si="1"/>
        <v>0</v>
      </c>
    </row>
    <row r="10" spans="1:13" ht="18" customHeight="1">
      <c r="A10" s="2136" t="str">
        <f>MID('Inv. Iniciais ANC'!A26,7,30)</f>
        <v>Maquinaria</v>
      </c>
      <c r="B10" s="1340">
        <f>'Inv. Iniciais ANC'!B26</f>
        <v>0</v>
      </c>
      <c r="C10" s="1339">
        <f>'Inv. Iniciais ANC'!E26</f>
        <v>0</v>
      </c>
      <c r="D10" s="1338">
        <v>0</v>
      </c>
      <c r="E10" s="1337">
        <f>'Inv. Adicionais ANC'!C26</f>
        <v>0</v>
      </c>
      <c r="F10" s="1338">
        <f>'Inv. Adicionais ANC'!D26</f>
        <v>0</v>
      </c>
      <c r="G10" s="1338">
        <f>'Inv. Adicionais ANC'!E26</f>
        <v>0</v>
      </c>
      <c r="H10" s="1338">
        <f>'Inv. Adicionais ANC'!F26</f>
        <v>0</v>
      </c>
      <c r="J10" s="2920">
        <v>0</v>
      </c>
      <c r="K10" s="2920">
        <f>'Inv. Adicionais ANC'!B26</f>
        <v>0</v>
      </c>
      <c r="L10" s="2920">
        <f t="shared" si="1"/>
        <v>0</v>
      </c>
    </row>
    <row r="11" spans="1:13" ht="18" customHeight="1">
      <c r="A11" s="2136" t="str">
        <f>MID('Inv. Iniciais ANC'!A31,7,30)</f>
        <v>Utensilios, Ferramentas, ...</v>
      </c>
      <c r="B11" s="1340">
        <f>'Inv. Iniciais ANC'!B31</f>
        <v>0</v>
      </c>
      <c r="C11" s="1339">
        <f>'Inv. Iniciais ANC'!E31</f>
        <v>0</v>
      </c>
      <c r="D11" s="1338">
        <v>0</v>
      </c>
      <c r="E11" s="1337">
        <f>'Inv. Adicionais ANC'!C31</f>
        <v>0</v>
      </c>
      <c r="F11" s="1338">
        <f>'Inv. Adicionais ANC'!D31</f>
        <v>0</v>
      </c>
      <c r="G11" s="1338">
        <f>'Inv. Adicionais ANC'!E31</f>
        <v>0</v>
      </c>
      <c r="H11" s="1338">
        <f>'Inv. Adicionais ANC'!F31</f>
        <v>0</v>
      </c>
      <c r="J11" s="2920">
        <v>0</v>
      </c>
      <c r="K11" s="2920">
        <f>'Inv. Adicionais ANC'!B31</f>
        <v>0</v>
      </c>
      <c r="L11" s="2920">
        <f t="shared" si="1"/>
        <v>0</v>
      </c>
    </row>
    <row r="12" spans="1:13" ht="18" customHeight="1">
      <c r="A12" s="2136" t="str">
        <f>MID('Inv. Iniciais ANC'!A37,7,30)</f>
        <v>Mobilia</v>
      </c>
      <c r="B12" s="1340">
        <f>'Inv. Iniciais ANC'!B37</f>
        <v>0</v>
      </c>
      <c r="C12" s="1339">
        <f>'Inv. Iniciais ANC'!E37</f>
        <v>0</v>
      </c>
      <c r="D12" s="1338">
        <v>0</v>
      </c>
      <c r="E12" s="1337">
        <f>'Inv. Adicionais ANC'!C37</f>
        <v>0</v>
      </c>
      <c r="F12" s="1338">
        <f>'Inv. Adicionais ANC'!D37</f>
        <v>0</v>
      </c>
      <c r="G12" s="1338">
        <f>'Inv. Adicionais ANC'!E37</f>
        <v>0</v>
      </c>
      <c r="H12" s="1338">
        <f>'Inv. Adicionais ANC'!F37</f>
        <v>0</v>
      </c>
      <c r="J12" s="2920">
        <v>0</v>
      </c>
      <c r="K12" s="2920">
        <f>'Inv. Adicionais ANC'!B37</f>
        <v>0</v>
      </c>
      <c r="L12" s="2920">
        <f t="shared" si="1"/>
        <v>0</v>
      </c>
    </row>
    <row r="13" spans="1:13" ht="18" customHeight="1">
      <c r="A13" s="2136" t="str">
        <f>MID('Inv. Iniciais ANC'!A43,7,30)</f>
        <v>Elementos de transporte</v>
      </c>
      <c r="B13" s="1340">
        <f>'Inv. Iniciais ANC'!B43</f>
        <v>0</v>
      </c>
      <c r="C13" s="1339">
        <f>'Inv. Iniciais ANC'!E43</f>
        <v>0</v>
      </c>
      <c r="D13" s="1338">
        <v>0</v>
      </c>
      <c r="E13" s="1337">
        <f>'Inv. Adicionais ANC'!C43</f>
        <v>0</v>
      </c>
      <c r="F13" s="1338">
        <f>'Inv. Adicionais ANC'!D43</f>
        <v>0</v>
      </c>
      <c r="G13" s="1338">
        <f>'Inv. Adicionais ANC'!E43</f>
        <v>0</v>
      </c>
      <c r="H13" s="1338">
        <f>'Inv. Adicionais ANC'!F43</f>
        <v>0</v>
      </c>
      <c r="J13" s="2920">
        <v>0</v>
      </c>
      <c r="K13" s="2920">
        <f>'Inv. Adicionais ANC'!B43</f>
        <v>0</v>
      </c>
      <c r="L13" s="2920">
        <f t="shared" si="1"/>
        <v>0</v>
      </c>
    </row>
    <row r="14" spans="1:13" ht="18" customHeight="1">
      <c r="A14" s="2136" t="str">
        <f>MID('Inv. Iniciais ANC'!A50,7,30)</f>
        <v>Equipa processo de informação</v>
      </c>
      <c r="B14" s="1340">
        <f>'Inv. Iniciais ANC'!B50</f>
        <v>0</v>
      </c>
      <c r="C14" s="1339">
        <f>'Inv. Iniciais ANC'!E50</f>
        <v>0</v>
      </c>
      <c r="D14" s="1338">
        <v>0</v>
      </c>
      <c r="E14" s="1337">
        <f>'Inv. Adicionais ANC'!C50</f>
        <v>0</v>
      </c>
      <c r="F14" s="1338">
        <f>'Inv. Adicionais ANC'!D50</f>
        <v>0</v>
      </c>
      <c r="G14" s="1338">
        <f>'Inv. Adicionais ANC'!E50</f>
        <v>0</v>
      </c>
      <c r="H14" s="1338">
        <f>'Inv. Adicionais ANC'!F50</f>
        <v>0</v>
      </c>
      <c r="J14" s="2920">
        <v>0</v>
      </c>
      <c r="K14" s="2920">
        <f>'Inv. Adicionais ANC'!B50</f>
        <v>0</v>
      </c>
      <c r="L14" s="2920">
        <f t="shared" si="1"/>
        <v>0</v>
      </c>
    </row>
    <row r="15" spans="1:13" s="24" customFormat="1" ht="18" customHeight="1">
      <c r="A15" s="2136" t="str">
        <f>MID('Inv. Iniciais ANC'!A55,7,30)</f>
        <v>Outro Ativo Fixo</v>
      </c>
      <c r="B15" s="1340">
        <f>'Inv. Iniciais ANC'!B55</f>
        <v>0</v>
      </c>
      <c r="C15" s="1339">
        <f>'Inv. Iniciais ANC'!E55</f>
        <v>0</v>
      </c>
      <c r="D15" s="1338">
        <v>0</v>
      </c>
      <c r="E15" s="1337">
        <f>'Inv. Adicionais ANC'!C55</f>
        <v>0</v>
      </c>
      <c r="F15" s="1338">
        <f>'Inv. Adicionais ANC'!D55</f>
        <v>0</v>
      </c>
      <c r="G15" s="1338">
        <f>'Inv. Adicionais ANC'!E55</f>
        <v>0</v>
      </c>
      <c r="H15" s="1338">
        <f>'Inv. Adicionais ANC'!F55</f>
        <v>0</v>
      </c>
      <c r="J15" s="2920">
        <v>0</v>
      </c>
      <c r="K15" s="2920">
        <f>'Inv. Adicionais ANC'!B55</f>
        <v>0</v>
      </c>
      <c r="L15" s="2920">
        <f t="shared" si="1"/>
        <v>0</v>
      </c>
    </row>
    <row r="16" spans="1:13" ht="18" customHeight="1" thickBot="1">
      <c r="A16" s="2137"/>
      <c r="B16" s="45"/>
      <c r="C16" s="675"/>
      <c r="D16" s="46"/>
      <c r="E16" s="47"/>
      <c r="F16" s="46"/>
      <c r="G16" s="46"/>
      <c r="H16" s="46"/>
      <c r="J16" s="2920"/>
      <c r="K16" s="2920"/>
      <c r="L16" s="2920">
        <f t="shared" si="1"/>
        <v>0</v>
      </c>
    </row>
    <row r="17" spans="1:15" s="35" customFormat="1" ht="24" customHeight="1">
      <c r="A17" s="2138" t="str">
        <f>MID('Inv. Iniciais ANC'!A63,7,30)</f>
        <v>Imobilizado Intangível</v>
      </c>
      <c r="B17" s="1343">
        <f>'Inv. Iniciais ANC'!B63</f>
        <v>0</v>
      </c>
      <c r="C17" s="1344">
        <f>'Inv. Iniciais ANC'!E63</f>
        <v>0</v>
      </c>
      <c r="D17" s="1343">
        <f>B17-C17</f>
        <v>0</v>
      </c>
      <c r="E17" s="1341">
        <f t="array" ref="E17:H17">'Inv. Adicionais ANC'!C63:F63</f>
        <v>0</v>
      </c>
      <c r="F17" s="1342">
        <v>0</v>
      </c>
      <c r="G17" s="1342">
        <v>0</v>
      </c>
      <c r="H17" s="1342">
        <v>0</v>
      </c>
      <c r="J17" s="2920">
        <f>+'Bal. Inicial Previo'!D10</f>
        <v>0</v>
      </c>
      <c r="K17" s="2920">
        <f>+'Inv. Adicionais ANC'!B63-'Inv. Adicionais ANC'!B62</f>
        <v>0</v>
      </c>
      <c r="L17" s="2920">
        <f t="shared" si="1"/>
        <v>0</v>
      </c>
    </row>
    <row r="18" spans="1:15" ht="15.75" thickBot="1">
      <c r="A18" s="2150"/>
      <c r="B18" s="2151"/>
      <c r="C18" s="2152"/>
      <c r="D18" s="2151"/>
      <c r="E18" s="2153"/>
      <c r="F18" s="2151"/>
      <c r="G18" s="2151"/>
      <c r="H18" s="2151"/>
      <c r="J18" s="2151"/>
      <c r="K18" s="2151"/>
      <c r="L18" s="2151"/>
    </row>
    <row r="19" spans="1:15" s="35" customFormat="1" ht="28.5" customHeight="1" thickBot="1">
      <c r="A19" s="2493" t="s">
        <v>612</v>
      </c>
      <c r="B19" s="2143">
        <f t="array" ref="B19:H19">B6:H6+B17:H17</f>
        <v>0</v>
      </c>
      <c r="C19" s="2144">
        <v>0</v>
      </c>
      <c r="D19" s="2154">
        <v>0</v>
      </c>
      <c r="E19" s="2145">
        <v>0</v>
      </c>
      <c r="F19" s="2143">
        <v>0</v>
      </c>
      <c r="G19" s="2143">
        <v>0</v>
      </c>
      <c r="H19" s="2143">
        <v>0</v>
      </c>
      <c r="J19" s="2143">
        <f t="array" ref="J19:L19">J6:L6+J17:L17</f>
        <v>0</v>
      </c>
      <c r="K19" s="2143">
        <v>0</v>
      </c>
      <c r="L19" s="2143">
        <v>0</v>
      </c>
    </row>
    <row r="21" spans="1:15" s="35" customFormat="1" ht="21" customHeight="1">
      <c r="B21" s="927"/>
      <c r="C21" s="929" t="s">
        <v>868</v>
      </c>
      <c r="D21" s="928" t="str">
        <f t="array" ref="D21">IF(D19=0,"N/D",SUM(D8:D17*$B30:$B39)/D19)</f>
        <v>N/D</v>
      </c>
      <c r="E21" s="928" t="str">
        <f t="array" ref="E21">IF(E19=0,"N/D",SUM(E8:E17*$B30:$B39)/E19)</f>
        <v>N/D</v>
      </c>
      <c r="F21" s="928" t="str">
        <f t="array" ref="F21">IF(F19=0,"N/D",SUM(F8:F17*$B30:$B39)/F19)</f>
        <v>N/D</v>
      </c>
      <c r="G21" s="928" t="str">
        <f t="array" ref="G21">IF(G19=0,"N/D",SUM(G8:G17*$B30:$B39)/G19)</f>
        <v>N/D</v>
      </c>
      <c r="H21" s="928" t="str">
        <f t="array" ref="H21">IF(H19=0,"N/D",SUM(H8:H17*$B30:$B39)/H19)</f>
        <v>N/D</v>
      </c>
      <c r="I21" s="33"/>
      <c r="J21" s="33"/>
      <c r="K21" s="33"/>
      <c r="L21" s="33"/>
      <c r="M21" s="34"/>
      <c r="N21" s="34"/>
      <c r="O21" s="34"/>
    </row>
    <row r="24" spans="1:15" ht="25.5">
      <c r="A24" s="572" t="s">
        <v>864</v>
      </c>
    </row>
    <row r="25" spans="1:15" ht="15.75" thickBot="1"/>
    <row r="26" spans="1:15" ht="22.5">
      <c r="A26" s="3316" t="s">
        <v>710</v>
      </c>
      <c r="B26" s="2155" t="s">
        <v>498</v>
      </c>
      <c r="C26" s="2168" t="s">
        <v>866</v>
      </c>
      <c r="D26" s="2173" t="s">
        <v>865</v>
      </c>
      <c r="E26" s="2156"/>
      <c r="F26" s="2157"/>
      <c r="G26" s="2158"/>
      <c r="H26" s="2158"/>
    </row>
    <row r="27" spans="1:15" ht="21" customHeight="1" thickBot="1">
      <c r="A27" s="3317"/>
      <c r="B27" s="2159" t="s">
        <v>867</v>
      </c>
      <c r="C27" s="2169" t="s">
        <v>867</v>
      </c>
      <c r="D27" s="2160" t="str">
        <f t="array" ref="D27:H27">Parametros!D62:H62</f>
        <v>Ano 0</v>
      </c>
      <c r="E27" s="2713">
        <v>1</v>
      </c>
      <c r="F27" s="2714">
        <v>2</v>
      </c>
      <c r="G27" s="2715">
        <v>3</v>
      </c>
      <c r="H27" s="2715">
        <v>4</v>
      </c>
    </row>
    <row r="28" spans="1:15" ht="18" customHeight="1">
      <c r="A28" s="2146" t="str">
        <f t="array" ref="A28:A37">A6:A15</f>
        <v>Inmobilizado Material</v>
      </c>
      <c r="B28" s="2163"/>
      <c r="C28" s="2170"/>
      <c r="D28" s="2164">
        <f>SUM(D30:D37)</f>
        <v>0</v>
      </c>
      <c r="E28" s="2164">
        <f>SUM(E30:E37)</f>
        <v>0</v>
      </c>
      <c r="F28" s="2164">
        <f>SUM(F30:F37)</f>
        <v>0</v>
      </c>
      <c r="G28" s="2164">
        <f>SUM(G30:G37)</f>
        <v>0</v>
      </c>
      <c r="H28" s="2164">
        <f>SUM(H30:H37)</f>
        <v>0</v>
      </c>
    </row>
    <row r="29" spans="1:15" ht="18" customHeight="1">
      <c r="A29" s="2136" t="str">
        <v>Terrenos</v>
      </c>
      <c r="B29" s="41"/>
      <c r="C29" s="674"/>
      <c r="D29" s="42"/>
      <c r="E29" s="43"/>
      <c r="F29" s="44"/>
      <c r="G29" s="42"/>
      <c r="H29" s="42"/>
    </row>
    <row r="30" spans="1:15" ht="18" customHeight="1">
      <c r="A30" s="2136" t="str">
        <v>Obra construida</v>
      </c>
      <c r="B30" s="672">
        <f>'Inv. Iniciais ANC'!D10</f>
        <v>25</v>
      </c>
      <c r="C30" s="2171">
        <f t="array" ref="C30:C37">1/B30:B37</f>
        <v>0.04</v>
      </c>
      <c r="D30" s="1347">
        <f t="shared" ref="D30:D37" si="2">MIN(D8,B8/B30/12*(12+1-mes0))</f>
        <v>0</v>
      </c>
      <c r="E30" s="1345">
        <f t="shared" ref="E30:E37" si="3">MIN(D8-$D30,(B8)/$B30)
+E8/$B30</f>
        <v>0</v>
      </c>
      <c r="F30" s="1346">
        <f t="shared" ref="F30:F37" si="4">MIN(D8-D30-MIN(D8-D30,($B8)/$B30),($B8)/$B30)
+IF(2&lt;=$B30,E8/$B30,0)
+F8/$B30</f>
        <v>0</v>
      </c>
      <c r="G30" s="1347">
        <f t="shared" ref="G30:G37" si="5">MIN(D8-D30-MIN(D8-D30,($B8)/$B30)-MIN(D8-D30-MIN(D8-$D30,($B8)/$B30),($B8)/$B30),($B8)/$B30)
+IF(3&lt;=$B30,$E8/$B30,0)
+IF(2&lt;=$B30,$F8/$B30,0)
+$G8/$B30</f>
        <v>0</v>
      </c>
      <c r="H30" s="1347">
        <f t="shared" ref="H30:H37" si="6">MIN(D8-D30-MIN(D8-D30,($B8)/$B30)-MIN(D8-D30-MIN(D8-D30,($B8)/$B30),($B8)/$B30)-MIN(D8-D30-MIN(D8-D30,($B8)/$B30)-MIN(D8-D30-MIN(D8-D30,($B8)/$B30),($B8)/$B30),($B8)/$B30),($B8)/$B30)
+IF(4&lt;=$B30,$E8/$B30,0)
+IF(3&lt;=$B30,$F8/$B30,0)
+IF(2&lt;=$B30,$G8/$B30,0)
+$H8/$B30</f>
        <v>0</v>
      </c>
    </row>
    <row r="31" spans="1:15" ht="18" customHeight="1">
      <c r="A31" s="2136" t="str">
        <v>Instalações</v>
      </c>
      <c r="B31" s="672">
        <f>'Inv. Iniciais ANC'!D20</f>
        <v>10.714285714285714</v>
      </c>
      <c r="C31" s="2171">
        <v>9.3333333333333338E-2</v>
      </c>
      <c r="D31" s="1347">
        <f t="shared" si="2"/>
        <v>0</v>
      </c>
      <c r="E31" s="1345">
        <f t="shared" si="3"/>
        <v>0</v>
      </c>
      <c r="F31" s="1346">
        <f t="shared" si="4"/>
        <v>0</v>
      </c>
      <c r="G31" s="1347">
        <f t="shared" si="5"/>
        <v>0</v>
      </c>
      <c r="H31" s="1347">
        <f t="shared" si="6"/>
        <v>0</v>
      </c>
    </row>
    <row r="32" spans="1:15" ht="18" customHeight="1">
      <c r="A32" s="2136" t="str">
        <v>Maquinaria</v>
      </c>
      <c r="B32" s="672">
        <f>'Inv. Iniciais ANC'!D26</f>
        <v>10</v>
      </c>
      <c r="C32" s="2171">
        <v>0.1</v>
      </c>
      <c r="D32" s="1347">
        <f t="shared" si="2"/>
        <v>0</v>
      </c>
      <c r="E32" s="1345">
        <f t="shared" si="3"/>
        <v>0</v>
      </c>
      <c r="F32" s="1346">
        <f t="shared" si="4"/>
        <v>0</v>
      </c>
      <c r="G32" s="1347">
        <f t="shared" si="5"/>
        <v>0</v>
      </c>
      <c r="H32" s="1347">
        <f t="shared" si="6"/>
        <v>0</v>
      </c>
    </row>
    <row r="33" spans="1:8" ht="18" customHeight="1">
      <c r="A33" s="2136" t="str">
        <v>Utensilios, Ferramentas, ...</v>
      </c>
      <c r="B33" s="672">
        <f>'Inv. Iniciais ANC'!D31</f>
        <v>5</v>
      </c>
      <c r="C33" s="2171">
        <v>0.2</v>
      </c>
      <c r="D33" s="1347">
        <f t="shared" si="2"/>
        <v>0</v>
      </c>
      <c r="E33" s="1345">
        <f t="shared" si="3"/>
        <v>0</v>
      </c>
      <c r="F33" s="1346">
        <f t="shared" si="4"/>
        <v>0</v>
      </c>
      <c r="G33" s="1347">
        <f t="shared" si="5"/>
        <v>0</v>
      </c>
      <c r="H33" s="1347">
        <f t="shared" si="6"/>
        <v>0</v>
      </c>
    </row>
    <row r="34" spans="1:8" ht="18" customHeight="1">
      <c r="A34" s="2136" t="str">
        <v>Mobilia</v>
      </c>
      <c r="B34" s="672">
        <f>'Inv. Iniciais ANC'!D37</f>
        <v>5</v>
      </c>
      <c r="C34" s="2171">
        <v>0.2</v>
      </c>
      <c r="D34" s="1347">
        <f t="shared" si="2"/>
        <v>0</v>
      </c>
      <c r="E34" s="1345">
        <f t="shared" si="3"/>
        <v>0</v>
      </c>
      <c r="F34" s="1346">
        <f t="shared" si="4"/>
        <v>0</v>
      </c>
      <c r="G34" s="1347">
        <f t="shared" si="5"/>
        <v>0</v>
      </c>
      <c r="H34" s="1347">
        <f t="shared" si="6"/>
        <v>0</v>
      </c>
    </row>
    <row r="35" spans="1:8" ht="18" customHeight="1">
      <c r="A35" s="2136" t="str">
        <v>Elementos de transporte</v>
      </c>
      <c r="B35" s="672">
        <f>'Inv. Iniciais ANC'!D43</f>
        <v>5</v>
      </c>
      <c r="C35" s="2171">
        <v>0.2</v>
      </c>
      <c r="D35" s="1347">
        <f t="shared" si="2"/>
        <v>0</v>
      </c>
      <c r="E35" s="1345">
        <f t="shared" si="3"/>
        <v>0</v>
      </c>
      <c r="F35" s="1346">
        <f t="shared" si="4"/>
        <v>0</v>
      </c>
      <c r="G35" s="1347">
        <f t="shared" si="5"/>
        <v>0</v>
      </c>
      <c r="H35" s="1347">
        <f t="shared" si="6"/>
        <v>0</v>
      </c>
    </row>
    <row r="36" spans="1:8" ht="18" customHeight="1">
      <c r="A36" s="2136" t="str">
        <v>Equipa processo de informação</v>
      </c>
      <c r="B36" s="672">
        <f>'Inv. Iniciais ANC'!D50</f>
        <v>5</v>
      </c>
      <c r="C36" s="2171">
        <v>0.2</v>
      </c>
      <c r="D36" s="1347">
        <f t="shared" si="2"/>
        <v>0</v>
      </c>
      <c r="E36" s="1345">
        <f t="shared" si="3"/>
        <v>0</v>
      </c>
      <c r="F36" s="1346">
        <f t="shared" si="4"/>
        <v>0</v>
      </c>
      <c r="G36" s="1347">
        <f t="shared" si="5"/>
        <v>0</v>
      </c>
      <c r="H36" s="1347">
        <f t="shared" si="6"/>
        <v>0</v>
      </c>
    </row>
    <row r="37" spans="1:8" ht="18" customHeight="1">
      <c r="A37" s="2136" t="str">
        <v>Outro Ativo Fixo</v>
      </c>
      <c r="B37" s="672">
        <f>'Inv. Iniciais ANC'!D55</f>
        <v>5</v>
      </c>
      <c r="C37" s="2171">
        <v>0.2</v>
      </c>
      <c r="D37" s="1347">
        <f t="shared" si="2"/>
        <v>0</v>
      </c>
      <c r="E37" s="1345">
        <f t="shared" si="3"/>
        <v>0</v>
      </c>
      <c r="F37" s="1346">
        <f t="shared" si="4"/>
        <v>0</v>
      </c>
      <c r="G37" s="1347">
        <f t="shared" si="5"/>
        <v>0</v>
      </c>
      <c r="H37" s="1347">
        <f t="shared" si="6"/>
        <v>0</v>
      </c>
    </row>
    <row r="38" spans="1:8" ht="18" customHeight="1" thickBot="1">
      <c r="A38" s="2137"/>
      <c r="B38" s="46"/>
      <c r="C38" s="675"/>
      <c r="D38" s="48"/>
      <c r="E38" s="20"/>
      <c r="F38" s="27"/>
      <c r="G38" s="48"/>
      <c r="H38" s="48"/>
    </row>
    <row r="39" spans="1:8" ht="18" customHeight="1">
      <c r="A39" s="2138" t="str">
        <f>A17</f>
        <v>Imobilizado Intangível</v>
      </c>
      <c r="B39" s="673">
        <f>'Inv. Iniciais ANC'!D63</f>
        <v>4.5999999999999996</v>
      </c>
      <c r="C39" s="2172">
        <f>1/B39</f>
        <v>0.21739130434782611</v>
      </c>
      <c r="D39" s="1343">
        <f>MIN(D17,B17/B39/12*(12+1-mes0))</f>
        <v>0</v>
      </c>
      <c r="E39" s="1343">
        <f>MIN(D17-D39,($B17)/$B39)
+E17/$B39</f>
        <v>0</v>
      </c>
      <c r="F39" s="1343">
        <f>MIN(D17-D39-MIN(D17-D39,($B17)/$B39),($B17)/$B39)
+IF(2&lt;=$B39,E17/$B39,0)
+F17/$B39</f>
        <v>0</v>
      </c>
      <c r="G39" s="1343">
        <f>MIN(D17-D39-MIN(D17-D39,($B17)/$B39)-MIN(D17-D39-MIN(D17-$D39,($B17)/$B39),($B17)/$B39),($B17)/$B39)
+IF(3&lt;=$B39,$E17/$B39,0)
+IF(2&lt;=$B39,$F17/$B39,0)
+$G17/$B39</f>
        <v>0</v>
      </c>
      <c r="H39" s="1343">
        <f>MIN(D17-D39-MIN(D17-D39,($B17)/$B39)-MIN(D17-D39-MIN(D17-D39,($B17)/$B39),($B17)/$B39)-MIN(D17-D39-MIN(D17-D39,($B17)/$B39)-MIN(D17-D39-MIN(D17-D39,($B17)/$B39),($B17)/$B39),($B17)/$B39),($B17)/$B39)
+IF(4&lt;=$B39,$E17/$B39,0)
+IF(3&lt;=$B39,$F17/$B39,0)
+IF(2&lt;=$B39,$G17/$B39,0)
+$H17/$B39</f>
        <v>0</v>
      </c>
    </row>
    <row r="40" spans="1:8" ht="18" customHeight="1" thickBot="1">
      <c r="A40" s="2150"/>
      <c r="B40" s="2151"/>
      <c r="C40" s="2152"/>
      <c r="D40" s="2167"/>
      <c r="E40" s="2165"/>
      <c r="F40" s="2166"/>
      <c r="G40" s="2167"/>
      <c r="H40" s="2167"/>
    </row>
    <row r="41" spans="1:8" ht="22.5" customHeight="1" thickBot="1">
      <c r="A41" s="2161"/>
      <c r="B41" s="2162"/>
      <c r="C41" s="2494" t="s">
        <v>869</v>
      </c>
      <c r="D41" s="2143">
        <f t="array" ref="D41:H41">D28:H28+D39:H39</f>
        <v>0</v>
      </c>
      <c r="E41" s="2143">
        <v>0</v>
      </c>
      <c r="F41" s="2143">
        <v>0</v>
      </c>
      <c r="G41" s="2143">
        <v>0</v>
      </c>
      <c r="H41" s="2143">
        <v>0</v>
      </c>
    </row>
    <row r="43" spans="1:8">
      <c r="E43" s="47"/>
    </row>
  </sheetData>
  <sheetProtection sheet="1" objects="1" scenarios="1"/>
  <mergeCells count="2">
    <mergeCell ref="A4:A5"/>
    <mergeCell ref="A26:A27"/>
  </mergeCells>
  <phoneticPr fontId="4" type="noConversion"/>
  <dataValidations disablePrompts="1" xWindow="394" yWindow="538" count="1">
    <dataValidation type="whole" allowBlank="1" showInputMessage="1" showErrorMessage="1" sqref="B40:C40 C18:H18" xr:uid="{00000000-0002-0000-3E00-000000000000}">
      <formula1>3</formula1>
      <formula2>35</formula2>
    </dataValidation>
  </dataValidations>
  <printOptions horizontalCentered="1" verticalCentered="1"/>
  <pageMargins left="0.56000000000000005" right="0.39370078740157483" top="0.39370078740157483" bottom="0.47244094488188981" header="0.27559055118110237" footer="0.31496062992125984"/>
  <pageSetup paperSize="9" scale="70" orientation="landscape" horizontalDpi="300" verticalDpi="300" r:id="rId1"/>
  <headerFooter alignWithMargins="0">
    <oddFooter>&amp;C&amp;"Tahoma,Normal"&amp;10&amp;A</oddFooter>
  </headerFooter>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29"/>
  <dimension ref="A1:O107"/>
  <sheetViews>
    <sheetView workbookViewId="0"/>
  </sheetViews>
  <sheetFormatPr baseColWidth="10" defaultColWidth="11" defaultRowHeight="15"/>
  <cols>
    <col min="1" max="1" width="26.75" style="36" bestFit="1" customWidth="1"/>
    <col min="2" max="2" width="9.25" style="36" customWidth="1"/>
    <col min="3" max="3" width="11" style="36"/>
    <col min="4" max="4" width="11.625" style="36" customWidth="1"/>
    <col min="5" max="5" width="10.25" style="36" bestFit="1" customWidth="1"/>
    <col min="6" max="9" width="10.625" style="36" bestFit="1" customWidth="1"/>
    <col min="10" max="10" width="10.25" style="36" bestFit="1" customWidth="1"/>
    <col min="11" max="11" width="11.625" style="36" bestFit="1" customWidth="1"/>
    <col min="12" max="13" width="11" style="36"/>
    <col min="14" max="14" width="10.625" style="36" bestFit="1" customWidth="1"/>
    <col min="15" max="15" width="11.75" style="36" bestFit="1" customWidth="1"/>
    <col min="16" max="16384" width="11" style="36"/>
  </cols>
  <sheetData>
    <row r="1" spans="1:15" ht="25.5">
      <c r="A1" s="242" t="s">
        <v>877</v>
      </c>
      <c r="B1" s="61"/>
      <c r="C1" s="62"/>
      <c r="D1" s="62"/>
      <c r="E1" s="62"/>
      <c r="F1" s="60"/>
    </row>
    <row r="2" spans="1:15" ht="22.5">
      <c r="A2" s="242" t="str">
        <f>'Dados Básicos'!B9</f>
        <v>WWW, S.L.</v>
      </c>
      <c r="B2" s="61"/>
      <c r="C2" s="62"/>
      <c r="D2" s="62"/>
      <c r="E2" s="62"/>
      <c r="F2" s="62"/>
      <c r="G2" s="62"/>
      <c r="H2" s="62"/>
    </row>
    <row r="3" spans="1:15" ht="25.5">
      <c r="A3" s="60"/>
      <c r="B3" s="61"/>
      <c r="C3" s="62"/>
      <c r="D3" s="62"/>
      <c r="E3" s="62"/>
      <c r="F3" s="62"/>
      <c r="G3" s="62"/>
      <c r="H3" s="62"/>
    </row>
    <row r="4" spans="1:15" ht="19.5">
      <c r="A4" s="250" t="s">
        <v>878</v>
      </c>
      <c r="B4" s="61"/>
      <c r="C4" s="62"/>
      <c r="D4" s="62"/>
      <c r="E4" s="62"/>
      <c r="F4" s="62"/>
      <c r="G4" s="62"/>
      <c r="H4" s="62"/>
    </row>
    <row r="5" spans="1:15" ht="15" customHeight="1" thickBot="1">
      <c r="A5" s="60"/>
      <c r="B5" s="61"/>
      <c r="C5" s="62"/>
      <c r="D5" s="62"/>
      <c r="E5" s="62"/>
      <c r="F5" s="62"/>
      <c r="G5" s="62"/>
      <c r="H5" s="62"/>
    </row>
    <row r="6" spans="1:15" ht="15.75" thickBot="1">
      <c r="A6" s="1179" t="str">
        <f>CONCATENATE("Gastos Financeiros ",'Dados Básicos'!B18)</f>
        <v>Gastos Financeiros Ano 0</v>
      </c>
      <c r="B6" s="270" t="s">
        <v>180</v>
      </c>
      <c r="C6" s="438" t="str">
        <f t="array" ref="C6:N6">meses</f>
        <v>janeiro</v>
      </c>
      <c r="D6" s="165" t="str">
        <v>fevereiro</v>
      </c>
      <c r="E6" s="165" t="str">
        <v>março</v>
      </c>
      <c r="F6" s="165" t="str">
        <v>abril</v>
      </c>
      <c r="G6" s="165" t="str">
        <v>maio</v>
      </c>
      <c r="H6" s="165" t="str">
        <v>junho</v>
      </c>
      <c r="I6" s="165" t="str">
        <v>julho</v>
      </c>
      <c r="J6" s="165" t="str">
        <v>agosto</v>
      </c>
      <c r="K6" s="165" t="str">
        <v>setembro</v>
      </c>
      <c r="L6" s="165" t="str">
        <v>outubro</v>
      </c>
      <c r="M6" s="165" t="str">
        <v>novembro</v>
      </c>
      <c r="N6" s="166" t="str">
        <v>dezembro</v>
      </c>
      <c r="O6" s="105" t="s">
        <v>879</v>
      </c>
    </row>
    <row r="7" spans="1:15" s="266" customFormat="1">
      <c r="A7" s="2495" t="s">
        <v>880</v>
      </c>
      <c r="B7" s="1849">
        <f t="array" ref="B7:N7">'Tesorería 0'!B33:N33</f>
        <v>0</v>
      </c>
      <c r="C7" s="1850">
        <f ca="1"/>
        <v>0</v>
      </c>
      <c r="D7" s="1851">
        <f ca="1"/>
        <v>0</v>
      </c>
      <c r="E7" s="1851">
        <f ca="1"/>
        <v>0</v>
      </c>
      <c r="F7" s="1851">
        <f ca="1"/>
        <v>0</v>
      </c>
      <c r="G7" s="1851">
        <f ca="1"/>
        <v>0</v>
      </c>
      <c r="H7" s="1851">
        <f ca="1"/>
        <v>0</v>
      </c>
      <c r="I7" s="1851">
        <f ca="1"/>
        <v>0</v>
      </c>
      <c r="J7" s="1851">
        <f ca="1"/>
        <v>0</v>
      </c>
      <c r="K7" s="1851">
        <f ca="1"/>
        <v>0</v>
      </c>
      <c r="L7" s="1851">
        <f ca="1"/>
        <v>0</v>
      </c>
      <c r="M7" s="1851">
        <f ca="1"/>
        <v>0</v>
      </c>
      <c r="N7" s="1852">
        <f ca="1"/>
        <v>0</v>
      </c>
      <c r="O7" s="1864">
        <f ca="1">AVERAGE(C7:N7)</f>
        <v>0</v>
      </c>
    </row>
    <row r="8" spans="1:15">
      <c r="A8" s="2496" t="s">
        <v>888</v>
      </c>
      <c r="B8" s="1861">
        <f t="array" ref="B8:N8">Finançamento!$D$49-B7:N7</f>
        <v>0</v>
      </c>
      <c r="C8" s="1858">
        <f ca="1"/>
        <v>0</v>
      </c>
      <c r="D8" s="1859">
        <f ca="1"/>
        <v>0</v>
      </c>
      <c r="E8" s="1859">
        <f ca="1"/>
        <v>0</v>
      </c>
      <c r="F8" s="1859">
        <f ca="1"/>
        <v>0</v>
      </c>
      <c r="G8" s="1859">
        <f ca="1"/>
        <v>0</v>
      </c>
      <c r="H8" s="1859">
        <f ca="1"/>
        <v>0</v>
      </c>
      <c r="I8" s="1859">
        <f ca="1"/>
        <v>0</v>
      </c>
      <c r="J8" s="1859">
        <f ca="1"/>
        <v>0</v>
      </c>
      <c r="K8" s="1859">
        <f ca="1"/>
        <v>0</v>
      </c>
      <c r="L8" s="1859">
        <f ca="1"/>
        <v>0</v>
      </c>
      <c r="M8" s="1859">
        <f ca="1"/>
        <v>0</v>
      </c>
      <c r="N8" s="1860">
        <f ca="1"/>
        <v>0</v>
      </c>
      <c r="O8" s="1848">
        <f ca="1">AVERAGE(C8:N8)</f>
        <v>0</v>
      </c>
    </row>
    <row r="9" spans="1:15" s="266" customFormat="1" ht="15.75" thickBot="1">
      <c r="A9" s="2497" t="s">
        <v>887</v>
      </c>
      <c r="B9" s="1853">
        <f ca="1">-MIN('Tesorería 0'!B35,0)</f>
        <v>0</v>
      </c>
      <c r="C9" s="1854">
        <f ca="1">-MIN('Tesorería 0'!C35,0)</f>
        <v>0</v>
      </c>
      <c r="D9" s="1855">
        <f ca="1">-MIN('Tesorería 0'!D35,0)</f>
        <v>0</v>
      </c>
      <c r="E9" s="1855">
        <f ca="1">-MIN('Tesorería 0'!E35,0)</f>
        <v>712.6820000000007</v>
      </c>
      <c r="F9" s="1855">
        <f ca="1">-MIN('Tesorería 0'!F35,0)</f>
        <v>1708.8441818181825</v>
      </c>
      <c r="G9" s="1855">
        <f ca="1">-MIN('Tesorería 0'!G35,0)</f>
        <v>2630.2063636363646</v>
      </c>
      <c r="H9" s="1855">
        <f ca="1">-MIN('Tesorería 0'!H35,0)</f>
        <v>3476.7685454545463</v>
      </c>
      <c r="I9" s="1855">
        <f ca="1">-MIN('Tesorería 0'!I35,0)</f>
        <v>4417.9276363636372</v>
      </c>
      <c r="J9" s="1855">
        <f ca="1">-MIN('Tesorería 0'!J35,0)</f>
        <v>5037.1625454545465</v>
      </c>
      <c r="K9" s="1855">
        <f ca="1">-MIN('Tesorería 0'!K35,0)</f>
        <v>5581.5974545454555</v>
      </c>
      <c r="L9" s="1855">
        <f ca="1">-MIN('Tesorería 0'!L35,0)</f>
        <v>6470.6040000000012</v>
      </c>
      <c r="M9" s="1855">
        <f ca="1">-MIN('Tesorería 0'!M35,0)</f>
        <v>6917.2570909090928</v>
      </c>
      <c r="N9" s="1856">
        <f ca="1">-MIN('Tesorería 0'!N35,0)</f>
        <v>7289.1101818181842</v>
      </c>
      <c r="O9" s="1863">
        <f ca="1">AVERAGE(C9:N9)</f>
        <v>3686.8466666666677</v>
      </c>
    </row>
    <row r="10" spans="1:15" ht="12" customHeight="1" thickBot="1">
      <c r="A10" s="1180"/>
      <c r="B10" s="271"/>
      <c r="C10" s="272"/>
      <c r="D10" s="273"/>
      <c r="E10" s="273"/>
      <c r="F10" s="273"/>
      <c r="G10" s="273"/>
      <c r="H10" s="273"/>
      <c r="I10" s="273"/>
      <c r="J10" s="273"/>
      <c r="K10" s="273"/>
      <c r="L10" s="273"/>
      <c r="M10" s="273"/>
      <c r="N10" s="274"/>
      <c r="O10" s="1857"/>
    </row>
    <row r="11" spans="1:15" ht="14.25" customHeight="1" thickBot="1">
      <c r="A11" s="1180"/>
      <c r="B11" s="1865" t="s">
        <v>892</v>
      </c>
      <c r="C11" s="2273">
        <f>(COLUMN(C$6)-2)</f>
        <v>1</v>
      </c>
      <c r="D11" s="2273">
        <f t="shared" ref="D11:N11" si="0">(COLUMN(D$6)-2)</f>
        <v>2</v>
      </c>
      <c r="E11" s="2273">
        <f t="shared" si="0"/>
        <v>3</v>
      </c>
      <c r="F11" s="2273">
        <f t="shared" si="0"/>
        <v>4</v>
      </c>
      <c r="G11" s="2273">
        <f t="shared" si="0"/>
        <v>5</v>
      </c>
      <c r="H11" s="2273">
        <f t="shared" si="0"/>
        <v>6</v>
      </c>
      <c r="I11" s="2273">
        <f t="shared" si="0"/>
        <v>7</v>
      </c>
      <c r="J11" s="2273">
        <f t="shared" si="0"/>
        <v>8</v>
      </c>
      <c r="K11" s="2273">
        <f t="shared" si="0"/>
        <v>9</v>
      </c>
      <c r="L11" s="2273">
        <f t="shared" si="0"/>
        <v>10</v>
      </c>
      <c r="M11" s="2273">
        <f t="shared" si="0"/>
        <v>11</v>
      </c>
      <c r="N11" s="2273">
        <f t="shared" si="0"/>
        <v>12</v>
      </c>
      <c r="O11" s="1865" t="s">
        <v>612</v>
      </c>
    </row>
    <row r="12" spans="1:15">
      <c r="A12" s="323" t="s">
        <v>881</v>
      </c>
      <c r="B12" s="1183">
        <f>+Finançamento!D51</f>
        <v>7.0000000000000007E-2</v>
      </c>
      <c r="C12" s="1182">
        <f t="array" ref="C12:N12">IF(C$11:N$11&lt;mes0,0,$B12/12*B7:M7+IF(C$11:N$11=mes0,Finançamento!$D$50*Finançamento!D49))</f>
        <v>0</v>
      </c>
      <c r="D12" s="622">
        <f ca="1"/>
        <v>0</v>
      </c>
      <c r="E12" s="622">
        <f ca="1"/>
        <v>0</v>
      </c>
      <c r="F12" s="622">
        <f ca="1"/>
        <v>0</v>
      </c>
      <c r="G12" s="622">
        <f ca="1"/>
        <v>0</v>
      </c>
      <c r="H12" s="622">
        <f ca="1"/>
        <v>0</v>
      </c>
      <c r="I12" s="622">
        <f ca="1"/>
        <v>0</v>
      </c>
      <c r="J12" s="622">
        <f ca="1"/>
        <v>0</v>
      </c>
      <c r="K12" s="622">
        <f ca="1"/>
        <v>0</v>
      </c>
      <c r="L12" s="622">
        <f ca="1"/>
        <v>0</v>
      </c>
      <c r="M12" s="622">
        <f ca="1"/>
        <v>0</v>
      </c>
      <c r="N12" s="623">
        <f ca="1"/>
        <v>0</v>
      </c>
      <c r="O12" s="625">
        <f t="shared" ref="O12:O18" ca="1" si="1">SUM(C12:N12)</f>
        <v>0</v>
      </c>
    </row>
    <row r="13" spans="1:15">
      <c r="A13" s="1843" t="s">
        <v>882</v>
      </c>
      <c r="B13" s="1844">
        <f>+Finançamento!$D$52</f>
        <v>0.02</v>
      </c>
      <c r="C13" s="1845">
        <f t="array" ref="C13:N14">IF(C$11:N$11&lt;mes0,0,$B13:$B14/12*B8:M9)</f>
        <v>0</v>
      </c>
      <c r="D13" s="1846">
        <f ca="1"/>
        <v>0</v>
      </c>
      <c r="E13" s="1846">
        <f ca="1"/>
        <v>0</v>
      </c>
      <c r="F13" s="1846">
        <f ca="1"/>
        <v>0</v>
      </c>
      <c r="G13" s="1846">
        <f ca="1"/>
        <v>0</v>
      </c>
      <c r="H13" s="1846">
        <f ca="1"/>
        <v>0</v>
      </c>
      <c r="I13" s="1846">
        <f ca="1"/>
        <v>0</v>
      </c>
      <c r="J13" s="1846">
        <f ca="1"/>
        <v>0</v>
      </c>
      <c r="K13" s="1846">
        <f ca="1"/>
        <v>0</v>
      </c>
      <c r="L13" s="1846">
        <f ca="1"/>
        <v>0</v>
      </c>
      <c r="M13" s="1846">
        <f ca="1"/>
        <v>0</v>
      </c>
      <c r="N13" s="1847">
        <f ca="1"/>
        <v>0</v>
      </c>
      <c r="O13" s="1848">
        <f t="shared" ca="1" si="1"/>
        <v>0</v>
      </c>
    </row>
    <row r="14" spans="1:15">
      <c r="A14" s="1843" t="s">
        <v>883</v>
      </c>
      <c r="B14" s="1844">
        <f>Parametros!$C$6</f>
        <v>0</v>
      </c>
      <c r="C14" s="1845">
        <f ca="1"/>
        <v>0</v>
      </c>
      <c r="D14" s="1846">
        <f ca="1"/>
        <v>0</v>
      </c>
      <c r="E14" s="1846">
        <f ca="1"/>
        <v>0</v>
      </c>
      <c r="F14" s="1846">
        <f ca="1"/>
        <v>0</v>
      </c>
      <c r="G14" s="1846">
        <f ca="1"/>
        <v>0</v>
      </c>
      <c r="H14" s="1846">
        <f ca="1"/>
        <v>0</v>
      </c>
      <c r="I14" s="1846">
        <f ca="1"/>
        <v>0</v>
      </c>
      <c r="J14" s="1846">
        <f ca="1"/>
        <v>0</v>
      </c>
      <c r="K14" s="1846">
        <f ca="1"/>
        <v>0</v>
      </c>
      <c r="L14" s="1846">
        <f ca="1"/>
        <v>0</v>
      </c>
      <c r="M14" s="1846">
        <f ca="1"/>
        <v>0</v>
      </c>
      <c r="N14" s="1847">
        <f ca="1"/>
        <v>0</v>
      </c>
      <c r="O14" s="1848">
        <f t="shared" ca="1" si="1"/>
        <v>0</v>
      </c>
    </row>
    <row r="15" spans="1:15">
      <c r="A15" s="324" t="s">
        <v>884</v>
      </c>
      <c r="B15" s="1184"/>
      <c r="C15" s="1181">
        <f t="array" ref="C15:N15">+Renting!B21:M21</f>
        <v>0</v>
      </c>
      <c r="D15" s="897">
        <v>0</v>
      </c>
      <c r="E15" s="897">
        <v>0</v>
      </c>
      <c r="F15" s="897">
        <v>0</v>
      </c>
      <c r="G15" s="897">
        <v>0</v>
      </c>
      <c r="H15" s="897">
        <v>0</v>
      </c>
      <c r="I15" s="897">
        <v>0</v>
      </c>
      <c r="J15" s="897">
        <v>0</v>
      </c>
      <c r="K15" s="897">
        <v>0</v>
      </c>
      <c r="L15" s="897">
        <v>0</v>
      </c>
      <c r="M15" s="897">
        <v>0</v>
      </c>
      <c r="N15" s="898">
        <v>0</v>
      </c>
      <c r="O15" s="626">
        <f t="shared" si="1"/>
        <v>0</v>
      </c>
    </row>
    <row r="16" spans="1:15">
      <c r="A16" s="1769" t="s">
        <v>886</v>
      </c>
      <c r="B16" s="1747"/>
      <c r="C16" s="1770">
        <f t="array" ref="C16:N16">Leasing!B22:M22</f>
        <v>0</v>
      </c>
      <c r="D16" s="1771">
        <v>0</v>
      </c>
      <c r="E16" s="1771">
        <v>0</v>
      </c>
      <c r="F16" s="1771">
        <v>0</v>
      </c>
      <c r="G16" s="1771">
        <v>0</v>
      </c>
      <c r="H16" s="1771">
        <v>0</v>
      </c>
      <c r="I16" s="1771">
        <v>0</v>
      </c>
      <c r="J16" s="1771">
        <v>0</v>
      </c>
      <c r="K16" s="1771">
        <v>0</v>
      </c>
      <c r="L16" s="1771">
        <v>0</v>
      </c>
      <c r="M16" s="1771">
        <v>0</v>
      </c>
      <c r="N16" s="1772">
        <v>0</v>
      </c>
      <c r="O16" s="626">
        <f t="shared" si="1"/>
        <v>0</v>
      </c>
    </row>
    <row r="17" spans="1:15">
      <c r="A17" s="324" t="s">
        <v>885</v>
      </c>
      <c r="B17" s="2938"/>
      <c r="C17" s="1181">
        <f t="array" ref="C17:N17">Empréstimos!B23:M23</f>
        <v>0</v>
      </c>
      <c r="D17" s="897">
        <v>0</v>
      </c>
      <c r="E17" s="897">
        <v>0</v>
      </c>
      <c r="F17" s="897">
        <v>0</v>
      </c>
      <c r="G17" s="897">
        <v>0</v>
      </c>
      <c r="H17" s="897">
        <v>0</v>
      </c>
      <c r="I17" s="897">
        <v>0</v>
      </c>
      <c r="J17" s="897">
        <v>0</v>
      </c>
      <c r="K17" s="897">
        <v>0</v>
      </c>
      <c r="L17" s="897">
        <v>0</v>
      </c>
      <c r="M17" s="897">
        <v>0</v>
      </c>
      <c r="N17" s="898">
        <v>0</v>
      </c>
      <c r="O17" s="2939">
        <f t="shared" si="1"/>
        <v>0</v>
      </c>
    </row>
    <row r="18" spans="1:15" ht="15.75" thickBot="1">
      <c r="A18" s="2933" t="s">
        <v>1177</v>
      </c>
      <c r="B18" s="2944">
        <f>Parametros!$H$14</f>
        <v>0.01</v>
      </c>
      <c r="C18" s="2934">
        <f t="array" aca="1" ref="C18:N18" ca="1">$B18*'Receitas e pagamentos 0'!$B$28:$M$28</f>
        <v>2.42</v>
      </c>
      <c r="D18" s="2935">
        <f ca="1"/>
        <v>3.3000000000000003</v>
      </c>
      <c r="E18" s="2935">
        <f ca="1"/>
        <v>4.1800000000000006</v>
      </c>
      <c r="F18" s="2935">
        <f ca="1"/>
        <v>5.0600000000000005</v>
      </c>
      <c r="G18" s="2935">
        <f ca="1"/>
        <v>5.94</v>
      </c>
      <c r="H18" s="2935">
        <f ca="1"/>
        <v>6.82</v>
      </c>
      <c r="I18" s="2935">
        <f ca="1"/>
        <v>7.7</v>
      </c>
      <c r="J18" s="2935">
        <f ca="1"/>
        <v>8.5799999999999983</v>
      </c>
      <c r="K18" s="2935">
        <f ca="1"/>
        <v>9.4600000000000009</v>
      </c>
      <c r="L18" s="2935">
        <f ca="1"/>
        <v>10.34</v>
      </c>
      <c r="M18" s="2935">
        <f ca="1"/>
        <v>11.22</v>
      </c>
      <c r="N18" s="2936">
        <f ca="1"/>
        <v>12.1</v>
      </c>
      <c r="O18" s="2937">
        <f t="shared" ca="1" si="1"/>
        <v>87.11999999999999</v>
      </c>
    </row>
    <row r="19" spans="1:15" ht="15.75" thickBot="1">
      <c r="A19" s="267"/>
      <c r="B19" s="269" t="s">
        <v>891</v>
      </c>
      <c r="C19" s="1176">
        <f t="shared" ref="C19:O19" ca="1" si="2">SUM(C12:C18)</f>
        <v>2.42</v>
      </c>
      <c r="D19" s="1177">
        <f t="shared" ca="1" si="2"/>
        <v>3.3000000000000003</v>
      </c>
      <c r="E19" s="1177">
        <f t="shared" ca="1" si="2"/>
        <v>4.1800000000000006</v>
      </c>
      <c r="F19" s="1177">
        <f t="shared" ca="1" si="2"/>
        <v>5.0600000000000005</v>
      </c>
      <c r="G19" s="1177">
        <f t="shared" ca="1" si="2"/>
        <v>5.94</v>
      </c>
      <c r="H19" s="1177">
        <f t="shared" ca="1" si="2"/>
        <v>6.82</v>
      </c>
      <c r="I19" s="1177">
        <f t="shared" ca="1" si="2"/>
        <v>7.7</v>
      </c>
      <c r="J19" s="1177">
        <f t="shared" ca="1" si="2"/>
        <v>8.5799999999999983</v>
      </c>
      <c r="K19" s="1177">
        <f t="shared" ca="1" si="2"/>
        <v>9.4600000000000009</v>
      </c>
      <c r="L19" s="1177">
        <f t="shared" ca="1" si="2"/>
        <v>10.34</v>
      </c>
      <c r="M19" s="1177">
        <f t="shared" ca="1" si="2"/>
        <v>11.22</v>
      </c>
      <c r="N19" s="1178">
        <f t="shared" ca="1" si="2"/>
        <v>12.1</v>
      </c>
      <c r="O19" s="624">
        <f t="shared" ca="1" si="2"/>
        <v>87.11999999999999</v>
      </c>
    </row>
    <row r="20" spans="1:15" ht="36.75" customHeight="1" thickBot="1"/>
    <row r="21" spans="1:15" ht="15.75" thickBot="1">
      <c r="A21" s="1179" t="str">
        <f>CONCATENATE("Gastos Financeiros Año ",'Dados Básicos'!C18)</f>
        <v>Gastos Financeiros Año 1</v>
      </c>
      <c r="B21" s="270" t="s">
        <v>180</v>
      </c>
      <c r="C21" s="438" t="str">
        <f t="array" ref="C21:N21">meses</f>
        <v>janeiro</v>
      </c>
      <c r="D21" s="165" t="str">
        <v>fevereiro</v>
      </c>
      <c r="E21" s="165" t="str">
        <v>março</v>
      </c>
      <c r="F21" s="165" t="str">
        <v>abril</v>
      </c>
      <c r="G21" s="165" t="str">
        <v>maio</v>
      </c>
      <c r="H21" s="165" t="str">
        <v>junho</v>
      </c>
      <c r="I21" s="165" t="str">
        <v>julho</v>
      </c>
      <c r="J21" s="165" t="str">
        <v>agosto</v>
      </c>
      <c r="K21" s="165" t="str">
        <v>setembro</v>
      </c>
      <c r="L21" s="165" t="str">
        <v>outubro</v>
      </c>
      <c r="M21" s="165" t="str">
        <v>novembro</v>
      </c>
      <c r="N21" s="166" t="str">
        <v>dezembro</v>
      </c>
      <c r="O21" s="105" t="str">
        <f>$O$6</f>
        <v>Meia anual</v>
      </c>
    </row>
    <row r="22" spans="1:15" s="266" customFormat="1">
      <c r="A22" s="2495" t="str">
        <f t="array" ref="A22:A24">A$7:A$9</f>
        <v>Diposições da apólica de crédito</v>
      </c>
      <c r="B22" s="1849">
        <f t="array" ref="B22:N22" ca="1">'Tesorería 1'!B33:N33</f>
        <v>0</v>
      </c>
      <c r="C22" s="1850">
        <f ca="1"/>
        <v>0</v>
      </c>
      <c r="D22" s="1851">
        <f ca="1"/>
        <v>0</v>
      </c>
      <c r="E22" s="1851">
        <f ca="1"/>
        <v>0</v>
      </c>
      <c r="F22" s="1851">
        <f ca="1"/>
        <v>0</v>
      </c>
      <c r="G22" s="1851">
        <f ca="1"/>
        <v>0</v>
      </c>
      <c r="H22" s="1851">
        <f ca="1"/>
        <v>0</v>
      </c>
      <c r="I22" s="1851">
        <f ca="1"/>
        <v>0</v>
      </c>
      <c r="J22" s="1851">
        <f ca="1"/>
        <v>0</v>
      </c>
      <c r="K22" s="1851">
        <f ca="1"/>
        <v>0</v>
      </c>
      <c r="L22" s="1851">
        <f ca="1"/>
        <v>0</v>
      </c>
      <c r="M22" s="1851">
        <f ca="1"/>
        <v>0</v>
      </c>
      <c r="N22" s="1852">
        <f ca="1"/>
        <v>0</v>
      </c>
      <c r="O22" s="1862">
        <f ca="1">AVERAGE(C22:N22)</f>
        <v>0</v>
      </c>
    </row>
    <row r="23" spans="1:15">
      <c r="A23" s="2496" t="str">
        <v>Remanêntes apólice de crédito</v>
      </c>
      <c r="B23" s="1861">
        <f t="array" ref="B23:N23" ca="1">Finançamento!$D$49-B22:N22</f>
        <v>0</v>
      </c>
      <c r="C23" s="1858">
        <f ca="1"/>
        <v>0</v>
      </c>
      <c r="D23" s="1859">
        <f ca="1"/>
        <v>0</v>
      </c>
      <c r="E23" s="1859">
        <f ca="1"/>
        <v>0</v>
      </c>
      <c r="F23" s="1859">
        <f ca="1"/>
        <v>0</v>
      </c>
      <c r="G23" s="1859">
        <f ca="1"/>
        <v>0</v>
      </c>
      <c r="H23" s="1859">
        <f ca="1"/>
        <v>0</v>
      </c>
      <c r="I23" s="1859">
        <f ca="1"/>
        <v>0</v>
      </c>
      <c r="J23" s="1859">
        <f ca="1"/>
        <v>0</v>
      </c>
      <c r="K23" s="1859">
        <f ca="1"/>
        <v>0</v>
      </c>
      <c r="L23" s="1859">
        <f ca="1"/>
        <v>0</v>
      </c>
      <c r="M23" s="1859">
        <f ca="1"/>
        <v>0</v>
      </c>
      <c r="N23" s="1860">
        <f ca="1"/>
        <v>0</v>
      </c>
      <c r="O23" s="626">
        <f ca="1">AVERAGE(C23:N23)</f>
        <v>0</v>
      </c>
    </row>
    <row r="24" spans="1:15" s="266" customFormat="1" ht="15.75" thickBot="1">
      <c r="A24" s="2497" t="str">
        <v>Descobertos na tesouraria</v>
      </c>
      <c r="B24" s="1853">
        <f ca="1">-MIN('Tesorería 1'!B35,0)</f>
        <v>7289.1101818181842</v>
      </c>
      <c r="C24" s="1854">
        <f ca="1">-MIN('Tesorería 1'!C35,0)</f>
        <v>8236.6189781818211</v>
      </c>
      <c r="D24" s="1855">
        <f ca="1">-MIN('Tesorería 1'!D35,0)</f>
        <v>8698.3634109090945</v>
      </c>
      <c r="E24" s="1855">
        <f ca="1">-MIN('Tesorería 1'!E35,0)</f>
        <v>9160.1078436363678</v>
      </c>
      <c r="F24" s="1855">
        <f ca="1">-MIN('Tesorería 1'!F35,0)</f>
        <v>10176.775523636368</v>
      </c>
      <c r="G24" s="1855">
        <f ca="1">-MIN('Tesorería 1'!G35,0)</f>
        <v>10662.917683636368</v>
      </c>
      <c r="H24" s="1855">
        <f ca="1">-MIN('Tesorería 1'!H35,0)</f>
        <v>11149.059843636367</v>
      </c>
      <c r="I24" s="1855">
        <f ca="1">-MIN('Tesorería 1'!I35,0)</f>
        <v>12165.727523636368</v>
      </c>
      <c r="J24" s="1855">
        <f ca="1">-MIN('Tesorería 1'!J35,0)</f>
        <v>12651.869683636367</v>
      </c>
      <c r="K24" s="1855">
        <f ca="1">-MIN('Tesorería 1'!K35,0)</f>
        <v>13138.011843636366</v>
      </c>
      <c r="L24" s="1855">
        <f ca="1">-MIN('Tesorería 1'!L35,0)</f>
        <v>14154.679523636367</v>
      </c>
      <c r="M24" s="1855">
        <f ca="1">-MIN('Tesorería 1'!M35,0)</f>
        <v>14640.821683636366</v>
      </c>
      <c r="N24" s="1856">
        <f ca="1">-MIN('Tesorería 1'!N35,0)</f>
        <v>15126.963843636366</v>
      </c>
      <c r="O24" s="1863">
        <f ca="1">AVERAGE(C24:N24)</f>
        <v>11663.49311545455</v>
      </c>
    </row>
    <row r="25" spans="1:15" ht="12" customHeight="1" thickBot="1">
      <c r="A25" s="1180"/>
      <c r="B25" s="271"/>
      <c r="C25" s="272"/>
      <c r="D25" s="273"/>
      <c r="E25" s="273"/>
      <c r="F25" s="273"/>
      <c r="G25" s="273"/>
      <c r="H25" s="273"/>
      <c r="I25" s="273"/>
      <c r="J25" s="273"/>
      <c r="K25" s="273"/>
      <c r="L25" s="273"/>
      <c r="M25" s="273"/>
      <c r="N25" s="274"/>
      <c r="O25" s="271"/>
    </row>
    <row r="26" spans="1:15" ht="14.25" customHeight="1" thickBot="1">
      <c r="A26" s="1180"/>
      <c r="B26" s="1865" t="str">
        <f>$B$11</f>
        <v>taxas</v>
      </c>
      <c r="C26" s="272"/>
      <c r="D26" s="273"/>
      <c r="E26" s="273"/>
      <c r="F26" s="273"/>
      <c r="G26" s="273"/>
      <c r="H26" s="273"/>
      <c r="I26" s="273"/>
      <c r="J26" s="273"/>
      <c r="K26" s="273"/>
      <c r="L26" s="273"/>
      <c r="M26" s="273"/>
      <c r="N26" s="274"/>
      <c r="O26" s="1865" t="str">
        <f>$O$11</f>
        <v>Totais</v>
      </c>
    </row>
    <row r="27" spans="1:15">
      <c r="A27" s="323" t="str">
        <f t="array" ref="A27:A33">A$12:A$18</f>
        <v>Juros apólice de crédito</v>
      </c>
      <c r="B27" s="1183">
        <f>+Finançamento!E51</f>
        <v>7.0000000000000007E-2</v>
      </c>
      <c r="C27" s="1182">
        <f t="array" ref="C27:N27" ca="1">$B27/12*B22:M22+IF(C$11:N$11=1,Finançamento!$E$50*Finançamento!E49)</f>
        <v>0</v>
      </c>
      <c r="D27" s="622">
        <f ca="1"/>
        <v>0</v>
      </c>
      <c r="E27" s="622">
        <f ca="1"/>
        <v>0</v>
      </c>
      <c r="F27" s="622">
        <f ca="1"/>
        <v>0</v>
      </c>
      <c r="G27" s="622">
        <f ca="1"/>
        <v>0</v>
      </c>
      <c r="H27" s="622">
        <f ca="1"/>
        <v>0</v>
      </c>
      <c r="I27" s="622">
        <f ca="1"/>
        <v>0</v>
      </c>
      <c r="J27" s="622">
        <f ca="1"/>
        <v>0</v>
      </c>
      <c r="K27" s="622">
        <f ca="1"/>
        <v>0</v>
      </c>
      <c r="L27" s="622">
        <f ca="1"/>
        <v>0</v>
      </c>
      <c r="M27" s="622">
        <f ca="1"/>
        <v>0</v>
      </c>
      <c r="N27" s="623">
        <f ca="1"/>
        <v>0</v>
      </c>
      <c r="O27" s="625">
        <f t="shared" ref="O27:O32" ca="1" si="3">SUM(C27:N27)</f>
        <v>0</v>
      </c>
    </row>
    <row r="28" spans="1:15">
      <c r="A28" s="1843" t="str">
        <v>Juros apólice não disposto</v>
      </c>
      <c r="B28" s="1844">
        <f>+Finançamento!$E$52</f>
        <v>0.02</v>
      </c>
      <c r="C28" s="1845">
        <f t="array" ref="C28:N29" ca="1">$B28:$B29/12*B23:M24</f>
        <v>0</v>
      </c>
      <c r="D28" s="1846">
        <f ca="1"/>
        <v>0</v>
      </c>
      <c r="E28" s="1846">
        <f ca="1"/>
        <v>0</v>
      </c>
      <c r="F28" s="1846">
        <f ca="1"/>
        <v>0</v>
      </c>
      <c r="G28" s="1846">
        <f ca="1"/>
        <v>0</v>
      </c>
      <c r="H28" s="1846">
        <f ca="1"/>
        <v>0</v>
      </c>
      <c r="I28" s="1846">
        <f ca="1"/>
        <v>0</v>
      </c>
      <c r="J28" s="1846">
        <f ca="1"/>
        <v>0</v>
      </c>
      <c r="K28" s="1846">
        <f ca="1"/>
        <v>0</v>
      </c>
      <c r="L28" s="1846">
        <f ca="1"/>
        <v>0</v>
      </c>
      <c r="M28" s="1846">
        <f ca="1"/>
        <v>0</v>
      </c>
      <c r="N28" s="1847">
        <f ca="1"/>
        <v>0</v>
      </c>
      <c r="O28" s="1848">
        <f t="shared" ca="1" si="3"/>
        <v>0</v>
      </c>
    </row>
    <row r="29" spans="1:15">
      <c r="A29" s="1843" t="str">
        <v>Juros por descberto em cc.</v>
      </c>
      <c r="B29" s="1844">
        <f>B14</f>
        <v>0</v>
      </c>
      <c r="C29" s="1845">
        <f ca="1"/>
        <v>0</v>
      </c>
      <c r="D29" s="1846">
        <f ca="1"/>
        <v>0</v>
      </c>
      <c r="E29" s="1846">
        <f ca="1"/>
        <v>0</v>
      </c>
      <c r="F29" s="1846">
        <f ca="1"/>
        <v>0</v>
      </c>
      <c r="G29" s="1846">
        <f ca="1"/>
        <v>0</v>
      </c>
      <c r="H29" s="1846">
        <f ca="1"/>
        <v>0</v>
      </c>
      <c r="I29" s="1846">
        <f ca="1"/>
        <v>0</v>
      </c>
      <c r="J29" s="1846">
        <f ca="1"/>
        <v>0</v>
      </c>
      <c r="K29" s="1846">
        <f ca="1"/>
        <v>0</v>
      </c>
      <c r="L29" s="1846">
        <f ca="1"/>
        <v>0</v>
      </c>
      <c r="M29" s="1846">
        <f ca="1"/>
        <v>0</v>
      </c>
      <c r="N29" s="1847">
        <f ca="1"/>
        <v>0</v>
      </c>
      <c r="O29" s="1848">
        <f t="shared" ca="1" si="3"/>
        <v>0</v>
      </c>
    </row>
    <row r="30" spans="1:15">
      <c r="A30" s="324" t="str">
        <v>Locaçoes por Renting</v>
      </c>
      <c r="B30" s="1184"/>
      <c r="C30" s="1181">
        <f t="array" ref="C30:N30">+Renting!B28:M28</f>
        <v>0</v>
      </c>
      <c r="D30" s="897">
        <v>0</v>
      </c>
      <c r="E30" s="897">
        <v>0</v>
      </c>
      <c r="F30" s="897">
        <v>0</v>
      </c>
      <c r="G30" s="897">
        <v>0</v>
      </c>
      <c r="H30" s="897">
        <v>0</v>
      </c>
      <c r="I30" s="897">
        <v>0</v>
      </c>
      <c r="J30" s="897">
        <v>0</v>
      </c>
      <c r="K30" s="897">
        <v>0</v>
      </c>
      <c r="L30" s="897">
        <v>0</v>
      </c>
      <c r="M30" s="897">
        <v>0</v>
      </c>
      <c r="N30" s="898">
        <v>0</v>
      </c>
      <c r="O30" s="626">
        <f t="shared" si="3"/>
        <v>0</v>
      </c>
    </row>
    <row r="31" spans="1:15">
      <c r="A31" s="1769" t="str">
        <v>Juros dos Leasing</v>
      </c>
      <c r="B31" s="1747"/>
      <c r="C31" s="1770">
        <f t="array" ref="C31:N31">Leasing!B29:M29</f>
        <v>0</v>
      </c>
      <c r="D31" s="1771">
        <v>0</v>
      </c>
      <c r="E31" s="1771">
        <v>0</v>
      </c>
      <c r="F31" s="1771">
        <v>0</v>
      </c>
      <c r="G31" s="1771">
        <v>0</v>
      </c>
      <c r="H31" s="1771">
        <v>0</v>
      </c>
      <c r="I31" s="1771">
        <v>0</v>
      </c>
      <c r="J31" s="1771">
        <v>0</v>
      </c>
      <c r="K31" s="1771">
        <v>0</v>
      </c>
      <c r="L31" s="1771">
        <v>0</v>
      </c>
      <c r="M31" s="1771">
        <v>0</v>
      </c>
      <c r="N31" s="1772">
        <v>0</v>
      </c>
      <c r="O31" s="626">
        <f t="shared" si="3"/>
        <v>0</v>
      </c>
    </row>
    <row r="32" spans="1:15">
      <c r="A32" s="324" t="str">
        <v>Juros dos empréstimos</v>
      </c>
      <c r="B32" s="2938"/>
      <c r="C32" s="1181">
        <f t="array" ref="C32:N32">Empréstimos!B30:M30</f>
        <v>0</v>
      </c>
      <c r="D32" s="897">
        <v>0</v>
      </c>
      <c r="E32" s="897">
        <v>0</v>
      </c>
      <c r="F32" s="897">
        <v>0</v>
      </c>
      <c r="G32" s="897">
        <v>0</v>
      </c>
      <c r="H32" s="897">
        <v>0</v>
      </c>
      <c r="I32" s="897">
        <v>0</v>
      </c>
      <c r="J32" s="897">
        <v>0</v>
      </c>
      <c r="K32" s="897">
        <v>0</v>
      </c>
      <c r="L32" s="897">
        <v>0</v>
      </c>
      <c r="M32" s="897">
        <v>0</v>
      </c>
      <c r="N32" s="898">
        <v>0</v>
      </c>
      <c r="O32" s="2939">
        <f t="shared" si="3"/>
        <v>0</v>
      </c>
    </row>
    <row r="33" spans="1:15" ht="15.75" thickBot="1">
      <c r="A33" s="2933" t="str">
        <v>Comissões por cobrança de vendas</v>
      </c>
      <c r="B33" s="2944">
        <f>Parametros!$H$14</f>
        <v>0.01</v>
      </c>
      <c r="C33" s="2934">
        <f t="array" aca="1" ref="C33:N33" ca="1">$B33*'Receitas e pagamentos 1'!$B$28:$M$28</f>
        <v>12.462999999999999</v>
      </c>
      <c r="D33" s="2935">
        <f ca="1"/>
        <v>12.462999999999999</v>
      </c>
      <c r="E33" s="2935">
        <f ca="1"/>
        <v>12.462999999999999</v>
      </c>
      <c r="F33" s="2935">
        <f ca="1"/>
        <v>12.462999999999999</v>
      </c>
      <c r="G33" s="2935">
        <f ca="1"/>
        <v>12.462999999999999</v>
      </c>
      <c r="H33" s="2935">
        <f ca="1"/>
        <v>12.462999999999999</v>
      </c>
      <c r="I33" s="2935">
        <f ca="1"/>
        <v>12.462999999999999</v>
      </c>
      <c r="J33" s="2935">
        <f ca="1"/>
        <v>12.462999999999999</v>
      </c>
      <c r="K33" s="2935">
        <f ca="1"/>
        <v>12.462999999999999</v>
      </c>
      <c r="L33" s="2935">
        <f ca="1"/>
        <v>12.462999999999999</v>
      </c>
      <c r="M33" s="2935">
        <f ca="1"/>
        <v>12.462999999999999</v>
      </c>
      <c r="N33" s="2936">
        <f ca="1"/>
        <v>12.462999999999999</v>
      </c>
      <c r="O33" s="2937">
        <f ca="1">SUM(C33:N33)</f>
        <v>149.55599999999995</v>
      </c>
    </row>
    <row r="34" spans="1:15" ht="15.75" thickBot="1">
      <c r="A34" s="267"/>
      <c r="B34" s="269" t="str">
        <f>$B$19</f>
        <v xml:space="preserve">Totais mensuais  </v>
      </c>
      <c r="C34" s="1176">
        <f t="shared" ref="C34:O34" ca="1" si="4">SUM(C27:C33)</f>
        <v>12.462999999999999</v>
      </c>
      <c r="D34" s="1177">
        <f t="shared" ca="1" si="4"/>
        <v>12.462999999999999</v>
      </c>
      <c r="E34" s="1177">
        <f t="shared" ca="1" si="4"/>
        <v>12.462999999999999</v>
      </c>
      <c r="F34" s="1177">
        <f t="shared" ca="1" si="4"/>
        <v>12.462999999999999</v>
      </c>
      <c r="G34" s="1177">
        <f t="shared" ca="1" si="4"/>
        <v>12.462999999999999</v>
      </c>
      <c r="H34" s="1177">
        <f t="shared" ca="1" si="4"/>
        <v>12.462999999999999</v>
      </c>
      <c r="I34" s="1177">
        <f t="shared" ca="1" si="4"/>
        <v>12.462999999999999</v>
      </c>
      <c r="J34" s="1177">
        <f t="shared" ca="1" si="4"/>
        <v>12.462999999999999</v>
      </c>
      <c r="K34" s="1177">
        <f t="shared" ca="1" si="4"/>
        <v>12.462999999999999</v>
      </c>
      <c r="L34" s="1177">
        <f t="shared" ca="1" si="4"/>
        <v>12.462999999999999</v>
      </c>
      <c r="M34" s="1177">
        <f t="shared" ca="1" si="4"/>
        <v>12.462999999999999</v>
      </c>
      <c r="N34" s="1178">
        <f t="shared" ca="1" si="4"/>
        <v>12.462999999999999</v>
      </c>
      <c r="O34" s="624">
        <f t="shared" ca="1" si="4"/>
        <v>149.55599999999995</v>
      </c>
    </row>
    <row r="35" spans="1:15" ht="36.75" customHeight="1" thickBot="1">
      <c r="B35" s="264"/>
      <c r="C35" s="239"/>
      <c r="D35" s="239"/>
      <c r="E35" s="239"/>
      <c r="F35" s="239"/>
      <c r="G35" s="239"/>
      <c r="H35" s="239"/>
      <c r="I35" s="239"/>
      <c r="J35" s="239"/>
      <c r="K35" s="239"/>
      <c r="L35" s="239"/>
      <c r="M35" s="239"/>
      <c r="N35" s="239"/>
      <c r="O35" s="239"/>
    </row>
    <row r="36" spans="1:15" ht="15.75" thickBot="1">
      <c r="A36" s="1179" t="str">
        <f>CONCATENATE("Gastos Financeiros Año ",'Dados Básicos'!D18)</f>
        <v>Gastos Financeiros Año 2</v>
      </c>
      <c r="B36" s="270" t="s">
        <v>180</v>
      </c>
      <c r="C36" s="438" t="str">
        <f t="array" ref="C36:N36">meses</f>
        <v>janeiro</v>
      </c>
      <c r="D36" s="165" t="str">
        <v>fevereiro</v>
      </c>
      <c r="E36" s="165" t="str">
        <v>março</v>
      </c>
      <c r="F36" s="165" t="str">
        <v>abril</v>
      </c>
      <c r="G36" s="165" t="str">
        <v>maio</v>
      </c>
      <c r="H36" s="165" t="str">
        <v>junho</v>
      </c>
      <c r="I36" s="165" t="str">
        <v>julho</v>
      </c>
      <c r="J36" s="165" t="str">
        <v>agosto</v>
      </c>
      <c r="K36" s="165" t="str">
        <v>setembro</v>
      </c>
      <c r="L36" s="165" t="str">
        <v>outubro</v>
      </c>
      <c r="M36" s="165" t="str">
        <v>novembro</v>
      </c>
      <c r="N36" s="166" t="str">
        <v>dezembro</v>
      </c>
      <c r="O36" s="105" t="str">
        <f>$O$6</f>
        <v>Meia anual</v>
      </c>
    </row>
    <row r="37" spans="1:15" s="266" customFormat="1">
      <c r="A37" s="2495" t="str">
        <f t="array" ref="A37:A39">A$7:A$9</f>
        <v>Diposições da apólica de crédito</v>
      </c>
      <c r="B37" s="1849">
        <f t="array" ref="B37:N37" ca="1">'Tesorería 2'!B33:N33</f>
        <v>0</v>
      </c>
      <c r="C37" s="1850">
        <f ca="1"/>
        <v>0</v>
      </c>
      <c r="D37" s="1851">
        <f ca="1"/>
        <v>0</v>
      </c>
      <c r="E37" s="1851">
        <f ca="1"/>
        <v>0</v>
      </c>
      <c r="F37" s="1851">
        <f ca="1"/>
        <v>0</v>
      </c>
      <c r="G37" s="1851">
        <f ca="1"/>
        <v>0</v>
      </c>
      <c r="H37" s="1851">
        <f ca="1"/>
        <v>0</v>
      </c>
      <c r="I37" s="1851">
        <f ca="1"/>
        <v>0</v>
      </c>
      <c r="J37" s="1851">
        <f ca="1"/>
        <v>0</v>
      </c>
      <c r="K37" s="1851">
        <f ca="1"/>
        <v>0</v>
      </c>
      <c r="L37" s="1851">
        <f ca="1"/>
        <v>0</v>
      </c>
      <c r="M37" s="1851">
        <f ca="1"/>
        <v>0</v>
      </c>
      <c r="N37" s="1852">
        <f ca="1"/>
        <v>0</v>
      </c>
      <c r="O37" s="1862">
        <f ca="1">AVERAGE(C37:N37)</f>
        <v>0</v>
      </c>
    </row>
    <row r="38" spans="1:15">
      <c r="A38" s="2496" t="str">
        <v>Remanêntes apólice de crédito</v>
      </c>
      <c r="B38" s="1861">
        <f t="array" ref="B38:N38" ca="1">Finançamento!$E$49-B37:N37</f>
        <v>0</v>
      </c>
      <c r="C38" s="1858">
        <f ca="1"/>
        <v>0</v>
      </c>
      <c r="D38" s="1859">
        <f ca="1"/>
        <v>0</v>
      </c>
      <c r="E38" s="1859">
        <f ca="1"/>
        <v>0</v>
      </c>
      <c r="F38" s="1859">
        <f ca="1"/>
        <v>0</v>
      </c>
      <c r="G38" s="1859">
        <f ca="1"/>
        <v>0</v>
      </c>
      <c r="H38" s="1859">
        <f ca="1"/>
        <v>0</v>
      </c>
      <c r="I38" s="1859">
        <f ca="1"/>
        <v>0</v>
      </c>
      <c r="J38" s="1859">
        <f ca="1"/>
        <v>0</v>
      </c>
      <c r="K38" s="1859">
        <f ca="1"/>
        <v>0</v>
      </c>
      <c r="L38" s="1859">
        <f ca="1"/>
        <v>0</v>
      </c>
      <c r="M38" s="1859">
        <f ca="1"/>
        <v>0</v>
      </c>
      <c r="N38" s="1860">
        <f ca="1"/>
        <v>0</v>
      </c>
      <c r="O38" s="626">
        <f ca="1">AVERAGE(C38:N38)</f>
        <v>0</v>
      </c>
    </row>
    <row r="39" spans="1:15" s="266" customFormat="1" ht="15.75" thickBot="1">
      <c r="A39" s="2497" t="str">
        <v>Descobertos na tesouraria</v>
      </c>
      <c r="B39" s="1853">
        <f ca="1">-MIN('Tesorería 2'!B35,0)</f>
        <v>15126.963843636366</v>
      </c>
      <c r="C39" s="1854">
        <f ca="1">-MIN('Tesorería 2'!C35,0)</f>
        <v>16111.397835536365</v>
      </c>
      <c r="D39" s="1855">
        <f ca="1">-MIN('Tesorería 2'!D35,0)</f>
        <v>16565.306307436367</v>
      </c>
      <c r="E39" s="1855">
        <f ca="1">-MIN('Tesorería 2'!E35,0)</f>
        <v>17019.214779336369</v>
      </c>
      <c r="F39" s="1855">
        <f ca="1">-MIN('Tesorería 2'!F35,0)</f>
        <v>18066.888796536368</v>
      </c>
      <c r="G39" s="1855">
        <f ca="1">-MIN('Tesorería 2'!G35,0)</f>
        <v>18540.734205936369</v>
      </c>
      <c r="H39" s="1855">
        <f ca="1">-MIN('Tesorería 2'!H35,0)</f>
        <v>19014.57961533637</v>
      </c>
      <c r="I39" s="1855">
        <f ca="1">-MIN('Tesorería 2'!I35,0)</f>
        <v>20062.253632536369</v>
      </c>
      <c r="J39" s="1855">
        <f ca="1">-MIN('Tesorería 2'!J35,0)</f>
        <v>20536.09904193637</v>
      </c>
      <c r="K39" s="1855">
        <f ca="1">-MIN('Tesorería 2'!K35,0)</f>
        <v>21009.944451336371</v>
      </c>
      <c r="L39" s="1855">
        <f ca="1">-MIN('Tesorería 2'!L35,0)</f>
        <v>22057.61846853637</v>
      </c>
      <c r="M39" s="1855">
        <f ca="1">-MIN('Tesorería 2'!M35,0)</f>
        <v>22531.46387793637</v>
      </c>
      <c r="N39" s="1856">
        <f ca="1">-MIN('Tesorería 2'!N35,0)</f>
        <v>23005.309287336371</v>
      </c>
      <c r="O39" s="1863">
        <f ca="1">AVERAGE(C39:N39)</f>
        <v>19543.400858311365</v>
      </c>
    </row>
    <row r="40" spans="1:15" ht="12" customHeight="1" thickBot="1">
      <c r="A40" s="1180"/>
      <c r="B40" s="271"/>
      <c r="C40" s="272"/>
      <c r="D40" s="273"/>
      <c r="E40" s="273"/>
      <c r="F40" s="273"/>
      <c r="G40" s="273"/>
      <c r="H40" s="273"/>
      <c r="I40" s="273"/>
      <c r="J40" s="273"/>
      <c r="K40" s="273"/>
      <c r="L40" s="273"/>
      <c r="M40" s="273"/>
      <c r="N40" s="274"/>
      <c r="O40" s="268"/>
    </row>
    <row r="41" spans="1:15" ht="14.25" customHeight="1" thickBot="1">
      <c r="A41" s="1180"/>
      <c r="B41" s="1865" t="str">
        <f>$B$11</f>
        <v>taxas</v>
      </c>
      <c r="C41" s="272"/>
      <c r="D41" s="273"/>
      <c r="E41" s="273"/>
      <c r="F41" s="273"/>
      <c r="G41" s="273"/>
      <c r="H41" s="273"/>
      <c r="I41" s="273"/>
      <c r="J41" s="273"/>
      <c r="K41" s="273"/>
      <c r="L41" s="273"/>
      <c r="M41" s="273"/>
      <c r="N41" s="274"/>
      <c r="O41" s="1865" t="str">
        <f>$O$11</f>
        <v>Totais</v>
      </c>
    </row>
    <row r="42" spans="1:15">
      <c r="A42" s="323" t="str">
        <f t="array" ref="A42:A48">A$12:A$18</f>
        <v>Juros apólice de crédito</v>
      </c>
      <c r="B42" s="1183">
        <f>+Finançamento!F51</f>
        <v>7.0000000000000007E-2</v>
      </c>
      <c r="C42" s="1182">
        <f t="array" ref="C42:N42" ca="1">$B42/12*B37:M37+IF(C$11:N$11=1,Finançamento!$F$50*Finançamento!F49)</f>
        <v>0</v>
      </c>
      <c r="D42" s="622">
        <f ca="1"/>
        <v>0</v>
      </c>
      <c r="E42" s="622">
        <f ca="1"/>
        <v>0</v>
      </c>
      <c r="F42" s="622">
        <f ca="1"/>
        <v>0</v>
      </c>
      <c r="G42" s="622">
        <f ca="1"/>
        <v>0</v>
      </c>
      <c r="H42" s="622">
        <f ca="1"/>
        <v>0</v>
      </c>
      <c r="I42" s="622">
        <f ca="1"/>
        <v>0</v>
      </c>
      <c r="J42" s="622">
        <f ca="1"/>
        <v>0</v>
      </c>
      <c r="K42" s="622">
        <f ca="1"/>
        <v>0</v>
      </c>
      <c r="L42" s="622">
        <f ca="1"/>
        <v>0</v>
      </c>
      <c r="M42" s="622">
        <f ca="1"/>
        <v>0</v>
      </c>
      <c r="N42" s="623">
        <f ca="1"/>
        <v>0</v>
      </c>
      <c r="O42" s="625">
        <f t="shared" ref="O42:O47" ca="1" si="5">SUM(C42:N42)</f>
        <v>0</v>
      </c>
    </row>
    <row r="43" spans="1:15">
      <c r="A43" s="1843" t="str">
        <v>Juros apólice não disposto</v>
      </c>
      <c r="B43" s="1844">
        <f>+Finançamento!$F$52</f>
        <v>0.02</v>
      </c>
      <c r="C43" s="1845">
        <f t="array" ref="C43:N44" ca="1">$B43:$B44/12*B38:M39</f>
        <v>0</v>
      </c>
      <c r="D43" s="1846">
        <f ca="1"/>
        <v>0</v>
      </c>
      <c r="E43" s="1846">
        <f ca="1"/>
        <v>0</v>
      </c>
      <c r="F43" s="1846">
        <f ca="1"/>
        <v>0</v>
      </c>
      <c r="G43" s="1846">
        <f ca="1"/>
        <v>0</v>
      </c>
      <c r="H43" s="1846">
        <f ca="1"/>
        <v>0</v>
      </c>
      <c r="I43" s="1846">
        <f ca="1"/>
        <v>0</v>
      </c>
      <c r="J43" s="1846">
        <f ca="1"/>
        <v>0</v>
      </c>
      <c r="K43" s="1846">
        <f ca="1"/>
        <v>0</v>
      </c>
      <c r="L43" s="1846">
        <f ca="1"/>
        <v>0</v>
      </c>
      <c r="M43" s="1846">
        <f ca="1"/>
        <v>0</v>
      </c>
      <c r="N43" s="1847">
        <f ca="1"/>
        <v>0</v>
      </c>
      <c r="O43" s="1848">
        <f t="shared" ca="1" si="5"/>
        <v>0</v>
      </c>
    </row>
    <row r="44" spans="1:15">
      <c r="A44" s="1843" t="str">
        <v>Juros por descberto em cc.</v>
      </c>
      <c r="B44" s="1844">
        <f>B29</f>
        <v>0</v>
      </c>
      <c r="C44" s="1845">
        <f ca="1"/>
        <v>0</v>
      </c>
      <c r="D44" s="1846">
        <f ca="1"/>
        <v>0</v>
      </c>
      <c r="E44" s="1846">
        <f ca="1"/>
        <v>0</v>
      </c>
      <c r="F44" s="1846">
        <f ca="1"/>
        <v>0</v>
      </c>
      <c r="G44" s="1846">
        <f ca="1"/>
        <v>0</v>
      </c>
      <c r="H44" s="1846">
        <f ca="1"/>
        <v>0</v>
      </c>
      <c r="I44" s="1846">
        <f ca="1"/>
        <v>0</v>
      </c>
      <c r="J44" s="1846">
        <f ca="1"/>
        <v>0</v>
      </c>
      <c r="K44" s="1846">
        <f ca="1"/>
        <v>0</v>
      </c>
      <c r="L44" s="1846">
        <f ca="1"/>
        <v>0</v>
      </c>
      <c r="M44" s="1846">
        <f ca="1"/>
        <v>0</v>
      </c>
      <c r="N44" s="1847">
        <f ca="1"/>
        <v>0</v>
      </c>
      <c r="O44" s="1848">
        <f t="shared" ca="1" si="5"/>
        <v>0</v>
      </c>
    </row>
    <row r="45" spans="1:15">
      <c r="A45" s="324" t="str">
        <v>Locaçoes por Renting</v>
      </c>
      <c r="B45" s="1184"/>
      <c r="C45" s="1181">
        <f t="array" ref="C45:N45">+Renting!B35:M35</f>
        <v>0</v>
      </c>
      <c r="D45" s="897">
        <v>0</v>
      </c>
      <c r="E45" s="897">
        <v>0</v>
      </c>
      <c r="F45" s="897">
        <v>0</v>
      </c>
      <c r="G45" s="897">
        <v>0</v>
      </c>
      <c r="H45" s="897">
        <v>0</v>
      </c>
      <c r="I45" s="897">
        <v>0</v>
      </c>
      <c r="J45" s="897">
        <v>0</v>
      </c>
      <c r="K45" s="897">
        <v>0</v>
      </c>
      <c r="L45" s="897">
        <v>0</v>
      </c>
      <c r="M45" s="897">
        <v>0</v>
      </c>
      <c r="N45" s="898">
        <v>0</v>
      </c>
      <c r="O45" s="626">
        <f t="shared" si="5"/>
        <v>0</v>
      </c>
    </row>
    <row r="46" spans="1:15">
      <c r="A46" s="1769" t="str">
        <v>Juros dos Leasing</v>
      </c>
      <c r="B46" s="1747"/>
      <c r="C46" s="1770">
        <f t="array" ref="C46:N46">Leasing!B37:M37</f>
        <v>0</v>
      </c>
      <c r="D46" s="1771">
        <v>0</v>
      </c>
      <c r="E46" s="1771">
        <v>0</v>
      </c>
      <c r="F46" s="1771">
        <v>0</v>
      </c>
      <c r="G46" s="1771">
        <v>0</v>
      </c>
      <c r="H46" s="1771">
        <v>0</v>
      </c>
      <c r="I46" s="1771">
        <v>0</v>
      </c>
      <c r="J46" s="1771">
        <v>0</v>
      </c>
      <c r="K46" s="1771">
        <v>0</v>
      </c>
      <c r="L46" s="1771">
        <v>0</v>
      </c>
      <c r="M46" s="1771">
        <v>0</v>
      </c>
      <c r="N46" s="1772">
        <v>0</v>
      </c>
      <c r="O46" s="626">
        <f t="shared" si="5"/>
        <v>0</v>
      </c>
    </row>
    <row r="47" spans="1:15">
      <c r="A47" s="324" t="str">
        <v>Juros dos empréstimos</v>
      </c>
      <c r="B47" s="2938"/>
      <c r="C47" s="1181">
        <f t="array" ref="C47:N47">Empréstimos!B38:M38</f>
        <v>0</v>
      </c>
      <c r="D47" s="897">
        <v>0</v>
      </c>
      <c r="E47" s="897">
        <v>0</v>
      </c>
      <c r="F47" s="897">
        <v>0</v>
      </c>
      <c r="G47" s="897">
        <v>0</v>
      </c>
      <c r="H47" s="897">
        <v>0</v>
      </c>
      <c r="I47" s="897">
        <v>0</v>
      </c>
      <c r="J47" s="897">
        <v>0</v>
      </c>
      <c r="K47" s="897">
        <v>0</v>
      </c>
      <c r="L47" s="897">
        <v>0</v>
      </c>
      <c r="M47" s="897">
        <v>0</v>
      </c>
      <c r="N47" s="898">
        <v>0</v>
      </c>
      <c r="O47" s="2939">
        <f t="shared" si="5"/>
        <v>0</v>
      </c>
    </row>
    <row r="48" spans="1:15" ht="15.75" thickBot="1">
      <c r="A48" s="2933" t="str">
        <v>Comissões por cobrança de vendas</v>
      </c>
      <c r="B48" s="2944">
        <f>Parametros!$H$14</f>
        <v>0.01</v>
      </c>
      <c r="C48" s="2934">
        <f t="array" aca="1" ref="C48:N48" ca="1">$B48*'Receitas e pagamentos 2'!$B$28:$M$28</f>
        <v>13.478734499999998</v>
      </c>
      <c r="D48" s="2935">
        <f ca="1"/>
        <v>13.478734499999998</v>
      </c>
      <c r="E48" s="2935">
        <f ca="1"/>
        <v>13.478734499999998</v>
      </c>
      <c r="F48" s="2935">
        <f ca="1"/>
        <v>13.478734499999998</v>
      </c>
      <c r="G48" s="2935">
        <f ca="1"/>
        <v>13.478734499999998</v>
      </c>
      <c r="H48" s="2935">
        <f ca="1"/>
        <v>13.478734499999998</v>
      </c>
      <c r="I48" s="2935">
        <f ca="1"/>
        <v>13.478734499999998</v>
      </c>
      <c r="J48" s="2935">
        <f ca="1"/>
        <v>13.478734499999998</v>
      </c>
      <c r="K48" s="2935">
        <f ca="1"/>
        <v>13.478734499999998</v>
      </c>
      <c r="L48" s="2935">
        <f ca="1"/>
        <v>13.478734499999998</v>
      </c>
      <c r="M48" s="2935">
        <f ca="1"/>
        <v>13.478734499999998</v>
      </c>
      <c r="N48" s="2936">
        <f ca="1"/>
        <v>13.478734499999998</v>
      </c>
      <c r="O48" s="2937">
        <f ca="1">SUM(C48:N48)</f>
        <v>161.74481399999999</v>
      </c>
    </row>
    <row r="49" spans="1:15" ht="15.75" thickBot="1">
      <c r="A49" s="267"/>
      <c r="B49" s="269" t="str">
        <f>$B$19</f>
        <v xml:space="preserve">Totais mensuais  </v>
      </c>
      <c r="C49" s="1176">
        <f t="shared" ref="C49:O49" ca="1" si="6">SUM(C42:C48)</f>
        <v>13.478734499999998</v>
      </c>
      <c r="D49" s="1177">
        <f t="shared" ca="1" si="6"/>
        <v>13.478734499999998</v>
      </c>
      <c r="E49" s="1177">
        <f t="shared" ca="1" si="6"/>
        <v>13.478734499999998</v>
      </c>
      <c r="F49" s="1177">
        <f t="shared" ca="1" si="6"/>
        <v>13.478734499999998</v>
      </c>
      <c r="G49" s="1177">
        <f t="shared" ca="1" si="6"/>
        <v>13.478734499999998</v>
      </c>
      <c r="H49" s="1177">
        <f t="shared" ca="1" si="6"/>
        <v>13.478734499999998</v>
      </c>
      <c r="I49" s="1177">
        <f t="shared" ca="1" si="6"/>
        <v>13.478734499999998</v>
      </c>
      <c r="J49" s="1177">
        <f t="shared" ca="1" si="6"/>
        <v>13.478734499999998</v>
      </c>
      <c r="K49" s="1177">
        <f t="shared" ca="1" si="6"/>
        <v>13.478734499999998</v>
      </c>
      <c r="L49" s="1177">
        <f t="shared" ca="1" si="6"/>
        <v>13.478734499999998</v>
      </c>
      <c r="M49" s="1177">
        <f t="shared" ca="1" si="6"/>
        <v>13.478734499999998</v>
      </c>
      <c r="N49" s="1178">
        <f t="shared" ca="1" si="6"/>
        <v>13.478734499999998</v>
      </c>
      <c r="O49" s="624">
        <f t="shared" ca="1" si="6"/>
        <v>161.74481399999999</v>
      </c>
    </row>
    <row r="50" spans="1:15" ht="36.75" customHeight="1" thickBot="1"/>
    <row r="51" spans="1:15" ht="15.75" thickBot="1">
      <c r="A51" s="1179" t="str">
        <f>CONCATENATE("Gastos Financeiros Año ",'Dados Básicos'!E18)</f>
        <v>Gastos Financeiros Año 3</v>
      </c>
      <c r="B51" s="270" t="s">
        <v>180</v>
      </c>
      <c r="C51" s="438" t="str">
        <f t="array" ref="C51:N51">meses</f>
        <v>janeiro</v>
      </c>
      <c r="D51" s="165" t="str">
        <v>fevereiro</v>
      </c>
      <c r="E51" s="165" t="str">
        <v>março</v>
      </c>
      <c r="F51" s="165" t="str">
        <v>abril</v>
      </c>
      <c r="G51" s="165" t="str">
        <v>maio</v>
      </c>
      <c r="H51" s="165" t="str">
        <v>junho</v>
      </c>
      <c r="I51" s="165" t="str">
        <v>julho</v>
      </c>
      <c r="J51" s="165" t="str">
        <v>agosto</v>
      </c>
      <c r="K51" s="165" t="str">
        <v>setembro</v>
      </c>
      <c r="L51" s="165" t="str">
        <v>outubro</v>
      </c>
      <c r="M51" s="165" t="str">
        <v>novembro</v>
      </c>
      <c r="N51" s="166" t="str">
        <v>dezembro</v>
      </c>
      <c r="O51" s="105" t="str">
        <f>$O$6</f>
        <v>Meia anual</v>
      </c>
    </row>
    <row r="52" spans="1:15" s="266" customFormat="1">
      <c r="A52" s="2495" t="str">
        <f t="array" ref="A52:A54">A$7:A$9</f>
        <v>Diposições da apólica de crédito</v>
      </c>
      <c r="B52" s="1849">
        <f t="array" ref="B52:N52" ca="1">'Tesorería 3'!B33:N33</f>
        <v>0</v>
      </c>
      <c r="C52" s="1850">
        <f ca="1"/>
        <v>0</v>
      </c>
      <c r="D52" s="1851">
        <f ca="1"/>
        <v>0</v>
      </c>
      <c r="E52" s="1851">
        <f ca="1"/>
        <v>0</v>
      </c>
      <c r="F52" s="1851">
        <f ca="1"/>
        <v>0</v>
      </c>
      <c r="G52" s="1851">
        <f ca="1"/>
        <v>0</v>
      </c>
      <c r="H52" s="1851">
        <f ca="1"/>
        <v>0</v>
      </c>
      <c r="I52" s="1851">
        <f ca="1"/>
        <v>0</v>
      </c>
      <c r="J52" s="1851">
        <f ca="1"/>
        <v>0</v>
      </c>
      <c r="K52" s="1851">
        <f ca="1"/>
        <v>0</v>
      </c>
      <c r="L52" s="1851">
        <f ca="1"/>
        <v>0</v>
      </c>
      <c r="M52" s="1851">
        <f ca="1"/>
        <v>0</v>
      </c>
      <c r="N52" s="1852">
        <f ca="1"/>
        <v>0</v>
      </c>
      <c r="O52" s="1862">
        <f ca="1">AVERAGE(C52:N52)</f>
        <v>0</v>
      </c>
    </row>
    <row r="53" spans="1:15">
      <c r="A53" s="2496" t="str">
        <v>Remanêntes apólice de crédito</v>
      </c>
      <c r="B53" s="1861">
        <f t="array" ref="B53:N53" ca="1">Finançamento!$F$49-B52:N52</f>
        <v>0</v>
      </c>
      <c r="C53" s="1858">
        <f ca="1"/>
        <v>0</v>
      </c>
      <c r="D53" s="1859">
        <f ca="1"/>
        <v>0</v>
      </c>
      <c r="E53" s="1859">
        <f ca="1"/>
        <v>0</v>
      </c>
      <c r="F53" s="1859">
        <f ca="1"/>
        <v>0</v>
      </c>
      <c r="G53" s="1859">
        <f ca="1"/>
        <v>0</v>
      </c>
      <c r="H53" s="1859">
        <f ca="1"/>
        <v>0</v>
      </c>
      <c r="I53" s="1859">
        <f ca="1"/>
        <v>0</v>
      </c>
      <c r="J53" s="1859">
        <f ca="1"/>
        <v>0</v>
      </c>
      <c r="K53" s="1859">
        <f ca="1"/>
        <v>0</v>
      </c>
      <c r="L53" s="1859">
        <f ca="1"/>
        <v>0</v>
      </c>
      <c r="M53" s="1859">
        <f ca="1"/>
        <v>0</v>
      </c>
      <c r="N53" s="1860">
        <f ca="1"/>
        <v>0</v>
      </c>
      <c r="O53" s="626">
        <f ca="1">AVERAGE(C53:N53)</f>
        <v>0</v>
      </c>
    </row>
    <row r="54" spans="1:15" s="266" customFormat="1" ht="15.75" thickBot="1">
      <c r="A54" s="2497" t="str">
        <v>Descobertos na tesouraria</v>
      </c>
      <c r="B54" s="1853">
        <f ca="1">-MIN('Tesorería 3'!B35,0)</f>
        <v>23005.309287336371</v>
      </c>
      <c r="C54" s="1854">
        <f ca="1">-MIN('Tesorería 3'!C35,0)</f>
        <v>24015.510386524271</v>
      </c>
      <c r="D54" s="1855">
        <f ca="1">-MIN('Tesorería 3'!D35,0)</f>
        <v>24451.882877912172</v>
      </c>
      <c r="E54" s="1855">
        <f ca="1">-MIN('Tesorería 3'!E35,0)</f>
        <v>24888.255369300074</v>
      </c>
      <c r="F54" s="1855">
        <f ca="1">-MIN('Tesorería 3'!F35,0)</f>
        <v>25967.265178882073</v>
      </c>
      <c r="G54" s="1855">
        <f ca="1">-MIN('Tesorería 3'!G35,0)</f>
        <v>26425.329229507472</v>
      </c>
      <c r="H54" s="1855">
        <f ca="1">-MIN('Tesorería 3'!H35,0)</f>
        <v>26883.39328013287</v>
      </c>
      <c r="I54" s="1855">
        <f ca="1">-MIN('Tesorería 3'!I35,0)</f>
        <v>27962.40308971487</v>
      </c>
      <c r="J54" s="1855">
        <f ca="1">-MIN('Tesorería 3'!J35,0)</f>
        <v>28420.467140340268</v>
      </c>
      <c r="K54" s="1855">
        <f ca="1">-MIN('Tesorería 3'!K35,0)</f>
        <v>28878.531190965667</v>
      </c>
      <c r="L54" s="1855">
        <f ca="1">-MIN('Tesorería 3'!L35,0)</f>
        <v>29957.541000547666</v>
      </c>
      <c r="M54" s="1855">
        <f ca="1">-MIN('Tesorería 3'!M35,0)</f>
        <v>30415.605051173065</v>
      </c>
      <c r="N54" s="1856">
        <f ca="1">-MIN('Tesorería 3'!N35,0)</f>
        <v>30873.669101798463</v>
      </c>
      <c r="O54" s="1863">
        <f ca="1">AVERAGE(C54:N54)</f>
        <v>27428.321074733245</v>
      </c>
    </row>
    <row r="55" spans="1:15" ht="12" customHeight="1" thickBot="1">
      <c r="A55" s="1180"/>
      <c r="B55" s="271"/>
      <c r="C55" s="272"/>
      <c r="D55" s="273"/>
      <c r="E55" s="273"/>
      <c r="F55" s="273"/>
      <c r="G55" s="273"/>
      <c r="H55" s="273"/>
      <c r="I55" s="273"/>
      <c r="J55" s="273"/>
      <c r="K55" s="273"/>
      <c r="L55" s="273"/>
      <c r="M55" s="273"/>
      <c r="N55" s="274"/>
      <c r="O55" s="268"/>
    </row>
    <row r="56" spans="1:15" ht="14.25" customHeight="1" thickBot="1">
      <c r="A56" s="1180"/>
      <c r="B56" s="1865" t="str">
        <f>$B$11</f>
        <v>taxas</v>
      </c>
      <c r="C56" s="272"/>
      <c r="D56" s="273"/>
      <c r="E56" s="273"/>
      <c r="F56" s="273"/>
      <c r="G56" s="273"/>
      <c r="H56" s="273"/>
      <c r="I56" s="273"/>
      <c r="J56" s="273"/>
      <c r="K56" s="273"/>
      <c r="L56" s="273"/>
      <c r="M56" s="273"/>
      <c r="N56" s="274"/>
      <c r="O56" s="1865" t="str">
        <f>$O$11</f>
        <v>Totais</v>
      </c>
    </row>
    <row r="57" spans="1:15">
      <c r="A57" s="323" t="str">
        <f t="array" ref="A57:A63">A$12:A$18</f>
        <v>Juros apólice de crédito</v>
      </c>
      <c r="B57" s="1183">
        <f>+Finançamento!G51</f>
        <v>7.0000000000000007E-2</v>
      </c>
      <c r="C57" s="1182">
        <f t="array" ref="C57:N57" ca="1">$B57/12*B52:M52+IF(C$11:N$11=1,Finançamento!$G$50*Finançamento!G49)</f>
        <v>0</v>
      </c>
      <c r="D57" s="622">
        <f ca="1"/>
        <v>0</v>
      </c>
      <c r="E57" s="622">
        <f ca="1"/>
        <v>0</v>
      </c>
      <c r="F57" s="622">
        <f ca="1"/>
        <v>0</v>
      </c>
      <c r="G57" s="622">
        <f ca="1"/>
        <v>0</v>
      </c>
      <c r="H57" s="622">
        <f ca="1"/>
        <v>0</v>
      </c>
      <c r="I57" s="622">
        <f ca="1"/>
        <v>0</v>
      </c>
      <c r="J57" s="622">
        <f ca="1"/>
        <v>0</v>
      </c>
      <c r="K57" s="622">
        <f ca="1"/>
        <v>0</v>
      </c>
      <c r="L57" s="622">
        <f ca="1"/>
        <v>0</v>
      </c>
      <c r="M57" s="622">
        <f ca="1"/>
        <v>0</v>
      </c>
      <c r="N57" s="623">
        <f ca="1"/>
        <v>0</v>
      </c>
      <c r="O57" s="625">
        <f t="shared" ref="O57:O62" ca="1" si="7">SUM(C57:N57)</f>
        <v>0</v>
      </c>
    </row>
    <row r="58" spans="1:15">
      <c r="A58" s="1843" t="str">
        <v>Juros apólice não disposto</v>
      </c>
      <c r="B58" s="1844">
        <f>+Finançamento!$G$52</f>
        <v>0.02</v>
      </c>
      <c r="C58" s="1845">
        <f t="array" ref="C58:N59" ca="1">$B58:$B59/12*B53:M54</f>
        <v>0</v>
      </c>
      <c r="D58" s="1846">
        <f ca="1"/>
        <v>0</v>
      </c>
      <c r="E58" s="1846">
        <f ca="1"/>
        <v>0</v>
      </c>
      <c r="F58" s="1846">
        <f ca="1"/>
        <v>0</v>
      </c>
      <c r="G58" s="1846">
        <f ca="1"/>
        <v>0</v>
      </c>
      <c r="H58" s="1846">
        <f ca="1"/>
        <v>0</v>
      </c>
      <c r="I58" s="1846">
        <f ca="1"/>
        <v>0</v>
      </c>
      <c r="J58" s="1846">
        <f ca="1"/>
        <v>0</v>
      </c>
      <c r="K58" s="1846">
        <f ca="1"/>
        <v>0</v>
      </c>
      <c r="L58" s="1846">
        <f ca="1"/>
        <v>0</v>
      </c>
      <c r="M58" s="1846">
        <f ca="1"/>
        <v>0</v>
      </c>
      <c r="N58" s="1847">
        <f ca="1"/>
        <v>0</v>
      </c>
      <c r="O58" s="1848">
        <f t="shared" ca="1" si="7"/>
        <v>0</v>
      </c>
    </row>
    <row r="59" spans="1:15">
      <c r="A59" s="1843" t="str">
        <v>Juros por descberto em cc.</v>
      </c>
      <c r="B59" s="1844">
        <f>B44</f>
        <v>0</v>
      </c>
      <c r="C59" s="1845">
        <f ca="1"/>
        <v>0</v>
      </c>
      <c r="D59" s="1846">
        <f ca="1"/>
        <v>0</v>
      </c>
      <c r="E59" s="1846">
        <f ca="1"/>
        <v>0</v>
      </c>
      <c r="F59" s="1846">
        <f ca="1"/>
        <v>0</v>
      </c>
      <c r="G59" s="1846">
        <f ca="1"/>
        <v>0</v>
      </c>
      <c r="H59" s="1846">
        <f ca="1"/>
        <v>0</v>
      </c>
      <c r="I59" s="1846">
        <f ca="1"/>
        <v>0</v>
      </c>
      <c r="J59" s="1846">
        <f ca="1"/>
        <v>0</v>
      </c>
      <c r="K59" s="1846">
        <f ca="1"/>
        <v>0</v>
      </c>
      <c r="L59" s="1846">
        <f ca="1"/>
        <v>0</v>
      </c>
      <c r="M59" s="1846">
        <f ca="1"/>
        <v>0</v>
      </c>
      <c r="N59" s="1847">
        <f ca="1"/>
        <v>0</v>
      </c>
      <c r="O59" s="1848">
        <f t="shared" ca="1" si="7"/>
        <v>0</v>
      </c>
    </row>
    <row r="60" spans="1:15">
      <c r="A60" s="324" t="str">
        <v>Locaçoes por Renting</v>
      </c>
      <c r="B60" s="1184"/>
      <c r="C60" s="1181">
        <f t="array" ref="C60:N60">+Renting!B42:M42</f>
        <v>0</v>
      </c>
      <c r="D60" s="897">
        <v>0</v>
      </c>
      <c r="E60" s="897">
        <v>0</v>
      </c>
      <c r="F60" s="897">
        <v>0</v>
      </c>
      <c r="G60" s="897">
        <v>0</v>
      </c>
      <c r="H60" s="897">
        <v>0</v>
      </c>
      <c r="I60" s="897">
        <v>0</v>
      </c>
      <c r="J60" s="897">
        <v>0</v>
      </c>
      <c r="K60" s="897">
        <v>0</v>
      </c>
      <c r="L60" s="897">
        <v>0</v>
      </c>
      <c r="M60" s="897">
        <v>0</v>
      </c>
      <c r="N60" s="898">
        <v>0</v>
      </c>
      <c r="O60" s="626">
        <f t="shared" si="7"/>
        <v>0</v>
      </c>
    </row>
    <row r="61" spans="1:15">
      <c r="A61" s="1769" t="str">
        <v>Juros dos Leasing</v>
      </c>
      <c r="B61" s="1747"/>
      <c r="C61" s="1770">
        <f t="array" ref="C61:N61">Leasing!B45:M45</f>
        <v>0</v>
      </c>
      <c r="D61" s="1771">
        <v>0</v>
      </c>
      <c r="E61" s="1771">
        <v>0</v>
      </c>
      <c r="F61" s="1771">
        <v>0</v>
      </c>
      <c r="G61" s="1771">
        <v>0</v>
      </c>
      <c r="H61" s="1771">
        <v>0</v>
      </c>
      <c r="I61" s="1771">
        <v>0</v>
      </c>
      <c r="J61" s="1771">
        <v>0</v>
      </c>
      <c r="K61" s="1771">
        <v>0</v>
      </c>
      <c r="L61" s="1771">
        <v>0</v>
      </c>
      <c r="M61" s="1771">
        <v>0</v>
      </c>
      <c r="N61" s="1772">
        <v>0</v>
      </c>
      <c r="O61" s="626">
        <f t="shared" si="7"/>
        <v>0</v>
      </c>
    </row>
    <row r="62" spans="1:15">
      <c r="A62" s="324" t="str">
        <v>Juros dos empréstimos</v>
      </c>
      <c r="B62" s="2938"/>
      <c r="C62" s="1181">
        <f t="array" ref="C62:N62">Empréstimos!B46:M46</f>
        <v>0</v>
      </c>
      <c r="D62" s="897">
        <v>0</v>
      </c>
      <c r="E62" s="897">
        <v>0</v>
      </c>
      <c r="F62" s="897">
        <v>0</v>
      </c>
      <c r="G62" s="897">
        <v>0</v>
      </c>
      <c r="H62" s="897">
        <v>0</v>
      </c>
      <c r="I62" s="897">
        <v>0</v>
      </c>
      <c r="J62" s="897">
        <v>0</v>
      </c>
      <c r="K62" s="897">
        <v>0</v>
      </c>
      <c r="L62" s="897">
        <v>0</v>
      </c>
      <c r="M62" s="897">
        <v>0</v>
      </c>
      <c r="N62" s="898">
        <v>0</v>
      </c>
      <c r="O62" s="2939">
        <f t="shared" si="7"/>
        <v>0</v>
      </c>
    </row>
    <row r="63" spans="1:15" ht="15.75" thickBot="1">
      <c r="A63" s="2933" t="str">
        <v>Comissões por cobrança de vendas</v>
      </c>
      <c r="B63" s="2944">
        <f>Parametros!$H$14</f>
        <v>0.01</v>
      </c>
      <c r="C63" s="2934">
        <f t="array" aca="1" ref="C63:N63" ca="1">$B63*'Receitas e pagamentos 3'!$B$28:$M$28</f>
        <v>14.583862360099999</v>
      </c>
      <c r="D63" s="2935">
        <f ca="1"/>
        <v>14.583862360099999</v>
      </c>
      <c r="E63" s="2935">
        <f ca="1"/>
        <v>14.583862360099999</v>
      </c>
      <c r="F63" s="2935">
        <f ca="1"/>
        <v>14.583862360099999</v>
      </c>
      <c r="G63" s="2935">
        <f ca="1"/>
        <v>14.583862360099999</v>
      </c>
      <c r="H63" s="2935">
        <f ca="1"/>
        <v>14.583862360099999</v>
      </c>
      <c r="I63" s="2935">
        <f ca="1"/>
        <v>14.583862360099999</v>
      </c>
      <c r="J63" s="2935">
        <f ca="1"/>
        <v>14.583862360099999</v>
      </c>
      <c r="K63" s="2935">
        <f ca="1"/>
        <v>14.583862360099999</v>
      </c>
      <c r="L63" s="2935">
        <f ca="1"/>
        <v>14.583862360099999</v>
      </c>
      <c r="M63" s="2935">
        <f ca="1"/>
        <v>14.583862360099999</v>
      </c>
      <c r="N63" s="2936">
        <f ca="1"/>
        <v>14.583862360099999</v>
      </c>
      <c r="O63" s="2937">
        <f ca="1">SUM(C63:N63)</f>
        <v>175.00634832119999</v>
      </c>
    </row>
    <row r="64" spans="1:15" ht="15.75" thickBot="1">
      <c r="A64" s="267"/>
      <c r="B64" s="269" t="str">
        <f>$B$19</f>
        <v xml:space="preserve">Totais mensuais  </v>
      </c>
      <c r="C64" s="1176">
        <f t="shared" ref="C64:O64" ca="1" si="8">SUM(C57:C63)</f>
        <v>14.583862360099999</v>
      </c>
      <c r="D64" s="1177">
        <f t="shared" ca="1" si="8"/>
        <v>14.583862360099999</v>
      </c>
      <c r="E64" s="1177">
        <f t="shared" ca="1" si="8"/>
        <v>14.583862360099999</v>
      </c>
      <c r="F64" s="1177">
        <f t="shared" ca="1" si="8"/>
        <v>14.583862360099999</v>
      </c>
      <c r="G64" s="1177">
        <f t="shared" ca="1" si="8"/>
        <v>14.583862360099999</v>
      </c>
      <c r="H64" s="1177">
        <f t="shared" ca="1" si="8"/>
        <v>14.583862360099999</v>
      </c>
      <c r="I64" s="1177">
        <f t="shared" ca="1" si="8"/>
        <v>14.583862360099999</v>
      </c>
      <c r="J64" s="1177">
        <f t="shared" ca="1" si="8"/>
        <v>14.583862360099999</v>
      </c>
      <c r="K64" s="1177">
        <f t="shared" ca="1" si="8"/>
        <v>14.583862360099999</v>
      </c>
      <c r="L64" s="1177">
        <f t="shared" ca="1" si="8"/>
        <v>14.583862360099999</v>
      </c>
      <c r="M64" s="1177">
        <f t="shared" ca="1" si="8"/>
        <v>14.583862360099999</v>
      </c>
      <c r="N64" s="1178">
        <f t="shared" ca="1" si="8"/>
        <v>14.583862360099999</v>
      </c>
      <c r="O64" s="624">
        <f t="shared" ca="1" si="8"/>
        <v>175.00634832119999</v>
      </c>
    </row>
    <row r="65" spans="1:15" ht="36.75" customHeight="1" thickBot="1">
      <c r="B65" s="265"/>
      <c r="C65" s="239"/>
      <c r="D65" s="239"/>
      <c r="E65" s="239"/>
      <c r="F65" s="239"/>
      <c r="G65" s="239"/>
      <c r="H65" s="239"/>
      <c r="I65" s="239"/>
      <c r="J65" s="239"/>
      <c r="K65" s="239"/>
      <c r="L65" s="239"/>
      <c r="M65" s="239"/>
      <c r="N65" s="239"/>
      <c r="O65" s="239"/>
    </row>
    <row r="66" spans="1:15" ht="15.75" thickBot="1">
      <c r="A66" s="1179" t="str">
        <f>CONCATENATE("Gastos Financeiros Año ",'Dados Básicos'!F18)</f>
        <v>Gastos Financeiros Año 4</v>
      </c>
      <c r="B66" s="270" t="s">
        <v>180</v>
      </c>
      <c r="C66" s="438" t="str">
        <f t="array" ref="C66:N66">meses</f>
        <v>janeiro</v>
      </c>
      <c r="D66" s="165" t="str">
        <v>fevereiro</v>
      </c>
      <c r="E66" s="165" t="str">
        <v>março</v>
      </c>
      <c r="F66" s="165" t="str">
        <v>abril</v>
      </c>
      <c r="G66" s="165" t="str">
        <v>maio</v>
      </c>
      <c r="H66" s="165" t="str">
        <v>junho</v>
      </c>
      <c r="I66" s="165" t="str">
        <v>julho</v>
      </c>
      <c r="J66" s="165" t="str">
        <v>agosto</v>
      </c>
      <c r="K66" s="165" t="str">
        <v>setembro</v>
      </c>
      <c r="L66" s="165" t="str">
        <v>outubro</v>
      </c>
      <c r="M66" s="165" t="str">
        <v>novembro</v>
      </c>
      <c r="N66" s="166" t="str">
        <v>dezembro</v>
      </c>
      <c r="O66" s="105" t="str">
        <f>$O$6</f>
        <v>Meia anual</v>
      </c>
    </row>
    <row r="67" spans="1:15" s="266" customFormat="1">
      <c r="A67" s="2495" t="str">
        <f t="array" ref="A67:A69">A$7:A$9</f>
        <v>Diposições da apólica de crédito</v>
      </c>
      <c r="B67" s="1849">
        <f t="array" ref="B67:N67" ca="1">'Tesorería 4'!B33:N33</f>
        <v>0</v>
      </c>
      <c r="C67" s="1850">
        <f ca="1"/>
        <v>0</v>
      </c>
      <c r="D67" s="1851">
        <f ca="1"/>
        <v>0</v>
      </c>
      <c r="E67" s="1851">
        <f ca="1"/>
        <v>0</v>
      </c>
      <c r="F67" s="1851">
        <f ca="1"/>
        <v>0</v>
      </c>
      <c r="G67" s="1851">
        <f ca="1"/>
        <v>0</v>
      </c>
      <c r="H67" s="1851">
        <f ca="1"/>
        <v>0</v>
      </c>
      <c r="I67" s="1851">
        <f ca="1"/>
        <v>0</v>
      </c>
      <c r="J67" s="1851">
        <f ca="1"/>
        <v>0</v>
      </c>
      <c r="K67" s="1851">
        <f ca="1"/>
        <v>0</v>
      </c>
      <c r="L67" s="1851">
        <f ca="1"/>
        <v>0</v>
      </c>
      <c r="M67" s="1851">
        <f ca="1"/>
        <v>0</v>
      </c>
      <c r="N67" s="1852">
        <f ca="1"/>
        <v>0</v>
      </c>
      <c r="O67" s="1862">
        <f ca="1">AVERAGE(C67:N67)</f>
        <v>0</v>
      </c>
    </row>
    <row r="68" spans="1:15">
      <c r="A68" s="2496" t="str">
        <v>Remanêntes apólice de crédito</v>
      </c>
      <c r="B68" s="1861">
        <f t="array" ref="B68:N68" ca="1">Finançamento!$G$49-B67:N67</f>
        <v>0</v>
      </c>
      <c r="C68" s="1858">
        <f ca="1"/>
        <v>0</v>
      </c>
      <c r="D68" s="1859">
        <f ca="1"/>
        <v>0</v>
      </c>
      <c r="E68" s="1859">
        <f ca="1"/>
        <v>0</v>
      </c>
      <c r="F68" s="1859">
        <f ca="1"/>
        <v>0</v>
      </c>
      <c r="G68" s="1859">
        <f ca="1"/>
        <v>0</v>
      </c>
      <c r="H68" s="1859">
        <f ca="1"/>
        <v>0</v>
      </c>
      <c r="I68" s="1859">
        <f ca="1"/>
        <v>0</v>
      </c>
      <c r="J68" s="1859">
        <f ca="1"/>
        <v>0</v>
      </c>
      <c r="K68" s="1859">
        <f ca="1"/>
        <v>0</v>
      </c>
      <c r="L68" s="1859">
        <f ca="1"/>
        <v>0</v>
      </c>
      <c r="M68" s="1859">
        <f ca="1"/>
        <v>0</v>
      </c>
      <c r="N68" s="1860">
        <f ca="1"/>
        <v>0</v>
      </c>
      <c r="O68" s="626">
        <f ca="1">AVERAGE(C68:N68)</f>
        <v>0</v>
      </c>
    </row>
    <row r="69" spans="1:15" s="266" customFormat="1" ht="15.75" thickBot="1">
      <c r="A69" s="2497" t="str">
        <v>Descobertos na tesouraria</v>
      </c>
      <c r="B69" s="1853">
        <f ca="1">-MIN('Tesorería 4'!B35,0)</f>
        <v>30873.669101798463</v>
      </c>
      <c r="C69" s="1854">
        <f ca="1">-MIN('Tesorería 4'!C35,0)</f>
        <v>31910.693146890204</v>
      </c>
      <c r="D69" s="1855">
        <f ca="1">-MIN('Tesorería 4'!D35,0)</f>
        <v>32326.771433025348</v>
      </c>
      <c r="E69" s="1855">
        <f ca="1">-MIN('Tesorería 4'!E35,0)</f>
        <v>32742.849719160491</v>
      </c>
      <c r="F69" s="1855">
        <f ca="1">-MIN('Tesorería 4'!F35,0)</f>
        <v>33853.753774628531</v>
      </c>
      <c r="G69" s="1855">
        <f ca="1">-MIN('Tesorería 4'!G35,0)</f>
        <v>34293.121624496423</v>
      </c>
      <c r="H69" s="1855">
        <f ca="1">-MIN('Tesorería 4'!H35,0)</f>
        <v>34732.489474364316</v>
      </c>
      <c r="I69" s="1855">
        <f ca="1">-MIN('Tesorería 4'!I35,0)</f>
        <v>35843.393529832356</v>
      </c>
      <c r="J69" s="1855">
        <f ca="1">-MIN('Tesorería 4'!J35,0)</f>
        <v>36282.761379700249</v>
      </c>
      <c r="K69" s="1855">
        <f ca="1">-MIN('Tesorería 4'!K35,0)</f>
        <v>36722.129229568141</v>
      </c>
      <c r="L69" s="1855">
        <f ca="1">-MIN('Tesorería 4'!L35,0)</f>
        <v>37833.033285036181</v>
      </c>
      <c r="M69" s="1855">
        <f ca="1">-MIN('Tesorería 4'!M35,0)</f>
        <v>38272.401134904074</v>
      </c>
      <c r="N69" s="1856">
        <f ca="1">-MIN('Tesorería 4'!N35,0)</f>
        <v>38711.768984771967</v>
      </c>
      <c r="O69" s="1863">
        <f ca="1">AVERAGE(C69:N69)</f>
        <v>35293.763893031522</v>
      </c>
    </row>
    <row r="70" spans="1:15" ht="12" customHeight="1" thickBot="1">
      <c r="A70" s="1180"/>
      <c r="B70" s="271"/>
      <c r="C70" s="272"/>
      <c r="D70" s="273"/>
      <c r="E70" s="273"/>
      <c r="F70" s="273"/>
      <c r="G70" s="273"/>
      <c r="H70" s="273"/>
      <c r="I70" s="273"/>
      <c r="J70" s="273"/>
      <c r="K70" s="273"/>
      <c r="L70" s="273"/>
      <c r="M70" s="273"/>
      <c r="N70" s="274"/>
      <c r="O70" s="268"/>
    </row>
    <row r="71" spans="1:15" ht="14.25" customHeight="1" thickBot="1">
      <c r="A71" s="1180"/>
      <c r="B71" s="1865" t="str">
        <f>$B$11</f>
        <v>taxas</v>
      </c>
      <c r="C71" s="272"/>
      <c r="D71" s="273"/>
      <c r="E71" s="273"/>
      <c r="F71" s="273"/>
      <c r="G71" s="273"/>
      <c r="H71" s="273"/>
      <c r="I71" s="273"/>
      <c r="J71" s="273"/>
      <c r="K71" s="273"/>
      <c r="L71" s="273"/>
      <c r="M71" s="273"/>
      <c r="N71" s="274"/>
      <c r="O71" s="1865" t="str">
        <f>$O$11</f>
        <v>Totais</v>
      </c>
    </row>
    <row r="72" spans="1:15">
      <c r="A72" s="323" t="str">
        <f t="array" ref="A72:A78">A$12:A$18</f>
        <v>Juros apólice de crédito</v>
      </c>
      <c r="B72" s="1183">
        <f>+Finançamento!H51</f>
        <v>7.0000000000000007E-2</v>
      </c>
      <c r="C72" s="1182">
        <f t="array" ref="C72:N72" ca="1">$B72/12*B67:M67+IF(C$11:N$11=1,Finançamento!$H$50*Finançamento!H49)</f>
        <v>0</v>
      </c>
      <c r="D72" s="622">
        <f ca="1"/>
        <v>0</v>
      </c>
      <c r="E72" s="622">
        <f ca="1"/>
        <v>0</v>
      </c>
      <c r="F72" s="622">
        <f ca="1"/>
        <v>0</v>
      </c>
      <c r="G72" s="622">
        <f ca="1"/>
        <v>0</v>
      </c>
      <c r="H72" s="622">
        <f ca="1"/>
        <v>0</v>
      </c>
      <c r="I72" s="622">
        <f ca="1"/>
        <v>0</v>
      </c>
      <c r="J72" s="622">
        <f ca="1"/>
        <v>0</v>
      </c>
      <c r="K72" s="622">
        <f ca="1"/>
        <v>0</v>
      </c>
      <c r="L72" s="622">
        <f ca="1"/>
        <v>0</v>
      </c>
      <c r="M72" s="622">
        <f ca="1"/>
        <v>0</v>
      </c>
      <c r="N72" s="623">
        <f ca="1"/>
        <v>0</v>
      </c>
      <c r="O72" s="625">
        <f t="shared" ref="O72:O77" ca="1" si="9">SUM(C72:N72)</f>
        <v>0</v>
      </c>
    </row>
    <row r="73" spans="1:15">
      <c r="A73" s="1843" t="str">
        <v>Juros apólice não disposto</v>
      </c>
      <c r="B73" s="1844">
        <f>+Finançamento!$H$52</f>
        <v>0.02</v>
      </c>
      <c r="C73" s="1845">
        <f t="array" ref="C73:N74" ca="1">$B73:$B74/12*B68:M69</f>
        <v>0</v>
      </c>
      <c r="D73" s="1846">
        <f ca="1"/>
        <v>0</v>
      </c>
      <c r="E73" s="1846">
        <f ca="1"/>
        <v>0</v>
      </c>
      <c r="F73" s="1846">
        <f ca="1"/>
        <v>0</v>
      </c>
      <c r="G73" s="1846">
        <f ca="1"/>
        <v>0</v>
      </c>
      <c r="H73" s="1846">
        <f ca="1"/>
        <v>0</v>
      </c>
      <c r="I73" s="1846">
        <f ca="1"/>
        <v>0</v>
      </c>
      <c r="J73" s="1846">
        <f ca="1"/>
        <v>0</v>
      </c>
      <c r="K73" s="1846">
        <f ca="1"/>
        <v>0</v>
      </c>
      <c r="L73" s="1846">
        <f ca="1"/>
        <v>0</v>
      </c>
      <c r="M73" s="1846">
        <f ca="1"/>
        <v>0</v>
      </c>
      <c r="N73" s="1847">
        <f ca="1"/>
        <v>0</v>
      </c>
      <c r="O73" s="1848">
        <f t="shared" ca="1" si="9"/>
        <v>0</v>
      </c>
    </row>
    <row r="74" spans="1:15">
      <c r="A74" s="1843" t="str">
        <v>Juros por descberto em cc.</v>
      </c>
      <c r="B74" s="1844">
        <f>B59</f>
        <v>0</v>
      </c>
      <c r="C74" s="1845">
        <f ca="1"/>
        <v>0</v>
      </c>
      <c r="D74" s="1846">
        <f ca="1"/>
        <v>0</v>
      </c>
      <c r="E74" s="1846">
        <f ca="1"/>
        <v>0</v>
      </c>
      <c r="F74" s="1846">
        <f ca="1"/>
        <v>0</v>
      </c>
      <c r="G74" s="1846">
        <f ca="1"/>
        <v>0</v>
      </c>
      <c r="H74" s="1846">
        <f ca="1"/>
        <v>0</v>
      </c>
      <c r="I74" s="1846">
        <f ca="1"/>
        <v>0</v>
      </c>
      <c r="J74" s="1846">
        <f ca="1"/>
        <v>0</v>
      </c>
      <c r="K74" s="1846">
        <f ca="1"/>
        <v>0</v>
      </c>
      <c r="L74" s="1846">
        <f ca="1"/>
        <v>0</v>
      </c>
      <c r="M74" s="1846">
        <f ca="1"/>
        <v>0</v>
      </c>
      <c r="N74" s="1847">
        <f ca="1"/>
        <v>0</v>
      </c>
      <c r="O74" s="1848">
        <f t="shared" ca="1" si="9"/>
        <v>0</v>
      </c>
    </row>
    <row r="75" spans="1:15">
      <c r="A75" s="324" t="str">
        <v>Locaçoes por Renting</v>
      </c>
      <c r="B75" s="1184"/>
      <c r="C75" s="1181">
        <f t="array" ref="C75:N75">+Renting!B49:M49</f>
        <v>0</v>
      </c>
      <c r="D75" s="897">
        <v>0</v>
      </c>
      <c r="E75" s="897">
        <v>0</v>
      </c>
      <c r="F75" s="897">
        <v>0</v>
      </c>
      <c r="G75" s="897">
        <v>0</v>
      </c>
      <c r="H75" s="897">
        <v>0</v>
      </c>
      <c r="I75" s="897">
        <v>0</v>
      </c>
      <c r="J75" s="897">
        <v>0</v>
      </c>
      <c r="K75" s="897">
        <v>0</v>
      </c>
      <c r="L75" s="897">
        <v>0</v>
      </c>
      <c r="M75" s="897">
        <v>0</v>
      </c>
      <c r="N75" s="898">
        <v>0</v>
      </c>
      <c r="O75" s="626">
        <f t="shared" si="9"/>
        <v>0</v>
      </c>
    </row>
    <row r="76" spans="1:15">
      <c r="A76" s="1769" t="str">
        <v>Juros dos Leasing</v>
      </c>
      <c r="B76" s="1747"/>
      <c r="C76" s="1770">
        <f t="array" ref="C76:N76">Leasing!B53:M53</f>
        <v>0</v>
      </c>
      <c r="D76" s="1771">
        <v>0</v>
      </c>
      <c r="E76" s="1771">
        <v>0</v>
      </c>
      <c r="F76" s="1771">
        <v>0</v>
      </c>
      <c r="G76" s="1771">
        <v>0</v>
      </c>
      <c r="H76" s="1771">
        <v>0</v>
      </c>
      <c r="I76" s="1771">
        <v>0</v>
      </c>
      <c r="J76" s="1771">
        <v>0</v>
      </c>
      <c r="K76" s="1771">
        <v>0</v>
      </c>
      <c r="L76" s="1771">
        <v>0</v>
      </c>
      <c r="M76" s="1771">
        <v>0</v>
      </c>
      <c r="N76" s="1772">
        <v>0</v>
      </c>
      <c r="O76" s="626">
        <f t="shared" si="9"/>
        <v>0</v>
      </c>
    </row>
    <row r="77" spans="1:15">
      <c r="A77" s="324" t="str">
        <v>Juros dos empréstimos</v>
      </c>
      <c r="B77" s="2938"/>
      <c r="C77" s="1181">
        <f t="array" ref="C77:N77">Empréstimos!B54:M54</f>
        <v>0</v>
      </c>
      <c r="D77" s="897">
        <v>0</v>
      </c>
      <c r="E77" s="897">
        <v>0</v>
      </c>
      <c r="F77" s="897">
        <v>0</v>
      </c>
      <c r="G77" s="897">
        <v>0</v>
      </c>
      <c r="H77" s="897">
        <v>0</v>
      </c>
      <c r="I77" s="897">
        <v>0</v>
      </c>
      <c r="J77" s="897">
        <v>0</v>
      </c>
      <c r="K77" s="897">
        <v>0</v>
      </c>
      <c r="L77" s="897">
        <v>0</v>
      </c>
      <c r="M77" s="897">
        <v>0</v>
      </c>
      <c r="N77" s="898">
        <v>0</v>
      </c>
      <c r="O77" s="2939">
        <f t="shared" si="9"/>
        <v>0</v>
      </c>
    </row>
    <row r="78" spans="1:15" ht="15.75" thickBot="1">
      <c r="A78" s="2933" t="str">
        <v>Comissões por cobrança de vendas</v>
      </c>
      <c r="B78" s="2944">
        <f>Parametros!$H$14</f>
        <v>0.01</v>
      </c>
      <c r="C78" s="2934">
        <f t="array" aca="1" ref="C78:N78" ca="1">$B78*'Receitas e pagamentos 4'!$B$28:$M$28</f>
        <v>15.770404343958001</v>
      </c>
      <c r="D78" s="2935">
        <f ca="1"/>
        <v>15.770404343958001</v>
      </c>
      <c r="E78" s="2935">
        <f ca="1"/>
        <v>15.770404343958001</v>
      </c>
      <c r="F78" s="2935">
        <f ca="1"/>
        <v>15.770404343958001</v>
      </c>
      <c r="G78" s="2935">
        <f ca="1"/>
        <v>15.770404343958001</v>
      </c>
      <c r="H78" s="2935">
        <f ca="1"/>
        <v>15.770404343958001</v>
      </c>
      <c r="I78" s="2935">
        <f ca="1"/>
        <v>15.770404343958001</v>
      </c>
      <c r="J78" s="2935">
        <f ca="1"/>
        <v>15.770404343958001</v>
      </c>
      <c r="K78" s="2935">
        <f ca="1"/>
        <v>15.770404343958001</v>
      </c>
      <c r="L78" s="2935">
        <f ca="1"/>
        <v>15.770404343958001</v>
      </c>
      <c r="M78" s="2935">
        <f ca="1"/>
        <v>15.770404343958001</v>
      </c>
      <c r="N78" s="2936">
        <f ca="1"/>
        <v>15.770404343958001</v>
      </c>
      <c r="O78" s="2937">
        <f ca="1">SUM(C78:N78)</f>
        <v>189.24485212749605</v>
      </c>
    </row>
    <row r="79" spans="1:15" ht="15.75" thickBot="1">
      <c r="A79" s="267"/>
      <c r="B79" s="269" t="str">
        <f>$B$19</f>
        <v xml:space="preserve">Totais mensuais  </v>
      </c>
      <c r="C79" s="1176">
        <f t="shared" ref="C79:O79" ca="1" si="10">SUM(C72:C78)</f>
        <v>15.770404343958001</v>
      </c>
      <c r="D79" s="1177">
        <f t="shared" ca="1" si="10"/>
        <v>15.770404343958001</v>
      </c>
      <c r="E79" s="1177">
        <f t="shared" ca="1" si="10"/>
        <v>15.770404343958001</v>
      </c>
      <c r="F79" s="1177">
        <f t="shared" ca="1" si="10"/>
        <v>15.770404343958001</v>
      </c>
      <c r="G79" s="1177">
        <f t="shared" ca="1" si="10"/>
        <v>15.770404343958001</v>
      </c>
      <c r="H79" s="1177">
        <f t="shared" ca="1" si="10"/>
        <v>15.770404343958001</v>
      </c>
      <c r="I79" s="1177">
        <f t="shared" ca="1" si="10"/>
        <v>15.770404343958001</v>
      </c>
      <c r="J79" s="1177">
        <f t="shared" ca="1" si="10"/>
        <v>15.770404343958001</v>
      </c>
      <c r="K79" s="1177">
        <f t="shared" ca="1" si="10"/>
        <v>15.770404343958001</v>
      </c>
      <c r="L79" s="1177">
        <f t="shared" ca="1" si="10"/>
        <v>15.770404343958001</v>
      </c>
      <c r="M79" s="1177">
        <f t="shared" ca="1" si="10"/>
        <v>15.770404343958001</v>
      </c>
      <c r="N79" s="1178">
        <f t="shared" ca="1" si="10"/>
        <v>15.770404343958001</v>
      </c>
      <c r="O79" s="624">
        <f t="shared" ca="1" si="10"/>
        <v>189.24485212749605</v>
      </c>
    </row>
    <row r="80" spans="1:15">
      <c r="B80" s="265"/>
      <c r="C80" s="239"/>
      <c r="D80" s="239"/>
      <c r="E80" s="239"/>
      <c r="F80" s="239"/>
      <c r="G80" s="239"/>
      <c r="H80" s="239"/>
      <c r="I80" s="239"/>
      <c r="J80" s="239"/>
      <c r="K80" s="239"/>
      <c r="L80" s="239"/>
      <c r="M80" s="239"/>
      <c r="N80" s="239"/>
      <c r="O80" s="239"/>
    </row>
    <row r="81" spans="1:15">
      <c r="B81" s="265"/>
      <c r="C81" s="239"/>
      <c r="D81" s="239"/>
      <c r="E81" s="239"/>
      <c r="F81" s="239"/>
      <c r="G81" s="239"/>
      <c r="H81" s="239"/>
      <c r="I81" s="239"/>
      <c r="J81" s="239"/>
      <c r="K81" s="239"/>
      <c r="L81" s="239"/>
      <c r="M81" s="239"/>
      <c r="N81" s="239"/>
      <c r="O81" s="239"/>
    </row>
    <row r="82" spans="1:15" ht="19.5">
      <c r="A82" s="250" t="s">
        <v>793</v>
      </c>
    </row>
    <row r="83" spans="1:15" ht="11.25" customHeight="1" thickBot="1"/>
    <row r="84" spans="1:15" ht="15.75" thickBot="1">
      <c r="A84" s="257" t="str">
        <f>CONCATENATE("Ingresos Financeiros ",'Dados Básicos'!$B$18)</f>
        <v>Ingresos Financeiros Ano 0</v>
      </c>
      <c r="B84" s="1865" t="str">
        <f>$B$11</f>
        <v>taxas</v>
      </c>
      <c r="C84" s="438" t="str">
        <f t="array" ref="C84:N84">meses</f>
        <v>janeiro</v>
      </c>
      <c r="D84" s="165" t="str">
        <v>fevereiro</v>
      </c>
      <c r="E84" s="165" t="str">
        <v>março</v>
      </c>
      <c r="F84" s="165" t="str">
        <v>abril</v>
      </c>
      <c r="G84" s="165" t="str">
        <v>maio</v>
      </c>
      <c r="H84" s="165" t="str">
        <v>junho</v>
      </c>
      <c r="I84" s="165" t="str">
        <v>julho</v>
      </c>
      <c r="J84" s="165" t="str">
        <v>agosto</v>
      </c>
      <c r="K84" s="165" t="str">
        <v>setembro</v>
      </c>
      <c r="L84" s="165" t="str">
        <v>outubro</v>
      </c>
      <c r="M84" s="165" t="str">
        <v>novembro</v>
      </c>
      <c r="N84" s="166" t="str">
        <v>dezembro</v>
      </c>
      <c r="O84" s="105" t="str">
        <f>$O$11</f>
        <v>Totais</v>
      </c>
    </row>
    <row r="85" spans="1:15">
      <c r="A85" s="277" t="s">
        <v>889</v>
      </c>
      <c r="B85" s="280">
        <f>Parametros!$C$7</f>
        <v>0</v>
      </c>
      <c r="C85" s="627">
        <f ca="1">IF(C$11&lt;mes0,0,$B85*'Tesorería 0'!B$35/12)</f>
        <v>0</v>
      </c>
      <c r="D85" s="622">
        <f ca="1">IF(D$11&lt;mes0,0,$B85*'Tesorería 0'!C$35/12)</f>
        <v>0</v>
      </c>
      <c r="E85" s="622">
        <f ca="1">IF(E$11&lt;mes0,0,$B85*'Tesorería 0'!D$35/12)</f>
        <v>0</v>
      </c>
      <c r="F85" s="622">
        <f ca="1">IF(F$11&lt;mes0,0,$B85*'Tesorería 0'!E$35/12)</f>
        <v>0</v>
      </c>
      <c r="G85" s="622">
        <f ca="1">IF(G$11&lt;mes0,0,$B85*'Tesorería 0'!F$35/12)</f>
        <v>0</v>
      </c>
      <c r="H85" s="622">
        <f ca="1">IF(H$11&lt;mes0,0,$B85*'Tesorería 0'!G$35/12)</f>
        <v>0</v>
      </c>
      <c r="I85" s="622">
        <f ca="1">IF(I$11&lt;mes0,0,$B85*'Tesorería 0'!H$35/12)</f>
        <v>0</v>
      </c>
      <c r="J85" s="622">
        <f ca="1">IF(J$11&lt;mes0,0,$B85*'Tesorería 0'!I$35/12)</f>
        <v>0</v>
      </c>
      <c r="K85" s="622">
        <f ca="1">IF(K$11&lt;mes0,0,$B85*'Tesorería 0'!J$35/12)</f>
        <v>0</v>
      </c>
      <c r="L85" s="622">
        <f ca="1">IF(L$11&lt;mes0,0,$B85*'Tesorería 0'!K$35/12)</f>
        <v>0</v>
      </c>
      <c r="M85" s="622">
        <f ca="1">IF(M$11&lt;mes0,0,$B85*'Tesorería 0'!L$35/12)</f>
        <v>0</v>
      </c>
      <c r="N85" s="623">
        <f ca="1">IF(N$11&lt;mes0,0,$B85*'Tesorería 0'!M$35/12)</f>
        <v>0</v>
      </c>
      <c r="O85" s="625">
        <f ca="1">SUM(C85:N85)</f>
        <v>0</v>
      </c>
    </row>
    <row r="86" spans="1:15" ht="15.75" thickBot="1">
      <c r="A86" s="278" t="s">
        <v>890</v>
      </c>
      <c r="B86" s="281"/>
      <c r="C86" s="275"/>
      <c r="D86" s="276"/>
      <c r="E86" s="276"/>
      <c r="F86" s="276"/>
      <c r="G86" s="276"/>
      <c r="H86" s="276"/>
      <c r="I86" s="276"/>
      <c r="J86" s="276"/>
      <c r="K86" s="276"/>
      <c r="L86" s="276"/>
      <c r="M86" s="276"/>
      <c r="N86" s="279"/>
      <c r="O86" s="628">
        <f>SUM(C86:N86)</f>
        <v>0</v>
      </c>
    </row>
    <row r="87" spans="1:15" ht="15.75" thickBot="1">
      <c r="A87" s="267"/>
      <c r="B87" s="269" t="str">
        <f>$B$19</f>
        <v xml:space="preserve">Totais mensuais  </v>
      </c>
      <c r="C87" s="1173">
        <f ca="1">SUM(C85:C86)</f>
        <v>0</v>
      </c>
      <c r="D87" s="1174">
        <f t="shared" ref="D87:N87" ca="1" si="11">SUM(D85:D86)</f>
        <v>0</v>
      </c>
      <c r="E87" s="1174">
        <f t="shared" ca="1" si="11"/>
        <v>0</v>
      </c>
      <c r="F87" s="1174">
        <f t="shared" ca="1" si="11"/>
        <v>0</v>
      </c>
      <c r="G87" s="1174">
        <f t="shared" ca="1" si="11"/>
        <v>0</v>
      </c>
      <c r="H87" s="1174">
        <f t="shared" ca="1" si="11"/>
        <v>0</v>
      </c>
      <c r="I87" s="1174">
        <f t="shared" ca="1" si="11"/>
        <v>0</v>
      </c>
      <c r="J87" s="1174">
        <f t="shared" ca="1" si="11"/>
        <v>0</v>
      </c>
      <c r="K87" s="1174">
        <f t="shared" ca="1" si="11"/>
        <v>0</v>
      </c>
      <c r="L87" s="1174">
        <f t="shared" ca="1" si="11"/>
        <v>0</v>
      </c>
      <c r="M87" s="1174">
        <f t="shared" ca="1" si="11"/>
        <v>0</v>
      </c>
      <c r="N87" s="1175">
        <f t="shared" ca="1" si="11"/>
        <v>0</v>
      </c>
      <c r="O87" s="629">
        <f ca="1">SUM(O85:O86)</f>
        <v>0</v>
      </c>
    </row>
    <row r="88" spans="1:15" ht="15.75" thickBot="1">
      <c r="B88" s="264"/>
      <c r="C88" s="239"/>
      <c r="D88" s="239"/>
      <c r="E88" s="239"/>
      <c r="F88" s="239"/>
      <c r="G88" s="239"/>
      <c r="H88" s="239"/>
      <c r="I88" s="239"/>
      <c r="J88" s="239"/>
      <c r="K88" s="239"/>
      <c r="L88" s="239"/>
      <c r="M88" s="239"/>
      <c r="N88" s="239"/>
      <c r="O88" s="239"/>
    </row>
    <row r="89" spans="1:15" ht="15.75" thickBot="1">
      <c r="A89" s="257" t="str">
        <f>CONCATENATE("Ingresos Financeiros Año ",'Dados Básicos'!$C$18)</f>
        <v>Ingresos Financeiros Año 1</v>
      </c>
      <c r="B89" s="1865" t="str">
        <f>$B$11</f>
        <v>taxas</v>
      </c>
      <c r="C89" s="438" t="str">
        <f t="array" ref="C89:N89">meses</f>
        <v>janeiro</v>
      </c>
      <c r="D89" s="165" t="str">
        <v>fevereiro</v>
      </c>
      <c r="E89" s="165" t="str">
        <v>março</v>
      </c>
      <c r="F89" s="165" t="str">
        <v>abril</v>
      </c>
      <c r="G89" s="165" t="str">
        <v>maio</v>
      </c>
      <c r="H89" s="165" t="str">
        <v>junho</v>
      </c>
      <c r="I89" s="165" t="str">
        <v>julho</v>
      </c>
      <c r="J89" s="165" t="str">
        <v>agosto</v>
      </c>
      <c r="K89" s="165" t="str">
        <v>setembro</v>
      </c>
      <c r="L89" s="165" t="str">
        <v>outubro</v>
      </c>
      <c r="M89" s="165" t="str">
        <v>novembro</v>
      </c>
      <c r="N89" s="166" t="str">
        <v>dezembro</v>
      </c>
      <c r="O89" s="105" t="str">
        <f>$O$11</f>
        <v>Totais</v>
      </c>
    </row>
    <row r="90" spans="1:15">
      <c r="A90" s="277" t="str">
        <f t="array" ref="A90:A91">A$85:A$86</f>
        <v>Juros Conta Corrente</v>
      </c>
      <c r="B90" s="280">
        <f>$B$85</f>
        <v>0</v>
      </c>
      <c r="C90" s="627">
        <f t="array" ref="C90:N90" ca="1">$B90*'Tesorería 1'!B$35:M$35/12</f>
        <v>0</v>
      </c>
      <c r="D90" s="622">
        <f ca="1"/>
        <v>0</v>
      </c>
      <c r="E90" s="622">
        <f ca="1"/>
        <v>0</v>
      </c>
      <c r="F90" s="622">
        <f ca="1"/>
        <v>0</v>
      </c>
      <c r="G90" s="622">
        <f ca="1"/>
        <v>0</v>
      </c>
      <c r="H90" s="622">
        <f ca="1"/>
        <v>0</v>
      </c>
      <c r="I90" s="622">
        <f ca="1"/>
        <v>0</v>
      </c>
      <c r="J90" s="622">
        <f ca="1"/>
        <v>0</v>
      </c>
      <c r="K90" s="622">
        <f ca="1"/>
        <v>0</v>
      </c>
      <c r="L90" s="622">
        <f ca="1"/>
        <v>0</v>
      </c>
      <c r="M90" s="622">
        <f ca="1"/>
        <v>0</v>
      </c>
      <c r="N90" s="623">
        <f ca="1"/>
        <v>0</v>
      </c>
      <c r="O90" s="625">
        <f ca="1">SUM(C90:N90)</f>
        <v>0</v>
      </c>
    </row>
    <row r="91" spans="1:15" ht="15.75" thickBot="1">
      <c r="A91" s="278" t="str">
        <v>Outros ingresos Financeiros</v>
      </c>
      <c r="B91" s="281"/>
      <c r="C91" s="275"/>
      <c r="D91" s="276"/>
      <c r="E91" s="276"/>
      <c r="F91" s="276"/>
      <c r="G91" s="276"/>
      <c r="H91" s="276"/>
      <c r="I91" s="276"/>
      <c r="J91" s="276"/>
      <c r="K91" s="276"/>
      <c r="L91" s="276"/>
      <c r="M91" s="276"/>
      <c r="N91" s="279"/>
      <c r="O91" s="628">
        <f>SUM(C91:N91)</f>
        <v>0</v>
      </c>
    </row>
    <row r="92" spans="1:15" ht="15.75" thickBot="1">
      <c r="A92" s="267"/>
      <c r="B92" s="269" t="str">
        <f>$B$19</f>
        <v xml:space="preserve">Totais mensuais  </v>
      </c>
      <c r="C92" s="1173">
        <f t="shared" ref="C92:O92" ca="1" si="12">SUM(C90:C91)</f>
        <v>0</v>
      </c>
      <c r="D92" s="1174">
        <f t="shared" ca="1" si="12"/>
        <v>0</v>
      </c>
      <c r="E92" s="1174">
        <f t="shared" ca="1" si="12"/>
        <v>0</v>
      </c>
      <c r="F92" s="1174">
        <f t="shared" ca="1" si="12"/>
        <v>0</v>
      </c>
      <c r="G92" s="1174">
        <f t="shared" ca="1" si="12"/>
        <v>0</v>
      </c>
      <c r="H92" s="1174">
        <f t="shared" ca="1" si="12"/>
        <v>0</v>
      </c>
      <c r="I92" s="1174">
        <f t="shared" ca="1" si="12"/>
        <v>0</v>
      </c>
      <c r="J92" s="1174">
        <f t="shared" ca="1" si="12"/>
        <v>0</v>
      </c>
      <c r="K92" s="1174">
        <f t="shared" ca="1" si="12"/>
        <v>0</v>
      </c>
      <c r="L92" s="1174">
        <f t="shared" ca="1" si="12"/>
        <v>0</v>
      </c>
      <c r="M92" s="1174">
        <f t="shared" ca="1" si="12"/>
        <v>0</v>
      </c>
      <c r="N92" s="1175">
        <f t="shared" ca="1" si="12"/>
        <v>0</v>
      </c>
      <c r="O92" s="629">
        <f t="shared" ca="1" si="12"/>
        <v>0</v>
      </c>
    </row>
    <row r="93" spans="1:15" ht="15.75" thickBot="1">
      <c r="B93" s="264"/>
      <c r="C93" s="239"/>
      <c r="D93" s="239"/>
      <c r="E93" s="239"/>
      <c r="F93" s="239"/>
      <c r="G93" s="239"/>
      <c r="H93" s="239"/>
      <c r="I93" s="239"/>
      <c r="J93" s="239"/>
      <c r="K93" s="239"/>
      <c r="L93" s="239"/>
      <c r="M93" s="239"/>
      <c r="N93" s="239"/>
      <c r="O93" s="239"/>
    </row>
    <row r="94" spans="1:15" ht="15.75" thickBot="1">
      <c r="A94" s="257" t="str">
        <f>CONCATENATE("Ingresos Financeiros Año ",'Dados Básicos'!$D$18)</f>
        <v>Ingresos Financeiros Año 2</v>
      </c>
      <c r="B94" s="1865" t="str">
        <f>$B$11</f>
        <v>taxas</v>
      </c>
      <c r="C94" s="438" t="str">
        <f t="array" ref="C94:N94">meses</f>
        <v>janeiro</v>
      </c>
      <c r="D94" s="165" t="str">
        <v>fevereiro</v>
      </c>
      <c r="E94" s="165" t="str">
        <v>março</v>
      </c>
      <c r="F94" s="165" t="str">
        <v>abril</v>
      </c>
      <c r="G94" s="165" t="str">
        <v>maio</v>
      </c>
      <c r="H94" s="165" t="str">
        <v>junho</v>
      </c>
      <c r="I94" s="165" t="str">
        <v>julho</v>
      </c>
      <c r="J94" s="165" t="str">
        <v>agosto</v>
      </c>
      <c r="K94" s="165" t="str">
        <v>setembro</v>
      </c>
      <c r="L94" s="165" t="str">
        <v>outubro</v>
      </c>
      <c r="M94" s="165" t="str">
        <v>novembro</v>
      </c>
      <c r="N94" s="166" t="str">
        <v>dezembro</v>
      </c>
      <c r="O94" s="105" t="str">
        <f>$O$11</f>
        <v>Totais</v>
      </c>
    </row>
    <row r="95" spans="1:15">
      <c r="A95" s="277" t="str">
        <f t="array" ref="A95:A96">A$85:A$86</f>
        <v>Juros Conta Corrente</v>
      </c>
      <c r="B95" s="280">
        <f>$B$85</f>
        <v>0</v>
      </c>
      <c r="C95" s="627">
        <f t="array" ref="C95:N95" ca="1">$B95*'Tesorería 2'!B$35:M$35/12</f>
        <v>0</v>
      </c>
      <c r="D95" s="622">
        <f ca="1"/>
        <v>0</v>
      </c>
      <c r="E95" s="622">
        <f ca="1"/>
        <v>0</v>
      </c>
      <c r="F95" s="622">
        <f ca="1"/>
        <v>0</v>
      </c>
      <c r="G95" s="622">
        <f ca="1"/>
        <v>0</v>
      </c>
      <c r="H95" s="622">
        <f ca="1"/>
        <v>0</v>
      </c>
      <c r="I95" s="622">
        <f ca="1"/>
        <v>0</v>
      </c>
      <c r="J95" s="622">
        <f ca="1"/>
        <v>0</v>
      </c>
      <c r="K95" s="622">
        <f ca="1"/>
        <v>0</v>
      </c>
      <c r="L95" s="622">
        <f ca="1"/>
        <v>0</v>
      </c>
      <c r="M95" s="622">
        <f ca="1"/>
        <v>0</v>
      </c>
      <c r="N95" s="623">
        <f ca="1"/>
        <v>0</v>
      </c>
      <c r="O95" s="625">
        <f ca="1">SUM(C95:N95)</f>
        <v>0</v>
      </c>
    </row>
    <row r="96" spans="1:15" ht="15.75" thickBot="1">
      <c r="A96" s="278" t="str">
        <v>Outros ingresos Financeiros</v>
      </c>
      <c r="B96" s="281"/>
      <c r="C96" s="275"/>
      <c r="D96" s="276"/>
      <c r="E96" s="276"/>
      <c r="F96" s="276"/>
      <c r="G96" s="276"/>
      <c r="H96" s="276"/>
      <c r="I96" s="276"/>
      <c r="J96" s="276"/>
      <c r="K96" s="276"/>
      <c r="L96" s="276"/>
      <c r="M96" s="276"/>
      <c r="N96" s="279"/>
      <c r="O96" s="628">
        <f>SUM(C96:N96)</f>
        <v>0</v>
      </c>
    </row>
    <row r="97" spans="1:15" ht="15.75" thickBot="1">
      <c r="A97" s="267"/>
      <c r="B97" s="269" t="str">
        <f>$B$19</f>
        <v xml:space="preserve">Totais mensuais  </v>
      </c>
      <c r="C97" s="1173">
        <f t="shared" ref="C97:O97" ca="1" si="13">SUM(C95:C96)</f>
        <v>0</v>
      </c>
      <c r="D97" s="1174">
        <f t="shared" ca="1" si="13"/>
        <v>0</v>
      </c>
      <c r="E97" s="1174">
        <f t="shared" ca="1" si="13"/>
        <v>0</v>
      </c>
      <c r="F97" s="1174">
        <f t="shared" ca="1" si="13"/>
        <v>0</v>
      </c>
      <c r="G97" s="1174">
        <f t="shared" ca="1" si="13"/>
        <v>0</v>
      </c>
      <c r="H97" s="1174">
        <f t="shared" ca="1" si="13"/>
        <v>0</v>
      </c>
      <c r="I97" s="1174">
        <f t="shared" ca="1" si="13"/>
        <v>0</v>
      </c>
      <c r="J97" s="1174">
        <f t="shared" ca="1" si="13"/>
        <v>0</v>
      </c>
      <c r="K97" s="1174">
        <f t="shared" ca="1" si="13"/>
        <v>0</v>
      </c>
      <c r="L97" s="1174">
        <f t="shared" ca="1" si="13"/>
        <v>0</v>
      </c>
      <c r="M97" s="1174">
        <f t="shared" ca="1" si="13"/>
        <v>0</v>
      </c>
      <c r="N97" s="1175">
        <f t="shared" ca="1" si="13"/>
        <v>0</v>
      </c>
      <c r="O97" s="629">
        <f t="shared" ca="1" si="13"/>
        <v>0</v>
      </c>
    </row>
    <row r="98" spans="1:15" ht="15.75" thickBot="1"/>
    <row r="99" spans="1:15" ht="15.75" thickBot="1">
      <c r="A99" s="257" t="str">
        <f>CONCATENATE("Ingresos Financeiros Año ",'Dados Básicos'!$E$18)</f>
        <v>Ingresos Financeiros Año 3</v>
      </c>
      <c r="B99" s="1865" t="str">
        <f>$B$11</f>
        <v>taxas</v>
      </c>
      <c r="C99" s="438" t="str">
        <f t="array" ref="C99:N99">meses</f>
        <v>janeiro</v>
      </c>
      <c r="D99" s="165" t="str">
        <v>fevereiro</v>
      </c>
      <c r="E99" s="165" t="str">
        <v>março</v>
      </c>
      <c r="F99" s="165" t="str">
        <v>abril</v>
      </c>
      <c r="G99" s="165" t="str">
        <v>maio</v>
      </c>
      <c r="H99" s="165" t="str">
        <v>junho</v>
      </c>
      <c r="I99" s="165" t="str">
        <v>julho</v>
      </c>
      <c r="J99" s="165" t="str">
        <v>agosto</v>
      </c>
      <c r="K99" s="165" t="str">
        <v>setembro</v>
      </c>
      <c r="L99" s="165" t="str">
        <v>outubro</v>
      </c>
      <c r="M99" s="165" t="str">
        <v>novembro</v>
      </c>
      <c r="N99" s="166" t="str">
        <v>dezembro</v>
      </c>
      <c r="O99" s="105" t="str">
        <f>$O$11</f>
        <v>Totais</v>
      </c>
    </row>
    <row r="100" spans="1:15">
      <c r="A100" s="277" t="str">
        <f t="array" ref="A100:A101">A$85:A$86</f>
        <v>Juros Conta Corrente</v>
      </c>
      <c r="B100" s="280">
        <f>$B$85</f>
        <v>0</v>
      </c>
      <c r="C100" s="627">
        <f t="array" ref="C100:N100" ca="1">$B100*'Tesorería 3'!B$35:M$35/12</f>
        <v>0</v>
      </c>
      <c r="D100" s="622">
        <f ca="1"/>
        <v>0</v>
      </c>
      <c r="E100" s="622">
        <f ca="1"/>
        <v>0</v>
      </c>
      <c r="F100" s="622">
        <f ca="1"/>
        <v>0</v>
      </c>
      <c r="G100" s="622">
        <f ca="1"/>
        <v>0</v>
      </c>
      <c r="H100" s="622">
        <f ca="1"/>
        <v>0</v>
      </c>
      <c r="I100" s="622">
        <f ca="1"/>
        <v>0</v>
      </c>
      <c r="J100" s="622">
        <f ca="1"/>
        <v>0</v>
      </c>
      <c r="K100" s="622">
        <f ca="1"/>
        <v>0</v>
      </c>
      <c r="L100" s="622">
        <f ca="1"/>
        <v>0</v>
      </c>
      <c r="M100" s="622">
        <f ca="1"/>
        <v>0</v>
      </c>
      <c r="N100" s="623">
        <f ca="1"/>
        <v>0</v>
      </c>
      <c r="O100" s="625">
        <f ca="1">SUM(C100:N100)</f>
        <v>0</v>
      </c>
    </row>
    <row r="101" spans="1:15" ht="15.75" thickBot="1">
      <c r="A101" s="278" t="str">
        <v>Outros ingresos Financeiros</v>
      </c>
      <c r="B101" s="281"/>
      <c r="C101" s="275"/>
      <c r="D101" s="276"/>
      <c r="E101" s="276"/>
      <c r="F101" s="276"/>
      <c r="G101" s="276"/>
      <c r="H101" s="276"/>
      <c r="I101" s="276"/>
      <c r="J101" s="276"/>
      <c r="K101" s="276"/>
      <c r="L101" s="276"/>
      <c r="M101" s="276"/>
      <c r="N101" s="279"/>
      <c r="O101" s="628">
        <f>SUM(C101:N101)</f>
        <v>0</v>
      </c>
    </row>
    <row r="102" spans="1:15" ht="15.75" thickBot="1">
      <c r="A102" s="267"/>
      <c r="B102" s="269" t="str">
        <f>$B$19</f>
        <v xml:space="preserve">Totais mensuais  </v>
      </c>
      <c r="C102" s="1173">
        <f t="shared" ref="C102:O102" ca="1" si="14">SUM(C100:C101)</f>
        <v>0</v>
      </c>
      <c r="D102" s="1174">
        <f t="shared" ca="1" si="14"/>
        <v>0</v>
      </c>
      <c r="E102" s="1174">
        <f t="shared" ca="1" si="14"/>
        <v>0</v>
      </c>
      <c r="F102" s="1174">
        <f t="shared" ca="1" si="14"/>
        <v>0</v>
      </c>
      <c r="G102" s="1174">
        <f t="shared" ca="1" si="14"/>
        <v>0</v>
      </c>
      <c r="H102" s="1174">
        <f t="shared" ca="1" si="14"/>
        <v>0</v>
      </c>
      <c r="I102" s="1174">
        <f t="shared" ca="1" si="14"/>
        <v>0</v>
      </c>
      <c r="J102" s="1174">
        <f t="shared" ca="1" si="14"/>
        <v>0</v>
      </c>
      <c r="K102" s="1174">
        <f t="shared" ca="1" si="14"/>
        <v>0</v>
      </c>
      <c r="L102" s="1174">
        <f t="shared" ca="1" si="14"/>
        <v>0</v>
      </c>
      <c r="M102" s="1174">
        <f t="shared" ca="1" si="14"/>
        <v>0</v>
      </c>
      <c r="N102" s="1175">
        <f t="shared" ca="1" si="14"/>
        <v>0</v>
      </c>
      <c r="O102" s="629">
        <f t="shared" ca="1" si="14"/>
        <v>0</v>
      </c>
    </row>
    <row r="103" spans="1:15" ht="15.75" thickBot="1"/>
    <row r="104" spans="1:15" ht="15.75" thickBot="1">
      <c r="A104" s="257" t="str">
        <f>CONCATENATE("Ingresos Financeiros Año ",'Dados Básicos'!$F$18)</f>
        <v>Ingresos Financeiros Año 4</v>
      </c>
      <c r="B104" s="1865" t="str">
        <f>$B$11</f>
        <v>taxas</v>
      </c>
      <c r="C104" s="438" t="str">
        <f t="array" ref="C104:N104">meses</f>
        <v>janeiro</v>
      </c>
      <c r="D104" s="165" t="str">
        <v>fevereiro</v>
      </c>
      <c r="E104" s="165" t="str">
        <v>março</v>
      </c>
      <c r="F104" s="165" t="str">
        <v>abril</v>
      </c>
      <c r="G104" s="165" t="str">
        <v>maio</v>
      </c>
      <c r="H104" s="165" t="str">
        <v>junho</v>
      </c>
      <c r="I104" s="165" t="str">
        <v>julho</v>
      </c>
      <c r="J104" s="165" t="str">
        <v>agosto</v>
      </c>
      <c r="K104" s="165" t="str">
        <v>setembro</v>
      </c>
      <c r="L104" s="165" t="str">
        <v>outubro</v>
      </c>
      <c r="M104" s="165" t="str">
        <v>novembro</v>
      </c>
      <c r="N104" s="166" t="str">
        <v>dezembro</v>
      </c>
      <c r="O104" s="105" t="str">
        <f>$O$11</f>
        <v>Totais</v>
      </c>
    </row>
    <row r="105" spans="1:15">
      <c r="A105" s="277" t="str">
        <f t="array" ref="A105:A106">A$85:A$86</f>
        <v>Juros Conta Corrente</v>
      </c>
      <c r="B105" s="280">
        <f>$B$85</f>
        <v>0</v>
      </c>
      <c r="C105" s="627">
        <f t="array" ref="C105:N105" ca="1">$B105*'Tesorería 4'!B$35:M$35/12</f>
        <v>0</v>
      </c>
      <c r="D105" s="622">
        <f ca="1"/>
        <v>0</v>
      </c>
      <c r="E105" s="622">
        <f ca="1"/>
        <v>0</v>
      </c>
      <c r="F105" s="622">
        <f ca="1"/>
        <v>0</v>
      </c>
      <c r="G105" s="622">
        <f ca="1"/>
        <v>0</v>
      </c>
      <c r="H105" s="622">
        <f ca="1"/>
        <v>0</v>
      </c>
      <c r="I105" s="622">
        <f ca="1"/>
        <v>0</v>
      </c>
      <c r="J105" s="622">
        <f ca="1"/>
        <v>0</v>
      </c>
      <c r="K105" s="622">
        <f ca="1"/>
        <v>0</v>
      </c>
      <c r="L105" s="622">
        <f ca="1"/>
        <v>0</v>
      </c>
      <c r="M105" s="622">
        <f ca="1"/>
        <v>0</v>
      </c>
      <c r="N105" s="623">
        <f ca="1"/>
        <v>0</v>
      </c>
      <c r="O105" s="625">
        <f ca="1">SUM(C105:N105)</f>
        <v>0</v>
      </c>
    </row>
    <row r="106" spans="1:15" ht="15.75" thickBot="1">
      <c r="A106" s="278" t="str">
        <v>Outros ingresos Financeiros</v>
      </c>
      <c r="B106" s="281"/>
      <c r="C106" s="275"/>
      <c r="D106" s="276"/>
      <c r="E106" s="276"/>
      <c r="F106" s="276"/>
      <c r="G106" s="276"/>
      <c r="H106" s="276"/>
      <c r="I106" s="276"/>
      <c r="J106" s="276"/>
      <c r="K106" s="276"/>
      <c r="L106" s="276"/>
      <c r="M106" s="276"/>
      <c r="N106" s="279"/>
      <c r="O106" s="628">
        <f>SUM(C106:N106)</f>
        <v>0</v>
      </c>
    </row>
    <row r="107" spans="1:15" ht="15.75" thickBot="1">
      <c r="A107" s="267"/>
      <c r="B107" s="269" t="str">
        <f>$B$19</f>
        <v xml:space="preserve">Totais mensuais  </v>
      </c>
      <c r="C107" s="1173">
        <f t="shared" ref="C107:O107" ca="1" si="15">SUM(C105:C106)</f>
        <v>0</v>
      </c>
      <c r="D107" s="1174">
        <f t="shared" ca="1" si="15"/>
        <v>0</v>
      </c>
      <c r="E107" s="1174">
        <f t="shared" ca="1" si="15"/>
        <v>0</v>
      </c>
      <c r="F107" s="1174">
        <f t="shared" ca="1" si="15"/>
        <v>0</v>
      </c>
      <c r="G107" s="1174">
        <f t="shared" ca="1" si="15"/>
        <v>0</v>
      </c>
      <c r="H107" s="1174">
        <f t="shared" ca="1" si="15"/>
        <v>0</v>
      </c>
      <c r="I107" s="1174">
        <f t="shared" ca="1" si="15"/>
        <v>0</v>
      </c>
      <c r="J107" s="1174">
        <f t="shared" ca="1" si="15"/>
        <v>0</v>
      </c>
      <c r="K107" s="1174">
        <f t="shared" ca="1" si="15"/>
        <v>0</v>
      </c>
      <c r="L107" s="1174">
        <f t="shared" ca="1" si="15"/>
        <v>0</v>
      </c>
      <c r="M107" s="1174">
        <f t="shared" ca="1" si="15"/>
        <v>0</v>
      </c>
      <c r="N107" s="1175">
        <f t="shared" ca="1" si="15"/>
        <v>0</v>
      </c>
      <c r="O107" s="629">
        <f t="shared" ca="1" si="15"/>
        <v>0</v>
      </c>
    </row>
  </sheetData>
  <sheetProtection sheet="1" objects="1" scenarios="1"/>
  <phoneticPr fontId="4" type="noConversion"/>
  <printOptions horizontalCentered="1"/>
  <pageMargins left="0.75" right="0.75" top="0.4" bottom="0.41" header="0" footer="0"/>
  <pageSetup paperSize="9" scale="68" fitToHeight="2" orientation="landscape" horizontalDpi="300" r:id="rId1"/>
  <headerFooter alignWithMargins="0"/>
  <rowBreaks count="2" manualBreakCount="2">
    <brk id="50" max="16383" man="1"/>
    <brk id="80" max="16383" man="1"/>
  </row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30">
    <tabColor indexed="43"/>
    <pageSetUpPr fitToPage="1"/>
  </sheetPr>
  <dimension ref="A1:O60"/>
  <sheetViews>
    <sheetView workbookViewId="0"/>
  </sheetViews>
  <sheetFormatPr baseColWidth="10" defaultColWidth="11" defaultRowHeight="12.75"/>
  <cols>
    <col min="1" max="1" width="29.25" style="88" customWidth="1"/>
    <col min="2" max="2" width="12" style="88" customWidth="1"/>
    <col min="3" max="3" width="11.875" style="88" customWidth="1"/>
    <col min="4" max="4" width="13.125" style="88" customWidth="1"/>
    <col min="5" max="5" width="13.5" style="88" customWidth="1"/>
    <col min="6" max="6" width="12.625" style="88" customWidth="1"/>
    <col min="7" max="7" width="13" style="88" customWidth="1"/>
    <col min="8" max="8" width="12.25" style="88" bestFit="1" customWidth="1"/>
    <col min="9" max="9" width="12" style="88" bestFit="1" customWidth="1"/>
    <col min="10" max="10" width="12.25" style="88" bestFit="1" customWidth="1"/>
    <col min="11" max="11" width="12" style="88" bestFit="1" customWidth="1"/>
    <col min="12" max="12" width="12.25" style="88" bestFit="1" customWidth="1"/>
    <col min="13" max="13" width="14.125" style="88" bestFit="1" customWidth="1"/>
    <col min="14" max="14" width="12.25" style="88" bestFit="1" customWidth="1"/>
    <col min="15" max="15" width="12.75" style="287" customWidth="1"/>
    <col min="16" max="16384" width="11" style="88"/>
  </cols>
  <sheetData>
    <row r="1" spans="1:15" ht="22.5">
      <c r="A1" s="302" t="s">
        <v>893</v>
      </c>
      <c r="B1" s="283"/>
      <c r="E1" s="285"/>
      <c r="F1" s="2731" t="str">
        <f>Parametros!B$77</f>
        <v>Ano 0:  2026</v>
      </c>
      <c r="G1" s="304"/>
      <c r="H1" s="285"/>
      <c r="I1" s="168"/>
      <c r="J1" s="286"/>
      <c r="K1" s="168"/>
    </row>
    <row r="2" spans="1:15" ht="25.5">
      <c r="A2" s="303" t="str">
        <f>'Dados Básicos'!B9</f>
        <v>WWW, S.L.</v>
      </c>
      <c r="B2" s="288"/>
      <c r="D2" s="282"/>
      <c r="F2" s="285"/>
      <c r="G2" s="168"/>
      <c r="H2" s="168"/>
      <c r="I2" s="168"/>
      <c r="J2" s="168"/>
      <c r="K2" s="168"/>
    </row>
    <row r="3" spans="1:15" ht="15.75" thickBot="1">
      <c r="A3" s="36"/>
      <c r="B3" s="36"/>
    </row>
    <row r="4" spans="1:15" s="289" customFormat="1" ht="18" customHeight="1" thickBot="1">
      <c r="A4" s="322" t="s">
        <v>894</v>
      </c>
      <c r="B4" s="305"/>
      <c r="C4" s="306" t="str">
        <f t="array" ref="C4:N4">meses</f>
        <v>janeiro</v>
      </c>
      <c r="D4" s="306" t="str">
        <v>fevereiro</v>
      </c>
      <c r="E4" s="306" t="str">
        <v>março</v>
      </c>
      <c r="F4" s="306" t="str">
        <v>abril</v>
      </c>
      <c r="G4" s="306" t="str">
        <v>maio</v>
      </c>
      <c r="H4" s="306" t="str">
        <v>junho</v>
      </c>
      <c r="I4" s="306" t="str">
        <v>julho</v>
      </c>
      <c r="J4" s="306" t="str">
        <v>agosto</v>
      </c>
      <c r="K4" s="306" t="str">
        <v>setembro</v>
      </c>
      <c r="L4" s="306" t="str">
        <v>outubro</v>
      </c>
      <c r="M4" s="306" t="str">
        <v>novembro</v>
      </c>
      <c r="N4" s="310" t="str">
        <v>dezembro</v>
      </c>
      <c r="O4" s="311" t="s">
        <v>3</v>
      </c>
    </row>
    <row r="5" spans="1:15" s="289" customFormat="1" ht="18" customHeight="1" thickBot="1">
      <c r="A5" s="309" t="str">
        <f t="array" ref="A5:A11">'Resumo Tesourarias'!A4:A10</f>
        <v>COBRANÇAS</v>
      </c>
      <c r="B5" s="290"/>
      <c r="C5" s="290"/>
      <c r="D5" s="290"/>
      <c r="E5" s="290"/>
      <c r="F5" s="290"/>
      <c r="G5" s="290"/>
      <c r="H5" s="290"/>
      <c r="I5" s="290"/>
      <c r="J5" s="290"/>
      <c r="K5" s="290"/>
      <c r="L5" s="290"/>
      <c r="M5" s="290"/>
      <c r="O5" s="312"/>
    </row>
    <row r="6" spans="1:15" ht="21" customHeight="1">
      <c r="A6" s="1190" t="str">
        <v>Cobranças de vendas</v>
      </c>
      <c r="B6" s="326"/>
      <c r="C6" s="1220">
        <f t="array" aca="1" ref="C6:N6" ca="1">'Receitas e pagamentos 0'!B28:M28</f>
        <v>242</v>
      </c>
      <c r="D6" s="1220">
        <f ca="1"/>
        <v>330</v>
      </c>
      <c r="E6" s="1220">
        <f ca="1"/>
        <v>418.00000000000006</v>
      </c>
      <c r="F6" s="1220">
        <f ca="1"/>
        <v>506</v>
      </c>
      <c r="G6" s="1220">
        <f ca="1"/>
        <v>594</v>
      </c>
      <c r="H6" s="1220">
        <f ca="1"/>
        <v>682</v>
      </c>
      <c r="I6" s="1220">
        <f ca="1"/>
        <v>770</v>
      </c>
      <c r="J6" s="1220">
        <f ca="1"/>
        <v>857.99999999999989</v>
      </c>
      <c r="K6" s="1220">
        <f ca="1"/>
        <v>946</v>
      </c>
      <c r="L6" s="1220">
        <f ca="1"/>
        <v>1034</v>
      </c>
      <c r="M6" s="1220">
        <f ca="1"/>
        <v>1122</v>
      </c>
      <c r="N6" s="1221">
        <f ca="1"/>
        <v>1210</v>
      </c>
      <c r="O6" s="1222">
        <f t="shared" ref="O6:O21" ca="1" si="0">SUM(C6:N6)</f>
        <v>8712</v>
      </c>
    </row>
    <row r="7" spans="1:15" ht="21" customHeight="1">
      <c r="A7" s="1189" t="str">
        <v>Cobranças pendentes / Cobranças atrasadas</v>
      </c>
      <c r="B7" s="291"/>
      <c r="C7" s="1224">
        <f>'Investimentos AC'!$G$24*IF(OR(mes0&gt;COLUMN(B4)-1,COLUMN(B4)-mes0&gt;6),0,INDEX('Pol. Cobranças e Pagamentos'!$C$19:$H$19,1,COLUMN(B11)-mes0))
+IF(mes0=COLUMN(B4)-1,'Investimentos AC'!$I$23*SUM(Parametros!$B53:C53),0)
+IF(mes0&gt;COLUMN(B4)-2,0,'Investimentos AC'!$I$23*Parametros!B53)</f>
        <v>0</v>
      </c>
      <c r="D7" s="1224">
        <f>'Investimentos AC'!$G$24*IF(OR(mes0&gt;COLUMN(C4)-1,COLUMN(C4)-mes0&gt;6),0,INDEX('Pol. Cobranças e Pagamentos'!$C$19:$H$19,1,COLUMN(C11)-mes0))
+IF(mes0=COLUMN(C4)-1,'Investimentos AC'!$I$23*SUM(Parametros!$B53:D53),0)
+IF(mes0&gt;COLUMN(C4)-2,0,'Investimentos AC'!$I$23*Parametros!C53)</f>
        <v>0</v>
      </c>
      <c r="E7" s="1224">
        <f>'Investimentos AC'!$G$24*IF(OR(mes0&gt;COLUMN(D4)-1,COLUMN(D4)-mes0&gt;6),0,INDEX('Pol. Cobranças e Pagamentos'!$C$19:$H$19,1,COLUMN(D11)-mes0))
+IF(mes0=COLUMN(D4)-1,'Investimentos AC'!$I$23*SUM(Parametros!$B53:E53),0)
+IF(mes0&gt;COLUMN(D4)-2,0,'Investimentos AC'!$I$23*Parametros!D53)</f>
        <v>0</v>
      </c>
      <c r="F7" s="1224">
        <f>'Investimentos AC'!$G$24*IF(OR(mes0&gt;COLUMN(E4)-1,COLUMN(E4)-mes0&gt;6),0,INDEX('Pol. Cobranças e Pagamentos'!$C$19:$H$19,1,COLUMN(E11)-mes0))
+IF(mes0=COLUMN(E4)-1,'Investimentos AC'!$I$23*SUM(Parametros!$B53:F53),0)
+IF(mes0&gt;COLUMN(E4)-2,0,'Investimentos AC'!$I$23*Parametros!E53)</f>
        <v>0</v>
      </c>
      <c r="G7" s="1224">
        <f>'Investimentos AC'!$G$24*IF(OR(mes0&gt;COLUMN(F4)-1,COLUMN(F4)-mes0&gt;6),0,INDEX('Pol. Cobranças e Pagamentos'!$C$19:$H$19,1,COLUMN(F11)-mes0))
+IF(mes0=COLUMN(F4)-1,'Investimentos AC'!$I$23*SUM(Parametros!$B53:G53),0)
+IF(mes0&gt;COLUMN(F4)-2,0,'Investimentos AC'!$I$23*Parametros!F53)</f>
        <v>0</v>
      </c>
      <c r="H7" s="1224">
        <f>'Investimentos AC'!$G$24*IF(OR(mes0&gt;COLUMN(G4)-1,COLUMN(G4)-mes0&gt;6),0,INDEX('Pol. Cobranças e Pagamentos'!$C$19:$H$19,1,COLUMN(G11)-mes0))
+IF(mes0=COLUMN(G4)-1,'Investimentos AC'!$I$23*SUM(Parametros!$B53:H53),0)
+IF(mes0&gt;COLUMN(G4)-2,0,'Investimentos AC'!$I$23*Parametros!G53)</f>
        <v>0</v>
      </c>
      <c r="I7" s="1224">
        <f>'Investimentos AC'!$G$24*IF(OR(mes0&gt;COLUMN(H4)-1,COLUMN(H4)-mes0&gt;6),0,INDEX('Pol. Cobranças e Pagamentos'!$C$19:$H$19,1,COLUMN(H11)-mes0))
+IF(mes0=COLUMN(H4)-1,'Investimentos AC'!$I$23*SUM(Parametros!$B53:I53),0)
+IF(mes0&gt;COLUMN(H4)-2,0,'Investimentos AC'!$I$23*Parametros!H53)</f>
        <v>0</v>
      </c>
      <c r="J7" s="1224">
        <f>'Investimentos AC'!$G$24*IF(OR(mes0&gt;COLUMN(I4)-1,COLUMN(I4)-mes0&gt;6),0,INDEX('Pol. Cobranças e Pagamentos'!$C$19:$H$19,1,COLUMN(I11)-mes0))
+IF(mes0=COLUMN(I4)-1,'Investimentos AC'!$I$23*SUM(Parametros!$B53:J53),0)
+IF(mes0&gt;COLUMN(I4)-2,0,'Investimentos AC'!$I$23*Parametros!I53)</f>
        <v>0</v>
      </c>
      <c r="K7" s="1224">
        <f>'Investimentos AC'!$G$24*IF(OR(mes0&gt;COLUMN(J4)-1,COLUMN(J4)-mes0&gt;6),0,INDEX('Pol. Cobranças e Pagamentos'!$C$19:$H$19,1,COLUMN(J11)-mes0))
+IF(mes0=COLUMN(J4)-1,'Investimentos AC'!$I$23*SUM(Parametros!$B53:K53),0)
+IF(mes0&gt;COLUMN(J4)-2,0,'Investimentos AC'!$I$23*Parametros!J53)</f>
        <v>0</v>
      </c>
      <c r="L7" s="1224">
        <f>'Investimentos AC'!$G$24*IF(OR(mes0&gt;COLUMN(K4)-1,COLUMN(K4)-mes0&gt;6),0,INDEX('Pol. Cobranças e Pagamentos'!$C$19:$H$19,1,COLUMN(K11)-mes0))
+IF(mes0=COLUMN(K4)-1,'Investimentos AC'!$I$23*SUM(Parametros!$B53:L53),0)
+IF(mes0&gt;COLUMN(K4)-2,0,'Investimentos AC'!$I$23*Parametros!K53)</f>
        <v>0</v>
      </c>
      <c r="M7" s="1224">
        <f>'Investimentos AC'!$G$24*IF(OR(mes0&gt;COLUMN(L4)-1,COLUMN(L4)-mes0&gt;6),0,INDEX('Pol. Cobranças e Pagamentos'!$C$19:$H$19,1,COLUMN(L11)-mes0))
+IF(mes0=COLUMN(L4)-1,'Investimentos AC'!$I$23*SUM(Parametros!$B53:M53),0)
+IF(mes0&gt;COLUMN(L4)-2,0,'Investimentos AC'!$I$23*Parametros!L53)</f>
        <v>0</v>
      </c>
      <c r="N7" s="1225">
        <f>'Investimentos AC'!$G$24*IF(OR(mes0&gt;COLUMN(M4)-1,COLUMN(M4)-mes0&gt;6),0,INDEX('Pol. Cobranças e Pagamentos'!$C$19:$H$19,1,COLUMN(M11)-mes0))
+IF(mes0=COLUMN(M4)-1,'Investimentos AC'!$I$23*SUM(Parametros!$B53:N53),0)
+IF(mes0&gt;COLUMN(M4)-2,0,'Investimentos AC'!$I$23*Parametros!M53)</f>
        <v>0</v>
      </c>
      <c r="O7" s="1226">
        <f t="shared" si="0"/>
        <v>0</v>
      </c>
    </row>
    <row r="8" spans="1:15" ht="21" customHeight="1">
      <c r="A8" s="1189" t="str">
        <v>Outras entradas</v>
      </c>
      <c r="B8" s="327"/>
      <c r="C8" s="1224">
        <v>0</v>
      </c>
      <c r="D8" s="1224">
        <v>0</v>
      </c>
      <c r="E8" s="1224">
        <v>0</v>
      </c>
      <c r="F8" s="1224">
        <v>0</v>
      </c>
      <c r="G8" s="1224">
        <v>0</v>
      </c>
      <c r="H8" s="1224">
        <v>0</v>
      </c>
      <c r="I8" s="1224">
        <v>0</v>
      </c>
      <c r="J8" s="1224">
        <v>0</v>
      </c>
      <c r="K8" s="1224">
        <v>0</v>
      </c>
      <c r="L8" s="1224">
        <v>0</v>
      </c>
      <c r="M8" s="1224">
        <v>0</v>
      </c>
      <c r="N8" s="1225">
        <f>IF(AND(isoc&lt;&gt;0,'Investimentos AC'!G22&gt;'Finançamento Inicial'!B29),'Investimentos AC'!G22-'Finançamento Inicial'!B29,0)</f>
        <v>0</v>
      </c>
      <c r="O8" s="1226">
        <f t="shared" si="0"/>
        <v>0</v>
      </c>
    </row>
    <row r="9" spans="1:15" ht="21" customHeight="1">
      <c r="A9" s="1189" t="str">
        <v>Devoluções de IVA</v>
      </c>
      <c r="B9" s="327"/>
      <c r="C9" s="1224">
        <f t="array" ref="C9:N9">'IVA 0'!C26:N26</f>
        <v>0</v>
      </c>
      <c r="D9" s="1224">
        <v>0</v>
      </c>
      <c r="E9" s="1224">
        <v>0</v>
      </c>
      <c r="F9" s="1224">
        <v>0</v>
      </c>
      <c r="G9" s="1224">
        <v>0</v>
      </c>
      <c r="H9" s="1224">
        <v>0</v>
      </c>
      <c r="I9" s="1224">
        <v>0</v>
      </c>
      <c r="J9" s="1224">
        <v>0</v>
      </c>
      <c r="K9" s="1224">
        <v>0</v>
      </c>
      <c r="L9" s="1224">
        <v>0</v>
      </c>
      <c r="M9" s="1224">
        <v>0</v>
      </c>
      <c r="N9" s="1225">
        <v>0</v>
      </c>
      <c r="O9" s="1226">
        <f t="shared" si="0"/>
        <v>0</v>
      </c>
    </row>
    <row r="10" spans="1:15" ht="21" customHeight="1">
      <c r="A10" s="1188" t="str">
        <v>Receitas financeiras</v>
      </c>
      <c r="B10" s="291"/>
      <c r="C10" s="1224">
        <f t="array" ref="C10:N10" ca="1">'Despesas Financeiras'!C87:N87</f>
        <v>0</v>
      </c>
      <c r="D10" s="1224">
        <f ca="1"/>
        <v>0</v>
      </c>
      <c r="E10" s="1224">
        <f ca="1"/>
        <v>0</v>
      </c>
      <c r="F10" s="1224">
        <f ca="1"/>
        <v>0</v>
      </c>
      <c r="G10" s="1224">
        <f ca="1"/>
        <v>0</v>
      </c>
      <c r="H10" s="1224">
        <f ca="1"/>
        <v>0</v>
      </c>
      <c r="I10" s="1224">
        <f ca="1"/>
        <v>0</v>
      </c>
      <c r="J10" s="1224">
        <f ca="1"/>
        <v>0</v>
      </c>
      <c r="K10" s="1224">
        <f ca="1"/>
        <v>0</v>
      </c>
      <c r="L10" s="1224">
        <f ca="1"/>
        <v>0</v>
      </c>
      <c r="M10" s="1224">
        <f ca="1"/>
        <v>0</v>
      </c>
      <c r="N10" s="1225">
        <f ca="1"/>
        <v>0</v>
      </c>
      <c r="O10" s="1226">
        <f t="shared" ca="1" si="0"/>
        <v>0</v>
      </c>
    </row>
    <row r="11" spans="1:15" s="287" customFormat="1" ht="21" customHeight="1" thickBot="1">
      <c r="A11" s="325" t="str">
        <v>Total COBRANÇAS</v>
      </c>
      <c r="B11" s="292"/>
      <c r="C11" s="1227">
        <f ca="1">SUM(C6:C10)</f>
        <v>242</v>
      </c>
      <c r="D11" s="1227">
        <f t="shared" ref="D11:K11" ca="1" si="1">SUM(D6:D10)</f>
        <v>330</v>
      </c>
      <c r="E11" s="1227">
        <f t="shared" ca="1" si="1"/>
        <v>418.00000000000006</v>
      </c>
      <c r="F11" s="1227">
        <f t="shared" ca="1" si="1"/>
        <v>506</v>
      </c>
      <c r="G11" s="1227">
        <f t="shared" ca="1" si="1"/>
        <v>594</v>
      </c>
      <c r="H11" s="1227">
        <f t="shared" ca="1" si="1"/>
        <v>682</v>
      </c>
      <c r="I11" s="1227">
        <f t="shared" ca="1" si="1"/>
        <v>770</v>
      </c>
      <c r="J11" s="1227">
        <f t="shared" ca="1" si="1"/>
        <v>857.99999999999989</v>
      </c>
      <c r="K11" s="1227">
        <f t="shared" ca="1" si="1"/>
        <v>946</v>
      </c>
      <c r="L11" s="1227">
        <f ca="1">SUM(L6:L10)</f>
        <v>1034</v>
      </c>
      <c r="M11" s="1227">
        <f ca="1">SUM(M6:M10)</f>
        <v>1122</v>
      </c>
      <c r="N11" s="1228">
        <f ca="1">SUM(N6:N10)</f>
        <v>1210</v>
      </c>
      <c r="O11" s="1229">
        <f t="shared" ca="1" si="0"/>
        <v>8712</v>
      </c>
    </row>
    <row r="12" spans="1:15" s="287" customFormat="1" ht="9.75" customHeight="1">
      <c r="A12" s="307"/>
      <c r="B12" s="293"/>
      <c r="C12" s="293"/>
      <c r="D12" s="293"/>
      <c r="E12" s="293"/>
      <c r="F12" s="293"/>
      <c r="G12" s="293"/>
      <c r="H12" s="293"/>
      <c r="I12" s="293"/>
      <c r="J12" s="293"/>
      <c r="K12" s="293"/>
      <c r="L12" s="293"/>
      <c r="M12" s="293"/>
      <c r="N12" s="293"/>
      <c r="O12" s="313"/>
    </row>
    <row r="13" spans="1:15" s="287" customFormat="1" ht="21" customHeight="1" thickBot="1">
      <c r="A13" s="309" t="str">
        <f t="array" ref="A13:A17">'Resumo Tesourarias'!A12:A16</f>
        <v>PAGAMENTOS</v>
      </c>
      <c r="B13" s="294"/>
      <c r="C13" s="294"/>
      <c r="D13" s="294"/>
      <c r="E13" s="294"/>
      <c r="F13" s="294"/>
      <c r="G13" s="294"/>
      <c r="H13" s="294"/>
      <c r="I13" s="294"/>
      <c r="J13" s="294"/>
      <c r="K13" s="294"/>
      <c r="L13" s="294"/>
      <c r="M13" s="294"/>
      <c r="N13" s="294"/>
      <c r="O13" s="314"/>
    </row>
    <row r="14" spans="1:15" s="301" customFormat="1" ht="21" customHeight="1">
      <c r="A14" s="1214" t="str">
        <v>Pagamentos de Gastos Fixos ( IVA incl.)</v>
      </c>
      <c r="B14" s="1208"/>
      <c r="C14" s="1230">
        <f ca="1">'G.F. 0'!B58+'G.F. 0'!B60
+IF(COLUMN(C$4)-2&lt;mes0,0,IF(COLUMN(C$4)-2&lt;mes0+'Despesas Fixas Dados'!$C$33,-'Despesas Fixas Dados'!$B$21,0))</f>
        <v>1251.9440000000002</v>
      </c>
      <c r="D14" s="1230">
        <f ca="1">'G.F. 0'!C58+'G.F. 0'!C60
+IF(COLUMN(D$4)-2&lt;mes0,0,IF(COLUMN(D$4)-2&lt;mes0+'Despesas Fixas Dados'!$C$33,-'Despesas Fixas Dados'!$B$21,0))</f>
        <v>1251.9440000000002</v>
      </c>
      <c r="E14" s="1230">
        <f ca="1">'G.F. 0'!D58+'G.F. 0'!D60
+IF(COLUMN(E$4)-2&lt;mes0,0,IF(COLUMN(E$4)-2&lt;mes0+'Despesas Fixas Dados'!$C$33,-'Despesas Fixas Dados'!$B$21,0))</f>
        <v>1251.9440000000002</v>
      </c>
      <c r="F14" s="1230">
        <f ca="1">'G.F. 0'!E58+'G.F. 0'!E60
+IF(COLUMN(F$4)-2&lt;mes0,0,IF(COLUMN(F$4)-2&lt;mes0+'Despesas Fixas Dados'!$C$33,-'Despesas Fixas Dados'!$B$21,0))</f>
        <v>1426.2621818181819</v>
      </c>
      <c r="G14" s="1230">
        <f ca="1">'G.F. 0'!F58+'G.F. 0'!F60
+IF(COLUMN(G$4)-2&lt;mes0,0,IF(COLUMN(G$4)-2&lt;mes0+'Despesas Fixas Dados'!$C$33,-'Despesas Fixas Dados'!$B$21,0))</f>
        <v>1426.2621818181819</v>
      </c>
      <c r="H14" s="1230">
        <f ca="1">'G.F. 0'!G58+'G.F. 0'!G60
+IF(COLUMN(H$4)-2&lt;mes0,0,IF(COLUMN(H$4)-2&lt;mes0+'Despesas Fixas Dados'!$C$33,-'Despesas Fixas Dados'!$B$21,0))</f>
        <v>1426.2621818181819</v>
      </c>
      <c r="I14" s="1230">
        <f ca="1">'G.F. 0'!H58+'G.F. 0'!H60
+IF(COLUMN(I$4)-2&lt;mes0,0,IF(COLUMN(I$4)-2&lt;mes0+'Despesas Fixas Dados'!$C$33,-'Despesas Fixas Dados'!$B$21,0))</f>
        <v>1348.5349090909092</v>
      </c>
      <c r="J14" s="1230">
        <f ca="1">'G.F. 0'!I58+'G.F. 0'!I60
+IF(COLUMN(J$4)-2&lt;mes0,0,IF(COLUMN(J$4)-2&lt;mes0+'Despesas Fixas Dados'!$C$33,-'Despesas Fixas Dados'!$B$21,0))</f>
        <v>1348.5349090909092</v>
      </c>
      <c r="K14" s="1230">
        <f ca="1">'G.F. 0'!J58+'G.F. 0'!J60
+IF(COLUMN(K$4)-2&lt;mes0,0,IF(COLUMN(K$4)-2&lt;mes0+'Despesas Fixas Dados'!$C$33,-'Despesas Fixas Dados'!$B$21,0))</f>
        <v>1348.5349090909092</v>
      </c>
      <c r="L14" s="1230">
        <f ca="1">'G.F. 0'!K58+'G.F. 0'!K60
+IF(COLUMN(L$4)-2&lt;mes0,0,IF(COLUMN(L$4)-2&lt;mes0+'Despesas Fixas Dados'!$C$33,-'Despesas Fixas Dados'!$B$21,0))</f>
        <v>1400.3530909090912</v>
      </c>
      <c r="M14" s="1230">
        <f ca="1">'G.F. 0'!L58+'G.F. 0'!L60
+IF(COLUMN(M$4)-2&lt;mes0,0,IF(COLUMN(M$4)-2&lt;mes0+'Despesas Fixas Dados'!$C$33,-'Despesas Fixas Dados'!$B$21,0))</f>
        <v>1400.3530909090912</v>
      </c>
      <c r="N14" s="1231">
        <f ca="1">'G.F. 0'!M58+'G.F. 0'!M60
+IF(COLUMN(N$4)-2&lt;mes0,0,IF(COLUMN(N$4)-2&lt;mes0+'Despesas Fixas Dados'!$C$33,-'Despesas Fixas Dados'!$B$21,0))</f>
        <v>1400.3530909090912</v>
      </c>
      <c r="O14" s="1232">
        <f t="shared" ca="1" si="0"/>
        <v>16281.282545454547</v>
      </c>
    </row>
    <row r="15" spans="1:15" s="300" customFormat="1" ht="21" customHeight="1">
      <c r="A15" s="1217" t="str">
        <v>Pagamento de compras e Custos Variables  ( IVA incl.)</v>
      </c>
      <c r="B15" s="1209"/>
      <c r="C15" s="1233">
        <f t="array" aca="1" ref="C15:N15" ca="1">'Receitas e pagamentos 0'!B55:M55</f>
        <v>33.880000000000003</v>
      </c>
      <c r="D15" s="1233">
        <f ca="1"/>
        <v>46.2</v>
      </c>
      <c r="E15" s="1233">
        <f ca="1"/>
        <v>58.52000000000001</v>
      </c>
      <c r="F15" s="1233">
        <f ca="1"/>
        <v>70.84</v>
      </c>
      <c r="G15" s="1233">
        <f ca="1"/>
        <v>83.160000000000011</v>
      </c>
      <c r="H15" s="1233">
        <f ca="1"/>
        <v>95.480000000000018</v>
      </c>
      <c r="I15" s="1233">
        <f ca="1"/>
        <v>107.80000000000001</v>
      </c>
      <c r="J15" s="1233">
        <f ca="1"/>
        <v>120.11999999999999</v>
      </c>
      <c r="K15" s="1233">
        <f ca="1"/>
        <v>132.44000000000003</v>
      </c>
      <c r="L15" s="1233">
        <f ca="1"/>
        <v>144.76</v>
      </c>
      <c r="M15" s="1233">
        <f ca="1"/>
        <v>157.08000000000004</v>
      </c>
      <c r="N15" s="1234">
        <f ca="1"/>
        <v>169.4</v>
      </c>
      <c r="O15" s="1235">
        <f t="shared" ca="1" si="0"/>
        <v>1219.6800000000003</v>
      </c>
    </row>
    <row r="16" spans="1:15" s="300" customFormat="1" ht="21" customHeight="1">
      <c r="A16" s="1217" t="str">
        <v>Pagamentos de Gastos Financieros</v>
      </c>
      <c r="B16" s="1211"/>
      <c r="C16" s="1233">
        <f t="array" ref="C16:N16" ca="1">'Despesas Financeiras'!C19:N19+'Despesas Financeiras'!C15:N15*Parametros!$F$33*0</f>
        <v>2.42</v>
      </c>
      <c r="D16" s="1233">
        <f ca="1"/>
        <v>3.3000000000000003</v>
      </c>
      <c r="E16" s="1233">
        <f ca="1"/>
        <v>4.1800000000000006</v>
      </c>
      <c r="F16" s="1233">
        <f ca="1"/>
        <v>5.0600000000000005</v>
      </c>
      <c r="G16" s="1233">
        <f ca="1"/>
        <v>5.94</v>
      </c>
      <c r="H16" s="1233">
        <f ca="1"/>
        <v>6.82</v>
      </c>
      <c r="I16" s="1233">
        <f ca="1"/>
        <v>7.7</v>
      </c>
      <c r="J16" s="1233">
        <f ca="1"/>
        <v>8.5799999999999983</v>
      </c>
      <c r="K16" s="1233">
        <f ca="1"/>
        <v>9.4600000000000009</v>
      </c>
      <c r="L16" s="1233">
        <f ca="1"/>
        <v>10.34</v>
      </c>
      <c r="M16" s="1233">
        <f ca="1"/>
        <v>11.22</v>
      </c>
      <c r="N16" s="1234">
        <f ca="1"/>
        <v>12.1</v>
      </c>
      <c r="O16" s="1235">
        <f t="shared" ca="1" si="0"/>
        <v>87.11999999999999</v>
      </c>
    </row>
    <row r="17" spans="1:15" s="300" customFormat="1" ht="21" customHeight="1">
      <c r="A17" s="1217" t="str">
        <v>Pagamentos de IVA de cuotas de Leasing / Renting</v>
      </c>
      <c r="B17" s="1211"/>
      <c r="C17" s="1233">
        <f t="array" ref="C17:N17">Leasing!B24:M24+Renting!B24:M24</f>
        <v>0</v>
      </c>
      <c r="D17" s="1233">
        <v>0</v>
      </c>
      <c r="E17" s="1233">
        <v>0</v>
      </c>
      <c r="F17" s="1233">
        <v>0</v>
      </c>
      <c r="G17" s="1233">
        <v>0</v>
      </c>
      <c r="H17" s="1233">
        <v>0</v>
      </c>
      <c r="I17" s="1233">
        <v>0</v>
      </c>
      <c r="J17" s="1233">
        <v>0</v>
      </c>
      <c r="K17" s="1233">
        <v>0</v>
      </c>
      <c r="L17" s="1233">
        <v>0</v>
      </c>
      <c r="M17" s="1233">
        <v>0</v>
      </c>
      <c r="N17" s="1234">
        <v>0</v>
      </c>
      <c r="O17" s="1235">
        <f t="shared" si="0"/>
        <v>0</v>
      </c>
    </row>
    <row r="18" spans="1:15" s="300" customFormat="1" ht="19.5" customHeight="1">
      <c r="A18" s="1216"/>
      <c r="C18" s="1775"/>
      <c r="D18" s="1776"/>
      <c r="E18" s="1777"/>
      <c r="F18" s="1776"/>
      <c r="G18" s="1776"/>
      <c r="H18" s="1776"/>
      <c r="I18" s="1776"/>
      <c r="J18" s="1776"/>
      <c r="K18" s="1776"/>
      <c r="L18" s="1776"/>
      <c r="M18" s="1776"/>
      <c r="N18" s="1778"/>
      <c r="O18" s="1779"/>
    </row>
    <row r="19" spans="1:15" s="300" customFormat="1" ht="21" customHeight="1">
      <c r="A19" s="1218" t="s">
        <v>91</v>
      </c>
      <c r="B19" s="1210"/>
      <c r="C19" s="1236"/>
      <c r="D19" s="1237"/>
      <c r="E19" s="1238"/>
      <c r="F19" s="1237"/>
      <c r="G19" s="1237"/>
      <c r="H19" s="1237"/>
      <c r="I19" s="1237"/>
      <c r="J19" s="1237"/>
      <c r="K19" s="1237"/>
      <c r="L19" s="1237"/>
      <c r="M19" s="1237"/>
      <c r="N19" s="1239"/>
      <c r="O19" s="1240"/>
    </row>
    <row r="20" spans="1:15" s="300" customFormat="1" ht="21" customHeight="1">
      <c r="A20" s="1217" t="str">
        <f t="array" ref="A20:A25">'Resumo Tesourarias'!A17:A22</f>
        <v>Devolução de principal de empréstimos / Leasing</v>
      </c>
      <c r="B20" s="1211"/>
      <c r="C20" s="1233">
        <f t="array" ref="C20:N20">Empréstimos!B24:M24+Leasing!B23:M23</f>
        <v>0</v>
      </c>
      <c r="D20" s="1233">
        <v>0</v>
      </c>
      <c r="E20" s="1233">
        <v>0</v>
      </c>
      <c r="F20" s="1233">
        <v>0</v>
      </c>
      <c r="G20" s="1233">
        <v>0</v>
      </c>
      <c r="H20" s="1233">
        <v>0</v>
      </c>
      <c r="I20" s="1233">
        <v>0</v>
      </c>
      <c r="J20" s="1233">
        <v>0</v>
      </c>
      <c r="K20" s="1233">
        <v>0</v>
      </c>
      <c r="L20" s="1233">
        <v>0</v>
      </c>
      <c r="M20" s="1233">
        <v>0</v>
      </c>
      <c r="N20" s="1234">
        <v>0</v>
      </c>
      <c r="O20" s="1235">
        <f t="shared" si="0"/>
        <v>0</v>
      </c>
    </row>
    <row r="21" spans="1:15" s="300" customFormat="1" ht="21" customHeight="1">
      <c r="A21" s="1215" t="str">
        <v>Outras saidas da caixa</v>
      </c>
      <c r="B21" s="1209"/>
      <c r="C21" s="1233">
        <f ca="1">('Finançamento Inicial'!$C$26+'Finançamento Inicial'!$B$27)*IF(OR(mes0&gt;COLUMN(B4)-1,COLUMN(B4)-mes0&gt;6),0,INDEX('Pol. Cobranças e Pagamentos'!$C$67:$H$67,1,COLUMN(B11)-mes0))</f>
        <v>0</v>
      </c>
      <c r="D21" s="1233">
        <f ca="1">('Finançamento Inicial'!$C$26+'Finançamento Inicial'!$B$27)*IF(OR(mes0&gt;COLUMN(C4)-1,COLUMN(C4)-mes0&gt;6),0,INDEX('Pol. Cobranças e Pagamentos'!$C$67:$H$67,1,COLUMN(C11)-mes0))</f>
        <v>0</v>
      </c>
      <c r="E21" s="1233">
        <f ca="1">('Finançamento Inicial'!$C$26+'Finançamento Inicial'!$B$27)*IF(OR(mes0&gt;COLUMN(D4)-1,COLUMN(D4)-mes0&gt;6),0,INDEX('Pol. Cobranças e Pagamentos'!$C$67:$H$67,1,COLUMN(D11)-mes0))</f>
        <v>0</v>
      </c>
      <c r="F21" s="1233">
        <f ca="1">('Finançamento Inicial'!$C$26+'Finançamento Inicial'!$B$27)*IF(OR(mes0&gt;COLUMN(E4)-1,COLUMN(E4)-mes0&gt;6),0,INDEX('Pol. Cobranças e Pagamentos'!$C$67:$H$67,1,COLUMN(E11)-mes0))</f>
        <v>0</v>
      </c>
      <c r="G21" s="1233">
        <f ca="1">('Finançamento Inicial'!$C$26+'Finançamento Inicial'!$B$27)*IF(OR(mes0&gt;COLUMN(F4)-1,COLUMN(F4)-mes0&gt;6),0,INDEX('Pol. Cobranças e Pagamentos'!$C$67:$H$67,1,COLUMN(F11)-mes0))</f>
        <v>0</v>
      </c>
      <c r="H21" s="1233">
        <f ca="1">('Finançamento Inicial'!$C$26+'Finançamento Inicial'!$B$27)*IF(OR(mes0&gt;COLUMN(G4)-1,COLUMN(G4)-mes0&gt;6),0,INDEX('Pol. Cobranças e Pagamentos'!$C$67:$H$67,1,COLUMN(G11)-mes0))</f>
        <v>0</v>
      </c>
      <c r="I21" s="1233">
        <f ca="1">('Finançamento Inicial'!$C$26+'Finançamento Inicial'!$B$27)*IF(OR(mes0&gt;COLUMN(H4)-1,COLUMN(H4)-mes0&gt;6),0,INDEX('Pol. Cobranças e Pagamentos'!$C$67:$H$67,1,COLUMN(H11)-mes0))</f>
        <v>0</v>
      </c>
      <c r="J21" s="1233">
        <f ca="1">('Finançamento Inicial'!$C$26+'Finançamento Inicial'!$B$27)*IF(OR(mes0&gt;COLUMN(I4)-1,COLUMN(I4)-mes0&gt;6),0,INDEX('Pol. Cobranças e Pagamentos'!$C$67:$H$67,1,COLUMN(I11)-mes0))</f>
        <v>0</v>
      </c>
      <c r="K21" s="1233">
        <f ca="1">('Finançamento Inicial'!$C$26+'Finançamento Inicial'!$B$27)*IF(OR(mes0&gt;COLUMN(J4)-1,COLUMN(J4)-mes0&gt;6),0,INDEX('Pol. Cobranças e Pagamentos'!$C$67:$H$67,1,COLUMN(J11)-mes0))</f>
        <v>0</v>
      </c>
      <c r="L21" s="1233">
        <f ca="1">('Finançamento Inicial'!$C$26+'Finançamento Inicial'!$B$27)*IF(OR(mes0&gt;COLUMN(K4)-1,COLUMN(K4)-mes0&gt;6),0,INDEX('Pol. Cobranças e Pagamentos'!$C$67:$H$67,1,COLUMN(K11)-mes0))</f>
        <v>0</v>
      </c>
      <c r="M21" s="1233">
        <f ca="1">('Finançamento Inicial'!$C$26+'Finançamento Inicial'!$B$27)*IF(OR(mes0&gt;COLUMN(L4)-1,COLUMN(L4)-mes0&gt;6),0,INDEX('Pol. Cobranças e Pagamentos'!$C$67:$H$67,1,COLUMN(L11)-mes0))</f>
        <v>0</v>
      </c>
      <c r="N21" s="1234">
        <f ca="1">('Finançamento Inicial'!$C$26+'Finançamento Inicial'!$B$27)*IF(OR(mes0&gt;COLUMN(M4)-1,COLUMN(M4)-mes0&gt;6),0,INDEX('Pol. Cobranças e Pagamentos'!$C$67:$H$67,1,COLUMN(M11)-mes0))</f>
        <v>0</v>
      </c>
      <c r="O21" s="1235">
        <f t="shared" ca="1" si="0"/>
        <v>0</v>
      </c>
    </row>
    <row r="22" spans="1:15" s="300" customFormat="1" ht="21" customHeight="1">
      <c r="A22" s="1215" t="str">
        <v>Liquidações de IVA</v>
      </c>
      <c r="B22" s="1209"/>
      <c r="C22" s="1233">
        <f t="array" ref="C22:N22" ca="1">'IVA 0'!C24:N24</f>
        <v>0</v>
      </c>
      <c r="D22" s="1233">
        <v>0</v>
      </c>
      <c r="E22" s="1233">
        <v>0</v>
      </c>
      <c r="F22" s="1233">
        <f ca="1"/>
        <v>0</v>
      </c>
      <c r="G22" s="1233">
        <v>0</v>
      </c>
      <c r="H22" s="1233">
        <v>0</v>
      </c>
      <c r="I22" s="1233">
        <f ca="1"/>
        <v>247.1241818181818</v>
      </c>
      <c r="J22" s="1233">
        <v>0</v>
      </c>
      <c r="K22" s="1233">
        <v>0</v>
      </c>
      <c r="L22" s="1233">
        <f ca="1"/>
        <v>367.55345454545454</v>
      </c>
      <c r="M22" s="1233">
        <v>0</v>
      </c>
      <c r="N22" s="1234">
        <v>0</v>
      </c>
      <c r="O22" s="1235">
        <f ca="1">SUM(C22:N22)</f>
        <v>614.67763636363634</v>
      </c>
    </row>
    <row r="23" spans="1:15" s="300" customFormat="1" ht="21" customHeight="1">
      <c r="A23" s="1215" t="str">
        <v>Otros Pagamentos ( I.R.C. / I.R.S. )</v>
      </c>
      <c r="B23" s="1209"/>
      <c r="C23" s="1233">
        <v>0</v>
      </c>
      <c r="D23" s="1233">
        <v>0</v>
      </c>
      <c r="E23" s="1233">
        <v>0</v>
      </c>
      <c r="F23" s="1233">
        <f ca="1">'IRC Coletivas'!B18+'Ret IRS'!E13</f>
        <v>0</v>
      </c>
      <c r="G23" s="1233">
        <v>0</v>
      </c>
      <c r="H23" s="1233">
        <f>IF(AND(irpf&lt;&gt;0,('Finançamento Inicial'!B29&gt;'Investimentos AC'!G22)),'Finançamento Inicial'!B29-'Investimentos AC'!G22,0)</f>
        <v>0</v>
      </c>
      <c r="I23" s="1233">
        <f ca="1">IF(AND(isoc&lt;&gt;0,('Finançamento Inicial'!B29&gt;'Investimentos AC'!B22)),'Finançamento Inicial'!B29-'Investimentos AC'!B22,0)+'Ret IRS'!H13</f>
        <v>0</v>
      </c>
      <c r="J23" s="1233">
        <v>0</v>
      </c>
      <c r="K23" s="1233">
        <v>0</v>
      </c>
      <c r="L23" s="1233">
        <f ca="1">'Ret IRS'!K13+'IRC Coletivas'!B19</f>
        <v>0</v>
      </c>
      <c r="M23" s="1233">
        <v>0</v>
      </c>
      <c r="N23" s="1234">
        <f>'IRC Coletivas'!B20</f>
        <v>0</v>
      </c>
      <c r="O23" s="1235">
        <f ca="1">SUM(C23:N23)</f>
        <v>0</v>
      </c>
    </row>
    <row r="24" spans="1:15" s="300" customFormat="1" ht="21" customHeight="1">
      <c r="A24" s="1215" t="str">
        <v>Outros pagamentos a creedores L/P</v>
      </c>
      <c r="B24" s="1209"/>
      <c r="C24" s="1233">
        <f t="array" ref="C24:N24">'Otros cobros y pagos'!B64:M64</f>
        <v>0</v>
      </c>
      <c r="D24" s="1233">
        <v>0</v>
      </c>
      <c r="E24" s="1233">
        <v>0</v>
      </c>
      <c r="F24" s="1233">
        <v>0</v>
      </c>
      <c r="G24" s="1233">
        <v>0</v>
      </c>
      <c r="H24" s="1233">
        <v>0</v>
      </c>
      <c r="I24" s="1233">
        <v>0</v>
      </c>
      <c r="J24" s="1233">
        <v>0</v>
      </c>
      <c r="K24" s="1233">
        <v>0</v>
      </c>
      <c r="L24" s="1233">
        <v>0</v>
      </c>
      <c r="M24" s="1233">
        <v>0</v>
      </c>
      <c r="N24" s="1234">
        <v>0</v>
      </c>
      <c r="O24" s="1235">
        <f>SUM(C24:N24)</f>
        <v>0</v>
      </c>
    </row>
    <row r="25" spans="1:15" s="301" customFormat="1" ht="21" customHeight="1" thickBot="1">
      <c r="A25" s="1219" t="str">
        <v>Total PAGAMENTOS</v>
      </c>
      <c r="B25" s="1213"/>
      <c r="C25" s="1241">
        <f t="shared" ref="C25:N25" ca="1" si="2">SUM(C14:C24)</f>
        <v>1288.2440000000004</v>
      </c>
      <c r="D25" s="1241">
        <f t="shared" ca="1" si="2"/>
        <v>1301.4440000000002</v>
      </c>
      <c r="E25" s="1241">
        <f t="shared" ca="1" si="2"/>
        <v>1314.6440000000002</v>
      </c>
      <c r="F25" s="1241">
        <f t="shared" ca="1" si="2"/>
        <v>1502.1621818181818</v>
      </c>
      <c r="G25" s="1241">
        <f t="shared" ca="1" si="2"/>
        <v>1515.3621818181821</v>
      </c>
      <c r="H25" s="1241">
        <f t="shared" ca="1" si="2"/>
        <v>1528.5621818181819</v>
      </c>
      <c r="I25" s="1241">
        <f t="shared" ca="1" si="2"/>
        <v>1711.159090909091</v>
      </c>
      <c r="J25" s="1241">
        <f t="shared" ca="1" si="2"/>
        <v>1477.234909090909</v>
      </c>
      <c r="K25" s="1241">
        <f t="shared" ca="1" si="2"/>
        <v>1490.4349090909093</v>
      </c>
      <c r="L25" s="1241">
        <f t="shared" ca="1" si="2"/>
        <v>1923.0065454545456</v>
      </c>
      <c r="M25" s="1241">
        <f ca="1">SUM(M14:M24)</f>
        <v>1568.6530909090914</v>
      </c>
      <c r="N25" s="1242">
        <f t="shared" ca="1" si="2"/>
        <v>1581.8530909090912</v>
      </c>
      <c r="O25" s="1243">
        <f ca="1">SUM(O14:O24)</f>
        <v>18202.760181818179</v>
      </c>
    </row>
    <row r="26" spans="1:15" s="287" customFormat="1" ht="21" customHeight="1">
      <c r="A26" s="307"/>
      <c r="B26" s="331"/>
      <c r="C26" s="296"/>
      <c r="D26" s="296"/>
      <c r="E26" s="296"/>
      <c r="F26" s="296"/>
      <c r="G26" s="296"/>
      <c r="H26" s="296"/>
      <c r="I26" s="296"/>
      <c r="J26" s="296"/>
      <c r="K26" s="296"/>
      <c r="L26" s="296"/>
      <c r="M26" s="296"/>
      <c r="O26" s="315"/>
    </row>
    <row r="27" spans="1:15" s="287" customFormat="1" ht="21" customHeight="1" thickBot="1">
      <c r="A27" s="307"/>
      <c r="B27" s="295"/>
      <c r="C27" s="296"/>
      <c r="D27" s="296"/>
      <c r="E27" s="296"/>
      <c r="F27" s="296"/>
      <c r="G27" s="296"/>
      <c r="H27" s="296"/>
      <c r="I27" s="296"/>
      <c r="J27" s="296"/>
      <c r="K27" s="296"/>
      <c r="L27" s="296"/>
      <c r="M27" s="296"/>
      <c r="O27" s="315"/>
    </row>
    <row r="28" spans="1:15" s="289" customFormat="1" ht="18" customHeight="1" thickBot="1">
      <c r="A28" s="328" t="s">
        <v>915</v>
      </c>
      <c r="B28" s="305"/>
      <c r="C28" s="306" t="str">
        <f t="array" ref="C28:N28">meses</f>
        <v>janeiro</v>
      </c>
      <c r="D28" s="306" t="str">
        <v>fevereiro</v>
      </c>
      <c r="E28" s="306" t="str">
        <v>março</v>
      </c>
      <c r="F28" s="306" t="str">
        <v>abril</v>
      </c>
      <c r="G28" s="306" t="str">
        <v>maio</v>
      </c>
      <c r="H28" s="306" t="str">
        <v>junho</v>
      </c>
      <c r="I28" s="306" t="str">
        <v>julho</v>
      </c>
      <c r="J28" s="306" t="str">
        <v>agosto</v>
      </c>
      <c r="K28" s="306" t="str">
        <v>setembro</v>
      </c>
      <c r="L28" s="306" t="str">
        <v>outubro</v>
      </c>
      <c r="M28" s="306" t="str">
        <v>novembro</v>
      </c>
      <c r="N28" s="310" t="str">
        <v>dezembro</v>
      </c>
      <c r="O28" s="311" t="str">
        <f>O4</f>
        <v>Total</v>
      </c>
    </row>
    <row r="29" spans="1:15" s="287" customFormat="1" ht="21" customHeight="1" thickBot="1">
      <c r="A29" s="329" t="s">
        <v>916</v>
      </c>
      <c r="B29" s="297"/>
      <c r="C29" s="630">
        <f t="array" ref="C29:N29" ca="1">C11:N11</f>
        <v>242</v>
      </c>
      <c r="D29" s="630">
        <f ca="1"/>
        <v>330</v>
      </c>
      <c r="E29" s="630">
        <f ca="1"/>
        <v>418.00000000000006</v>
      </c>
      <c r="F29" s="630">
        <f ca="1"/>
        <v>506</v>
      </c>
      <c r="G29" s="630">
        <f ca="1"/>
        <v>594</v>
      </c>
      <c r="H29" s="630">
        <f ca="1"/>
        <v>682</v>
      </c>
      <c r="I29" s="630">
        <f ca="1"/>
        <v>770</v>
      </c>
      <c r="J29" s="630">
        <f ca="1"/>
        <v>857.99999999999989</v>
      </c>
      <c r="K29" s="630">
        <f ca="1"/>
        <v>946</v>
      </c>
      <c r="L29" s="630">
        <f ca="1"/>
        <v>1034</v>
      </c>
      <c r="M29" s="630">
        <f ca="1"/>
        <v>1122</v>
      </c>
      <c r="N29" s="631">
        <f ca="1"/>
        <v>1210</v>
      </c>
      <c r="O29" s="632">
        <f ca="1">SUM(C29:N29)</f>
        <v>8712</v>
      </c>
    </row>
    <row r="30" spans="1:15" s="287" customFormat="1" ht="21" customHeight="1" thickBot="1">
      <c r="A30" s="329" t="s">
        <v>917</v>
      </c>
      <c r="B30" s="292"/>
      <c r="C30" s="633">
        <f t="array" ref="C30:N30" ca="1">C25:N25</f>
        <v>1288.2440000000004</v>
      </c>
      <c r="D30" s="633">
        <f ca="1"/>
        <v>1301.4440000000002</v>
      </c>
      <c r="E30" s="633">
        <f ca="1"/>
        <v>1314.6440000000002</v>
      </c>
      <c r="F30" s="633">
        <f ca="1"/>
        <v>1502.1621818181818</v>
      </c>
      <c r="G30" s="633">
        <f ca="1"/>
        <v>1515.3621818181821</v>
      </c>
      <c r="H30" s="633">
        <f ca="1"/>
        <v>1528.5621818181819</v>
      </c>
      <c r="I30" s="633">
        <f ca="1"/>
        <v>1711.159090909091</v>
      </c>
      <c r="J30" s="633">
        <f ca="1"/>
        <v>1477.234909090909</v>
      </c>
      <c r="K30" s="633">
        <f ca="1"/>
        <v>1490.4349090909093</v>
      </c>
      <c r="L30" s="633">
        <f ca="1"/>
        <v>1923.0065454545456</v>
      </c>
      <c r="M30" s="633">
        <f ca="1"/>
        <v>1568.6530909090914</v>
      </c>
      <c r="N30" s="634">
        <f ca="1"/>
        <v>1581.8530909090912</v>
      </c>
      <c r="O30" s="632">
        <f ca="1">SUM(C30:N30)</f>
        <v>18202.760181818183</v>
      </c>
    </row>
    <row r="31" spans="1:15" s="287" customFormat="1" ht="21" customHeight="1" thickBot="1">
      <c r="A31" s="330" t="s">
        <v>918</v>
      </c>
      <c r="B31" s="297"/>
      <c r="C31" s="635">
        <f t="array" ref="C31:N31" ca="1">C29:N29-C30:N30</f>
        <v>-1046.2440000000004</v>
      </c>
      <c r="D31" s="635">
        <f ca="1"/>
        <v>-971.44400000000019</v>
      </c>
      <c r="E31" s="635">
        <f ca="1"/>
        <v>-896.64400000000023</v>
      </c>
      <c r="F31" s="635">
        <f ca="1"/>
        <v>-996.16218181818181</v>
      </c>
      <c r="G31" s="635">
        <f ca="1"/>
        <v>-921.36218181818208</v>
      </c>
      <c r="H31" s="635">
        <f ca="1"/>
        <v>-846.5621818181819</v>
      </c>
      <c r="I31" s="635">
        <f ca="1"/>
        <v>-941.15909090909099</v>
      </c>
      <c r="J31" s="635">
        <f ca="1"/>
        <v>-619.23490909090913</v>
      </c>
      <c r="K31" s="635">
        <f ca="1"/>
        <v>-544.43490909090929</v>
      </c>
      <c r="L31" s="635">
        <f ca="1"/>
        <v>-889.00654545454563</v>
      </c>
      <c r="M31" s="635">
        <f ca="1"/>
        <v>-446.65309090909136</v>
      </c>
      <c r="N31" s="636">
        <f ca="1"/>
        <v>-371.85309090909118</v>
      </c>
      <c r="O31" s="637">
        <f ca="1">O29-O30</f>
        <v>-9490.7601818181829</v>
      </c>
    </row>
    <row r="32" spans="1:15" s="287" customFormat="1" ht="21" customHeight="1" thickBot="1">
      <c r="A32" s="332"/>
      <c r="B32" s="297"/>
      <c r="C32" s="298"/>
      <c r="D32" s="298"/>
      <c r="E32" s="298"/>
      <c r="F32" s="298"/>
      <c r="G32" s="298"/>
      <c r="H32" s="298"/>
      <c r="I32" s="298"/>
      <c r="J32" s="298"/>
      <c r="K32" s="298"/>
      <c r="L32" s="298"/>
      <c r="M32" s="298"/>
      <c r="N32" s="638"/>
      <c r="O32" s="639"/>
    </row>
    <row r="33" spans="1:15" s="301" customFormat="1" ht="21" customHeight="1" thickBot="1">
      <c r="A33" s="1205" t="s">
        <v>919</v>
      </c>
      <c r="B33" s="1191">
        <f>'Finançamento Inicial'!$B$25</f>
        <v>0</v>
      </c>
      <c r="C33" s="1192">
        <f ca="1">IF(COLUMN(C$4)-1&lt;=mes0,0,
       IF(B35+C31-B33&gt;tesoreriasec,0,MIN(B33-B35-C31+tesoreriasec,Finançamento!$D$49))  )</f>
        <v>0</v>
      </c>
      <c r="D33" s="1193">
        <f ca="1">IF(COLUMN(D$4)-1&lt;=mes0,0,
       IF(C35+D31-C33&gt;tesoreriasec,0,MIN(C33-C35-D31+tesoreriasec,Finançamento!$D$49))  )</f>
        <v>0</v>
      </c>
      <c r="E33" s="1193">
        <f ca="1">IF(COLUMN(E$4)-1&lt;=mes0,0,
       IF(D35+E31-D33&gt;tesoreriasec,0,MIN(D33-D35-E31+tesoreriasec,Finançamento!$D$49))  )</f>
        <v>0</v>
      </c>
      <c r="F33" s="1193">
        <f ca="1">IF(COLUMN(F$4)-1&lt;=mes0,0,
       IF(E35+F31-E33&gt;tesoreriasec,0,MIN(E33-E35-F31+tesoreriasec,Finançamento!$D$49))  )</f>
        <v>0</v>
      </c>
      <c r="G33" s="1193">
        <f ca="1">IF(COLUMN(G$4)-1&lt;=mes0,0,
       IF(F35+G31-F33&gt;tesoreriasec,0,MIN(F33-F35-G31+tesoreriasec,Finançamento!$D$49))  )</f>
        <v>0</v>
      </c>
      <c r="H33" s="1193">
        <f ca="1">IF(COLUMN(H$4)-1&lt;=mes0,0,
       IF(G35+H31-G33&gt;tesoreriasec,0,MIN(G33-G35-H31+tesoreriasec,Finançamento!$D$49))  )</f>
        <v>0</v>
      </c>
      <c r="I33" s="1193">
        <f ca="1">IF(COLUMN(I$4)-1&lt;=mes0,0,
       IF(H35+I31-H33&gt;tesoreriasec,0,MIN(H33-H35-I31+tesoreriasec,Finançamento!$D$49))  )</f>
        <v>0</v>
      </c>
      <c r="J33" s="1193">
        <f ca="1">IF(COLUMN(J$4)-1&lt;=mes0,0,
       IF(I35+J31-I33&gt;tesoreriasec,0,MIN(I33-I35-J31+tesoreriasec,Finançamento!$D$49))  )</f>
        <v>0</v>
      </c>
      <c r="K33" s="1193">
        <f ca="1">IF(COLUMN(K$4)-1&lt;=mes0,0,
       IF(J35+K31-J33&gt;tesoreriasec,0,MIN(J33-J35-K31+tesoreriasec,Finançamento!$D$49))  )</f>
        <v>0</v>
      </c>
      <c r="L33" s="1193">
        <f ca="1">IF(COLUMN(L$4)-1&lt;=mes0,0,
       IF(K35+L31-K33&gt;tesoreriasec,0,MIN(K33-K35-L31+tesoreriasec,Finançamento!$D$49))  )</f>
        <v>0</v>
      </c>
      <c r="M33" s="1193">
        <f ca="1">IF(COLUMN(M$4)-1&lt;=mes0,0,
       IF(L35+M31-L33&gt;tesoreriasec,0,MIN(L33-L35-M31+tesoreriasec,Finançamento!$D$49))  )</f>
        <v>0</v>
      </c>
      <c r="N33" s="1194">
        <f ca="1">IF(COLUMN(N$4)-1&lt;=mes0,0,
       IF(M35+N31-M33&gt;tesoreriasec,0,MIN(M33-M35-N31+tesoreriasec,Finançamento!$D$49))  )</f>
        <v>0</v>
      </c>
      <c r="O33" s="1195"/>
    </row>
    <row r="34" spans="1:15" s="301" customFormat="1" ht="21" customHeight="1" thickBot="1">
      <c r="A34" s="1206"/>
      <c r="B34" s="1196"/>
      <c r="C34" s="1197"/>
      <c r="D34" s="1197"/>
      <c r="E34" s="1197"/>
      <c r="F34" s="1197"/>
      <c r="G34" s="1197"/>
      <c r="H34" s="1197"/>
      <c r="I34" s="1197"/>
      <c r="J34" s="1197"/>
      <c r="K34" s="1197"/>
      <c r="L34" s="1197"/>
      <c r="M34" s="1197"/>
      <c r="O34" s="1204"/>
    </row>
    <row r="35" spans="1:15" s="301" customFormat="1" ht="21" customHeight="1" thickBot="1">
      <c r="A35" s="1207" t="s">
        <v>908</v>
      </c>
      <c r="B35" s="1199">
        <f ca="1">'Investimentos AC'!G26+'Investimentos AC'!H26</f>
        <v>2201.65</v>
      </c>
      <c r="C35" s="1200">
        <f ca="1">IF(COLUMN(C$4)-1&lt;mes0,0,
IF(COLUMN(C$4)-1=mes0,$B$35,B35+C31+C33-B33))</f>
        <v>1155.4059999999997</v>
      </c>
      <c r="D35" s="1201">
        <f t="shared" ref="D35:N35" ca="1" si="3">IF(COLUMN(D$4)-1&lt;mes0,0,
IF(COLUMN(D$4)-1=mes0,$B$35,C35+D31+D33-C33))</f>
        <v>183.96199999999953</v>
      </c>
      <c r="E35" s="1201">
        <f t="shared" ca="1" si="3"/>
        <v>-712.6820000000007</v>
      </c>
      <c r="F35" s="1201">
        <f t="shared" ca="1" si="3"/>
        <v>-1708.8441818181825</v>
      </c>
      <c r="G35" s="1201">
        <f t="shared" ca="1" si="3"/>
        <v>-2630.2063636363646</v>
      </c>
      <c r="H35" s="1201">
        <f t="shared" ca="1" si="3"/>
        <v>-3476.7685454545463</v>
      </c>
      <c r="I35" s="1201">
        <f t="shared" ca="1" si="3"/>
        <v>-4417.9276363636372</v>
      </c>
      <c r="J35" s="1201">
        <f t="shared" ca="1" si="3"/>
        <v>-5037.1625454545465</v>
      </c>
      <c r="K35" s="1201">
        <f t="shared" ca="1" si="3"/>
        <v>-5581.5974545454555</v>
      </c>
      <c r="L35" s="1201">
        <f t="shared" ca="1" si="3"/>
        <v>-6470.6040000000012</v>
      </c>
      <c r="M35" s="1201">
        <f t="shared" ca="1" si="3"/>
        <v>-6917.2570909090928</v>
      </c>
      <c r="N35" s="1202">
        <f t="shared" ca="1" si="3"/>
        <v>-7289.1101818181842</v>
      </c>
      <c r="O35" s="1203"/>
    </row>
    <row r="36" spans="1:15" ht="18.75" customHeight="1">
      <c r="A36" s="5"/>
      <c r="B36" s="5"/>
    </row>
    <row r="37" spans="1:15" ht="18.75" customHeight="1">
      <c r="A37" s="5"/>
      <c r="B37" s="5"/>
    </row>
    <row r="38" spans="1:15" ht="18.75" customHeight="1">
      <c r="A38" s="320"/>
      <c r="B38" s="321"/>
      <c r="C38" s="318" t="s">
        <v>494</v>
      </c>
      <c r="D38" s="319" t="s">
        <v>92</v>
      </c>
    </row>
    <row r="39" spans="1:15" s="300" customFormat="1" ht="19.5" customHeight="1">
      <c r="A39" s="299"/>
      <c r="B39" s="317" t="s">
        <v>913</v>
      </c>
      <c r="C39" s="1720">
        <f ca="1">MAX(C33:N33)*0-MIN(C35:N35,0)</f>
        <v>7289.1101818181842</v>
      </c>
      <c r="D39" s="1185" t="str">
        <f ca="1">IF(C39&lt;&gt;0,INDEX(C4:N4,1,MATCH(-C39,C35:N35,0)),"")</f>
        <v>dezembro</v>
      </c>
      <c r="O39" s="301"/>
    </row>
    <row r="40" spans="1:15" s="300" customFormat="1" ht="18.75" customHeight="1">
      <c r="A40" s="299"/>
      <c r="B40" s="317" t="s">
        <v>920</v>
      </c>
      <c r="C40" s="1721">
        <f ca="1">N35-B35+B33-N33</f>
        <v>-9490.7601818181847</v>
      </c>
      <c r="D40" s="1186"/>
      <c r="O40" s="301"/>
    </row>
    <row r="41" spans="1:15" s="300" customFormat="1" ht="21" customHeight="1">
      <c r="A41" s="299"/>
      <c r="B41" s="317" t="s">
        <v>909</v>
      </c>
      <c r="C41" s="1722">
        <f ca="1">MAX(C35:N35)</f>
        <v>1155.4059999999997</v>
      </c>
      <c r="D41" s="1185" t="str">
        <f ca="1">INDEX(C4:N4,1,MATCH(C41,C35:N35,0))</f>
        <v>janeiro</v>
      </c>
      <c r="O41" s="301"/>
    </row>
    <row r="42" spans="1:15" ht="18" customHeight="1">
      <c r="A42" s="5"/>
      <c r="B42" s="5"/>
    </row>
    <row r="43" spans="1:15">
      <c r="A43" s="5"/>
      <c r="B43" s="5"/>
    </row>
    <row r="44" spans="1:15" ht="15">
      <c r="A44" s="36"/>
      <c r="B44" s="36"/>
    </row>
    <row r="45" spans="1:15" ht="15">
      <c r="A45" s="36"/>
      <c r="B45" s="36"/>
    </row>
    <row r="46" spans="1:15" ht="15">
      <c r="A46" s="36"/>
      <c r="B46" s="36"/>
    </row>
    <row r="47" spans="1:15" ht="15">
      <c r="A47" s="36"/>
      <c r="B47" s="36"/>
    </row>
    <row r="48" spans="1:15" ht="15">
      <c r="A48" s="36"/>
      <c r="B48" s="36"/>
    </row>
    <row r="49" spans="1:2" ht="15">
      <c r="A49" s="36"/>
      <c r="B49" s="36"/>
    </row>
    <row r="50" spans="1:2" ht="15">
      <c r="A50" s="36"/>
      <c r="B50" s="36"/>
    </row>
    <row r="51" spans="1:2" ht="15">
      <c r="A51" s="36"/>
      <c r="B51" s="36"/>
    </row>
    <row r="52" spans="1:2" ht="15">
      <c r="A52" s="36"/>
      <c r="B52" s="36"/>
    </row>
    <row r="53" spans="1:2" ht="15">
      <c r="A53" s="36"/>
      <c r="B53" s="36"/>
    </row>
    <row r="54" spans="1:2" ht="15">
      <c r="A54" s="36"/>
      <c r="B54" s="36"/>
    </row>
    <row r="55" spans="1:2" ht="15">
      <c r="A55" s="36"/>
      <c r="B55" s="36"/>
    </row>
    <row r="56" spans="1:2" ht="15">
      <c r="A56" s="36"/>
      <c r="B56" s="36"/>
    </row>
    <row r="57" spans="1:2" ht="15">
      <c r="A57" s="36"/>
      <c r="B57" s="36"/>
    </row>
    <row r="58" spans="1:2" ht="15">
      <c r="A58" s="36"/>
      <c r="B58" s="36"/>
    </row>
    <row r="59" spans="1:2" ht="15">
      <c r="A59" s="36"/>
      <c r="B59" s="36"/>
    </row>
    <row r="60" spans="1:2" ht="15">
      <c r="A60" s="36"/>
      <c r="B60" s="36"/>
    </row>
  </sheetData>
  <sheetProtection sheet="1" objects="1" scenarios="1"/>
  <phoneticPr fontId="4" type="noConversion"/>
  <conditionalFormatting sqref="C6:N11 C14:N25 C29:N31 C33:N33">
    <cfRule type="expression" dxfId="7" priority="1" stopIfTrue="1">
      <formula>COLUMN(C$4)&lt;=mes0+1</formula>
    </cfRule>
  </conditionalFormatting>
  <conditionalFormatting sqref="C35:N35">
    <cfRule type="expression" dxfId="6" priority="2" stopIfTrue="1">
      <formula>COLUMN(C35)&lt;=mes0</formula>
    </cfRule>
  </conditionalFormatting>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legacy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31">
    <tabColor indexed="43"/>
    <pageSetUpPr fitToPage="1"/>
  </sheetPr>
  <dimension ref="A1:O60"/>
  <sheetViews>
    <sheetView workbookViewId="0"/>
  </sheetViews>
  <sheetFormatPr baseColWidth="10" defaultColWidth="11" defaultRowHeight="12.75"/>
  <cols>
    <col min="1" max="1" width="29.25" style="88" customWidth="1"/>
    <col min="2" max="2" width="12" style="88" customWidth="1"/>
    <col min="3" max="3" width="11.875" style="88" customWidth="1"/>
    <col min="4" max="4" width="13.125" style="88" customWidth="1"/>
    <col min="5" max="5" width="13.5" style="88" customWidth="1"/>
    <col min="6" max="7" width="12.125" style="88" bestFit="1" customWidth="1"/>
    <col min="8" max="8" width="11.375" style="88" customWidth="1"/>
    <col min="9" max="9" width="12.5" style="88" customWidth="1"/>
    <col min="10" max="13" width="11.375" style="88" customWidth="1"/>
    <col min="14" max="14" width="12.5" style="88" customWidth="1"/>
    <col min="15" max="15" width="13.375" style="287" customWidth="1"/>
    <col min="16" max="16384" width="11" style="88"/>
  </cols>
  <sheetData>
    <row r="1" spans="1:15" ht="22.5">
      <c r="A1" s="302" t="str">
        <f>'Tesorería 0'!A1</f>
        <v>Previsões de Cobranças e Pagamentos: Previsões de Tesouraria</v>
      </c>
      <c r="B1" s="283"/>
      <c r="E1" s="285"/>
      <c r="F1" s="2731" t="str">
        <f>Parametros!C$77</f>
        <v>Ano 1:  2027</v>
      </c>
      <c r="G1" s="304"/>
      <c r="H1" s="285"/>
      <c r="I1" s="168"/>
      <c r="J1" s="286"/>
      <c r="K1" s="168"/>
    </row>
    <row r="2" spans="1:15" ht="25.5">
      <c r="A2" s="303" t="str">
        <f>'Dados Básicos'!B9</f>
        <v>WWW, S.L.</v>
      </c>
      <c r="B2" s="288"/>
      <c r="D2" s="282"/>
      <c r="F2" s="285"/>
      <c r="G2" s="168"/>
      <c r="H2" s="168"/>
      <c r="I2" s="168"/>
      <c r="J2" s="168"/>
      <c r="K2" s="168"/>
    </row>
    <row r="3" spans="1:15" ht="15.75" thickBot="1">
      <c r="A3" s="36"/>
      <c r="B3" s="36"/>
    </row>
    <row r="4" spans="1:15" s="289" customFormat="1" ht="18" customHeight="1" thickBot="1">
      <c r="A4" s="322" t="s">
        <v>0</v>
      </c>
      <c r="B4" s="305"/>
      <c r="C4" s="306" t="str">
        <f t="array" ref="C4:N4">meses</f>
        <v>janeiro</v>
      </c>
      <c r="D4" s="306" t="str">
        <v>fevereiro</v>
      </c>
      <c r="E4" s="306" t="str">
        <v>março</v>
      </c>
      <c r="F4" s="306" t="str">
        <v>abril</v>
      </c>
      <c r="G4" s="306" t="str">
        <v>maio</v>
      </c>
      <c r="H4" s="306" t="str">
        <v>junho</v>
      </c>
      <c r="I4" s="306" t="str">
        <v>julho</v>
      </c>
      <c r="J4" s="306" t="str">
        <v>agosto</v>
      </c>
      <c r="K4" s="306" t="str">
        <v>setembro</v>
      </c>
      <c r="L4" s="306" t="str">
        <v>outubro</v>
      </c>
      <c r="M4" s="306" t="str">
        <v>novembro</v>
      </c>
      <c r="N4" s="310" t="str">
        <v>dezembro</v>
      </c>
      <c r="O4" s="311" t="s">
        <v>3</v>
      </c>
    </row>
    <row r="5" spans="1:15" s="289" customFormat="1" ht="18" customHeight="1" thickBot="1">
      <c r="A5" s="309" t="str">
        <f t="array" ref="A5:A11">'Resumo Tesourarias'!A4:A10</f>
        <v>COBRANÇAS</v>
      </c>
      <c r="B5" s="290"/>
      <c r="C5" s="290"/>
      <c r="D5" s="290"/>
      <c r="E5" s="290"/>
      <c r="F5" s="290"/>
      <c r="G5" s="290"/>
      <c r="H5" s="290"/>
      <c r="I5" s="290"/>
      <c r="J5" s="290"/>
      <c r="K5" s="290"/>
      <c r="L5" s="290"/>
      <c r="M5" s="290"/>
      <c r="O5" s="312"/>
    </row>
    <row r="6" spans="1:15" ht="21" customHeight="1">
      <c r="A6" s="1190" t="str">
        <v>Cobranças de vendas</v>
      </c>
      <c r="B6" s="326"/>
      <c r="C6" s="1220">
        <f t="array" aca="1" ref="C6:N6" ca="1">'Receitas e pagamentos 1'!B28:M28</f>
        <v>1246.3</v>
      </c>
      <c r="D6" s="1220">
        <f ca="1"/>
        <v>1246.3</v>
      </c>
      <c r="E6" s="1220">
        <f ca="1"/>
        <v>1246.3</v>
      </c>
      <c r="F6" s="1220">
        <f ca="1"/>
        <v>1246.3</v>
      </c>
      <c r="G6" s="1220">
        <f ca="1"/>
        <v>1246.3</v>
      </c>
      <c r="H6" s="1220">
        <f ca="1"/>
        <v>1246.3</v>
      </c>
      <c r="I6" s="1220">
        <f ca="1"/>
        <v>1246.3</v>
      </c>
      <c r="J6" s="1220">
        <f ca="1"/>
        <v>1246.3</v>
      </c>
      <c r="K6" s="1220">
        <f ca="1"/>
        <v>1246.3</v>
      </c>
      <c r="L6" s="1220">
        <f ca="1"/>
        <v>1246.3</v>
      </c>
      <c r="M6" s="1220">
        <f ca="1"/>
        <v>1246.3</v>
      </c>
      <c r="N6" s="1221">
        <f ca="1"/>
        <v>1246.3</v>
      </c>
      <c r="O6" s="1222">
        <f t="shared" ref="O6:O11" ca="1" si="0">SUM(C6:N6)</f>
        <v>14955.599999999997</v>
      </c>
    </row>
    <row r="7" spans="1:15" ht="21" customHeight="1">
      <c r="A7" s="1189" t="str">
        <v>Cobranças pendentes / Cobranças atrasadas</v>
      </c>
      <c r="B7" s="291"/>
      <c r="C7" s="1224">
        <f ca="1">'Investimentos AC'!$G$24*IF(OR(mes0&lt;=7,COLUMN(B4)&gt;mes0-6),0,INDEX('Pol. Cobranças e Pagamentos'!$C$19:$H$19,1,COLUMN(B4)-mes0+12))
+recmorosos*'Receitas e pagamentos 0'!$S$31/12
+Finançamento!$E$19*Parametros!B54</f>
        <v>0</v>
      </c>
      <c r="D7" s="1224">
        <f ca="1">'Investimentos AC'!$G$24*IF(OR(mes0&lt;=7,COLUMN(C4)&gt;mes0-6),0,INDEX('Pol. Cobranças e Pagamentos'!$C$19:$H$19,1,COLUMN(C4)-mes0+12))
+recmorosos*'Receitas e pagamentos 0'!$S$31/12
+Finançamento!$E$19*Parametros!C54</f>
        <v>0</v>
      </c>
      <c r="E7" s="1224">
        <f ca="1">'Investimentos AC'!$G$24*IF(OR(mes0&lt;=7,COLUMN(D4)&gt;mes0-6),0,INDEX('Pol. Cobranças e Pagamentos'!$C$19:$H$19,1,COLUMN(D4)-mes0+12))
+recmorosos*'Receitas e pagamentos 0'!$S$31/12
+Finançamento!$E$19*Parametros!D54</f>
        <v>0</v>
      </c>
      <c r="F7" s="1224">
        <f ca="1">'Investimentos AC'!$G$24*IF(OR(mes0&lt;=7,COLUMN(E4)&gt;mes0-6),0,INDEX('Pol. Cobranças e Pagamentos'!$C$19:$H$19,1,COLUMN(E4)-mes0+12))
+recmorosos*'Receitas e pagamentos 0'!$S$31/12
+Finançamento!$E$19*Parametros!E54</f>
        <v>0</v>
      </c>
      <c r="G7" s="1224">
        <f ca="1">'Investimentos AC'!$G$24*IF(OR(mes0&lt;=7,COLUMN(F4)&gt;mes0-6),0,INDEX('Pol. Cobranças e Pagamentos'!$C$19:$H$19,1,COLUMN(F4)-mes0+12))
+recmorosos*'Receitas e pagamentos 0'!$S$31/12
+Finançamento!$E$19*Parametros!F54</f>
        <v>0</v>
      </c>
      <c r="H7" s="1224">
        <f ca="1">'Investimentos AC'!$G$24*IF(OR(mes0&lt;=7,COLUMN(G4)&gt;mes0-6),0,INDEX('Pol. Cobranças e Pagamentos'!$C$19:$H$19,1,COLUMN(G4)-mes0+12))
+recmorosos*'Receitas e pagamentos 0'!$S$31/12
+Finançamento!$E$19*Parametros!G54</f>
        <v>0</v>
      </c>
      <c r="I7" s="1224">
        <f ca="1">'Investimentos AC'!$G$24*IF(OR(mes0&lt;=7,COLUMN(H4)&gt;mes0-6),0,INDEX('Pol. Cobranças e Pagamentos'!$C$19:$H$19,1,COLUMN(H4)-mes0+12))
+recmorosos*'Receitas e pagamentos 0'!$S$31/12
+Finançamento!$E$19*Parametros!H54</f>
        <v>0</v>
      </c>
      <c r="J7" s="1224">
        <f ca="1">'Investimentos AC'!$G$24*IF(OR(mes0&lt;=7,COLUMN(I4)&gt;mes0-6),0,INDEX('Pol. Cobranças e Pagamentos'!$C$19:$H$19,1,COLUMN(I4)-mes0+12))
+recmorosos*'Receitas e pagamentos 0'!$S$31/12
+Finançamento!$E$19*Parametros!I54</f>
        <v>0</v>
      </c>
      <c r="K7" s="1224">
        <f ca="1">'Investimentos AC'!$G$24*IF(OR(mes0&lt;=7,COLUMN(J4)&gt;mes0-6),0,INDEX('Pol. Cobranças e Pagamentos'!$C$19:$H$19,1,COLUMN(J4)-mes0+12))
+recmorosos*'Receitas e pagamentos 0'!$S$31/12
+Finançamento!$E$19*Parametros!J54</f>
        <v>0</v>
      </c>
      <c r="L7" s="1224">
        <f ca="1">'Investimentos AC'!$G$24*IF(OR(mes0&lt;=7,COLUMN(K4)&gt;mes0-6),0,INDEX('Pol. Cobranças e Pagamentos'!$C$19:$H$19,1,COLUMN(K4)-mes0+12))
+recmorosos*'Receitas e pagamentos 0'!$S$31/12
+Finançamento!$E$19*Parametros!K54</f>
        <v>0</v>
      </c>
      <c r="M7" s="1224">
        <f ca="1">'Investimentos AC'!$G$24*IF(OR(mes0&lt;=7,COLUMN(L4)&gt;mes0-6),0,INDEX('Pol. Cobranças e Pagamentos'!$C$19:$H$19,1,COLUMN(L4)-mes0+12))
+recmorosos*'Receitas e pagamentos 0'!$S$31/12
+Finançamento!$E$19*Parametros!L54</f>
        <v>0</v>
      </c>
      <c r="N7" s="1225">
        <f ca="1">'Investimentos AC'!$G$24*IF(OR(mes0&lt;=7,COLUMN(M4)&gt;mes0-6),0,INDEX('Pol. Cobranças e Pagamentos'!$C$19:$H$19,1,COLUMN(M4)-mes0+12))
+recmorosos*'Receitas e pagamentos 0'!$S$31/12
+Finançamento!$E$19*Parametros!M54</f>
        <v>0</v>
      </c>
      <c r="O7" s="1226">
        <f t="shared" ca="1" si="0"/>
        <v>0</v>
      </c>
    </row>
    <row r="8" spans="1:15" ht="21" customHeight="1">
      <c r="A8" s="1189" t="str">
        <v>Outras entradas</v>
      </c>
      <c r="B8" s="327"/>
      <c r="C8" s="1224">
        <v>0</v>
      </c>
      <c r="D8" s="1224">
        <v>0</v>
      </c>
      <c r="E8" s="1224">
        <v>0</v>
      </c>
      <c r="F8" s="1224">
        <v>0</v>
      </c>
      <c r="G8" s="1224">
        <v>0</v>
      </c>
      <c r="H8" s="1224">
        <v>0</v>
      </c>
      <c r="I8" s="1224">
        <v>0</v>
      </c>
      <c r="J8" s="1224">
        <f ca="1">IF('IRS Singulares'!K26&lt;0,-'IRS Singulares'!K26*'IRS Singulares'!K20,0)</f>
        <v>0</v>
      </c>
      <c r="K8" s="1224">
        <v>0</v>
      </c>
      <c r="L8" s="1224">
        <v>0</v>
      </c>
      <c r="M8" s="1224">
        <v>0</v>
      </c>
      <c r="N8" s="1225">
        <f ca="1">IF('IRC Coletivas'!$B$23&lt;0,-'IRC Coletivas'!$B$23,0)</f>
        <v>0</v>
      </c>
      <c r="O8" s="1226">
        <f t="shared" ca="1" si="0"/>
        <v>0</v>
      </c>
    </row>
    <row r="9" spans="1:15" ht="21" customHeight="1">
      <c r="A9" s="1189" t="str">
        <v>Devoluções de IVA</v>
      </c>
      <c r="B9" s="327"/>
      <c r="C9" s="1224">
        <f t="array" ref="C9:N9">'IVA 1'!C26:N26</f>
        <v>0</v>
      </c>
      <c r="D9" s="1224">
        <v>0</v>
      </c>
      <c r="E9" s="1224">
        <v>0</v>
      </c>
      <c r="F9" s="1224">
        <v>0</v>
      </c>
      <c r="G9" s="1224">
        <v>0</v>
      </c>
      <c r="H9" s="1224">
        <f ca="1"/>
        <v>0</v>
      </c>
      <c r="I9" s="1224">
        <v>0</v>
      </c>
      <c r="J9" s="1224">
        <v>0</v>
      </c>
      <c r="K9" s="1224">
        <v>0</v>
      </c>
      <c r="L9" s="1224">
        <v>0</v>
      </c>
      <c r="M9" s="1224">
        <v>0</v>
      </c>
      <c r="N9" s="1225">
        <v>0</v>
      </c>
      <c r="O9" s="1226">
        <f t="shared" ca="1" si="0"/>
        <v>0</v>
      </c>
    </row>
    <row r="10" spans="1:15" ht="21" customHeight="1">
      <c r="A10" s="1189" t="str">
        <v>Receitas financeiras</v>
      </c>
      <c r="B10" s="327"/>
      <c r="C10" s="1224">
        <f t="array" ref="C10:N10" ca="1">'Despesas Financeiras'!C92:N92</f>
        <v>0</v>
      </c>
      <c r="D10" s="1224">
        <f ca="1"/>
        <v>0</v>
      </c>
      <c r="E10" s="1224">
        <f ca="1"/>
        <v>0</v>
      </c>
      <c r="F10" s="1224">
        <f ca="1"/>
        <v>0</v>
      </c>
      <c r="G10" s="1224">
        <f ca="1"/>
        <v>0</v>
      </c>
      <c r="H10" s="1224">
        <f ca="1"/>
        <v>0</v>
      </c>
      <c r="I10" s="1224">
        <f ca="1"/>
        <v>0</v>
      </c>
      <c r="J10" s="1224">
        <f ca="1"/>
        <v>0</v>
      </c>
      <c r="K10" s="1224">
        <f ca="1"/>
        <v>0</v>
      </c>
      <c r="L10" s="1224">
        <f ca="1"/>
        <v>0</v>
      </c>
      <c r="M10" s="1224">
        <f ca="1"/>
        <v>0</v>
      </c>
      <c r="N10" s="1225">
        <f ca="1"/>
        <v>0</v>
      </c>
      <c r="O10" s="1226">
        <f t="shared" ca="1" si="0"/>
        <v>0</v>
      </c>
    </row>
    <row r="11" spans="1:15" s="287" customFormat="1" ht="21" customHeight="1" thickBot="1">
      <c r="A11" s="325" t="str">
        <v>Total COBRANÇAS</v>
      </c>
      <c r="B11" s="292"/>
      <c r="C11" s="1227">
        <f ca="1">SUM(C6:C10)</f>
        <v>1246.3</v>
      </c>
      <c r="D11" s="1227">
        <f t="shared" ref="D11:K11" ca="1" si="1">SUM(D6:D10)</f>
        <v>1246.3</v>
      </c>
      <c r="E11" s="1227">
        <f t="shared" ca="1" si="1"/>
        <v>1246.3</v>
      </c>
      <c r="F11" s="1227">
        <f ca="1">SUM(F6:F10)</f>
        <v>1246.3</v>
      </c>
      <c r="G11" s="1227">
        <f t="shared" ca="1" si="1"/>
        <v>1246.3</v>
      </c>
      <c r="H11" s="1227">
        <f t="shared" ca="1" si="1"/>
        <v>1246.3</v>
      </c>
      <c r="I11" s="1227">
        <f t="shared" ca="1" si="1"/>
        <v>1246.3</v>
      </c>
      <c r="J11" s="1227">
        <f t="shared" ca="1" si="1"/>
        <v>1246.3</v>
      </c>
      <c r="K11" s="1227">
        <f t="shared" ca="1" si="1"/>
        <v>1246.3</v>
      </c>
      <c r="L11" s="1227">
        <f ca="1">SUM(L6:L10)</f>
        <v>1246.3</v>
      </c>
      <c r="M11" s="1227">
        <f ca="1">SUM(M6:M10)</f>
        <v>1246.3</v>
      </c>
      <c r="N11" s="1228">
        <f ca="1">SUM(N6:N10)</f>
        <v>1246.3</v>
      </c>
      <c r="O11" s="1229">
        <f t="shared" ca="1" si="0"/>
        <v>14955.599999999997</v>
      </c>
    </row>
    <row r="12" spans="1:15" s="287" customFormat="1" ht="9.75" customHeight="1">
      <c r="A12" s="307"/>
      <c r="B12" s="293"/>
      <c r="C12" s="293"/>
      <c r="D12" s="293"/>
      <c r="E12" s="293"/>
      <c r="F12" s="293"/>
      <c r="G12" s="293"/>
      <c r="H12" s="293"/>
      <c r="I12" s="293"/>
      <c r="J12" s="293"/>
      <c r="K12" s="293"/>
      <c r="L12" s="293"/>
      <c r="M12" s="293"/>
      <c r="N12" s="293"/>
      <c r="O12" s="313"/>
    </row>
    <row r="13" spans="1:15" s="287" customFormat="1" ht="21" customHeight="1" thickBot="1">
      <c r="A13" s="309" t="str">
        <f t="array" ref="A13:A17">'Resumo Tesourarias'!A12:A16</f>
        <v>PAGAMENTOS</v>
      </c>
      <c r="B13" s="294"/>
      <c r="C13" s="294"/>
      <c r="D13" s="294"/>
      <c r="E13" s="294"/>
      <c r="F13" s="294"/>
      <c r="G13" s="294"/>
      <c r="H13" s="294"/>
      <c r="I13" s="294"/>
      <c r="J13" s="294"/>
      <c r="K13" s="294"/>
      <c r="L13" s="294"/>
      <c r="M13" s="294"/>
      <c r="N13" s="294"/>
      <c r="O13" s="314"/>
    </row>
    <row r="14" spans="1:15" s="301" customFormat="1" ht="21" customHeight="1">
      <c r="A14" s="1214" t="str">
        <v>Pagamentos de Gastos Fixos ( IVA incl.)</v>
      </c>
      <c r="B14" s="1208"/>
      <c r="C14" s="1230">
        <f ca="1">'G.F. 1'!B58+'G.F. 1'!B60
+IF(mes0+'Despesas Fixas Dados'!$C$33&lt;13,0,IF(COLUMN(C$4)-2+11&lt;mes0+'Despesas Fixas Dados'!$C$33,-'Despesas Fixas Dados'!$B$21,0))</f>
        <v>1521.0994327272726</v>
      </c>
      <c r="D14" s="1230">
        <f ca="1">'G.F. 1'!C58+'G.F. 1'!C60
+IF(mes0+'Despesas Fixas Dados'!$C$33&lt;13,0,IF(COLUMN(D$4)-2+11&lt;mes0+'Despesas Fixas Dados'!$C$33,-'Despesas Fixas Dados'!$B$21,0))</f>
        <v>1521.0994327272726</v>
      </c>
      <c r="E14" s="1230">
        <f ca="1">'G.F. 1'!D58+'G.F. 1'!D60
+IF(mes0+'Despesas Fixas Dados'!$C$33&lt;13,0,IF(COLUMN(E$4)-2+11&lt;mes0+'Despesas Fixas Dados'!$C$33,-'Despesas Fixas Dados'!$B$21,0))</f>
        <v>1521.0994327272726</v>
      </c>
      <c r="F14" s="1230">
        <f ca="1">'G.F. 1'!E58+'G.F. 1'!E60
+IF(mes0+'Despesas Fixas Dados'!$C$33&lt;13,0,IF(COLUMN(F$4)-2+11&lt;mes0+'Despesas Fixas Dados'!$C$33,-'Despesas Fixas Dados'!$B$21,0))</f>
        <v>1545.4971599999999</v>
      </c>
      <c r="G14" s="1230">
        <f ca="1">'G.F. 1'!F58+'G.F. 1'!F60
+IF(mes0+'Despesas Fixas Dados'!$C$33&lt;13,0,IF(COLUMN(G$4)-2+11&lt;mes0+'Despesas Fixas Dados'!$C$33,-'Despesas Fixas Dados'!$B$21,0))</f>
        <v>1545.4971599999999</v>
      </c>
      <c r="H14" s="1230">
        <f ca="1">'G.F. 1'!G58+'G.F. 1'!G60
+IF(mes0+'Despesas Fixas Dados'!$C$33&lt;13,0,IF(COLUMN(H$4)-2+11&lt;mes0+'Despesas Fixas Dados'!$C$33,-'Despesas Fixas Dados'!$B$21,0))</f>
        <v>1545.4971599999999</v>
      </c>
      <c r="I14" s="1230">
        <f ca="1">'G.F. 1'!H58+'G.F. 1'!H60
+IF(mes0+'Despesas Fixas Dados'!$C$33&lt;13,0,IF(COLUMN(I$4)-2+11&lt;mes0+'Despesas Fixas Dados'!$C$33,-'Despesas Fixas Dados'!$B$21,0))</f>
        <v>1545.4971599999999</v>
      </c>
      <c r="J14" s="1230">
        <f ca="1">'G.F. 1'!I58+'G.F. 1'!I60
+IF(mes0+'Despesas Fixas Dados'!$C$33&lt;13,0,IF(COLUMN(J$4)-2+11&lt;mes0+'Despesas Fixas Dados'!$C$33,-'Despesas Fixas Dados'!$B$21,0))</f>
        <v>1545.4971599999999</v>
      </c>
      <c r="K14" s="1230">
        <f ca="1">'G.F. 1'!J58+'G.F. 1'!J60
+IF(mes0+'Despesas Fixas Dados'!$C$33&lt;13,0,IF(COLUMN(K$4)-2+11&lt;mes0+'Despesas Fixas Dados'!$C$33,-'Despesas Fixas Dados'!$B$21,0))</f>
        <v>1545.4971599999999</v>
      </c>
      <c r="L14" s="1230">
        <f ca="1">'G.F. 1'!K58+'G.F. 1'!K60
+IF(mes0+'Despesas Fixas Dados'!$C$33&lt;13,0,IF(COLUMN(L$4)-2+11&lt;mes0+'Despesas Fixas Dados'!$C$33,-'Despesas Fixas Dados'!$B$21,0))</f>
        <v>1545.4971599999999</v>
      </c>
      <c r="M14" s="1230">
        <f ca="1">'G.F. 1'!L58+'G.F. 1'!L60
+IF(mes0+'Despesas Fixas Dados'!$C$33&lt;13,0,IF(COLUMN(M$4)-2+11&lt;mes0+'Despesas Fixas Dados'!$C$33,-'Despesas Fixas Dados'!$B$21,0))</f>
        <v>1545.4971599999999</v>
      </c>
      <c r="N14" s="1231">
        <f ca="1">'G.F. 1'!M58+'G.F. 1'!M60
+IF(mes0+'Despesas Fixas Dados'!$C$33&lt;13,0,IF(COLUMN(N$4)-2+11&lt;mes0+'Despesas Fixas Dados'!$C$33,-'Despesas Fixas Dados'!$B$21,0))</f>
        <v>1545.4971599999999</v>
      </c>
      <c r="O14" s="1232">
        <f ca="1">SUM(C14:N14)</f>
        <v>18472.772738181811</v>
      </c>
    </row>
    <row r="15" spans="1:15" s="300" customFormat="1" ht="21" customHeight="1">
      <c r="A15" s="1215" t="str">
        <v>Pagamento de compras e Custos Variables  ( IVA incl.)</v>
      </c>
      <c r="B15" s="1209"/>
      <c r="C15" s="1233">
        <f t="array" aca="1" ref="C15:N15" ca="1">'Receitas e pagamentos 1'!B55:M55</f>
        <v>174.48200000000003</v>
      </c>
      <c r="D15" s="1233">
        <f ca="1"/>
        <v>174.48200000000003</v>
      </c>
      <c r="E15" s="1233">
        <f ca="1"/>
        <v>174.48200000000003</v>
      </c>
      <c r="F15" s="1233">
        <f ca="1"/>
        <v>174.48200000000003</v>
      </c>
      <c r="G15" s="1233">
        <f ca="1"/>
        <v>174.48200000000003</v>
      </c>
      <c r="H15" s="1233">
        <f ca="1"/>
        <v>174.48200000000003</v>
      </c>
      <c r="I15" s="1233">
        <f ca="1"/>
        <v>174.48200000000003</v>
      </c>
      <c r="J15" s="1233">
        <f ca="1"/>
        <v>174.48200000000003</v>
      </c>
      <c r="K15" s="1233">
        <f ca="1"/>
        <v>174.48200000000003</v>
      </c>
      <c r="L15" s="1233">
        <f ca="1"/>
        <v>174.48200000000003</v>
      </c>
      <c r="M15" s="1233">
        <f ca="1"/>
        <v>174.48200000000003</v>
      </c>
      <c r="N15" s="1234">
        <f ca="1"/>
        <v>174.48200000000003</v>
      </c>
      <c r="O15" s="1235">
        <f ca="1">SUM(C15:N15)</f>
        <v>2093.7840000000001</v>
      </c>
    </row>
    <row r="16" spans="1:15" s="300" customFormat="1" ht="21" customHeight="1">
      <c r="A16" s="1215" t="str">
        <v>Pagamentos de Gastos Financieros</v>
      </c>
      <c r="B16" s="1209"/>
      <c r="C16" s="1233">
        <f t="array" ref="C16:N16" ca="1">'Despesas Financeiras'!C34:N34+'Despesas Financeiras'!C30:N30*Parametros!$F$33*0</f>
        <v>12.462999999999999</v>
      </c>
      <c r="D16" s="1233">
        <f ca="1"/>
        <v>12.462999999999999</v>
      </c>
      <c r="E16" s="1233">
        <f ca="1"/>
        <v>12.462999999999999</v>
      </c>
      <c r="F16" s="1233">
        <f ca="1"/>
        <v>12.462999999999999</v>
      </c>
      <c r="G16" s="1233">
        <f ca="1"/>
        <v>12.462999999999999</v>
      </c>
      <c r="H16" s="1233">
        <f ca="1"/>
        <v>12.462999999999999</v>
      </c>
      <c r="I16" s="1233">
        <f ca="1"/>
        <v>12.462999999999999</v>
      </c>
      <c r="J16" s="1233">
        <f ca="1"/>
        <v>12.462999999999999</v>
      </c>
      <c r="K16" s="1233">
        <f ca="1"/>
        <v>12.462999999999999</v>
      </c>
      <c r="L16" s="1233">
        <f ca="1"/>
        <v>12.462999999999999</v>
      </c>
      <c r="M16" s="1233">
        <f ca="1"/>
        <v>12.462999999999999</v>
      </c>
      <c r="N16" s="1234">
        <f ca="1"/>
        <v>12.462999999999999</v>
      </c>
      <c r="O16" s="1235">
        <f ca="1">SUM(C16:N16)</f>
        <v>149.55599999999995</v>
      </c>
    </row>
    <row r="17" spans="1:15" s="300" customFormat="1" ht="21" customHeight="1">
      <c r="A17" s="1215" t="str">
        <v>Pagamentos de IVA de cuotas de Leasing / Renting</v>
      </c>
      <c r="B17" s="1209"/>
      <c r="C17" s="1233">
        <f t="array" ref="C17:N17">+Leasing!B32:M32+Renting!B31:M31</f>
        <v>0</v>
      </c>
      <c r="D17" s="1233">
        <v>0</v>
      </c>
      <c r="E17" s="1233">
        <v>0</v>
      </c>
      <c r="F17" s="1233">
        <v>0</v>
      </c>
      <c r="G17" s="1233">
        <v>0</v>
      </c>
      <c r="H17" s="1233">
        <v>0</v>
      </c>
      <c r="I17" s="1233">
        <v>0</v>
      </c>
      <c r="J17" s="1233">
        <v>0</v>
      </c>
      <c r="K17" s="1233">
        <v>0</v>
      </c>
      <c r="L17" s="1233">
        <v>0</v>
      </c>
      <c r="M17" s="1233">
        <v>0</v>
      </c>
      <c r="N17" s="1234">
        <v>0</v>
      </c>
      <c r="O17" s="1235">
        <f>SUM(C17:N17)</f>
        <v>0</v>
      </c>
    </row>
    <row r="18" spans="1:15" s="300" customFormat="1" ht="9.75" customHeight="1">
      <c r="A18" s="1216"/>
      <c r="C18" s="1775"/>
      <c r="D18" s="1776"/>
      <c r="E18" s="1777"/>
      <c r="F18" s="1776"/>
      <c r="G18" s="1776"/>
      <c r="H18" s="1776"/>
      <c r="I18" s="1776"/>
      <c r="J18" s="1776"/>
      <c r="K18" s="1776"/>
      <c r="L18" s="1776"/>
      <c r="M18" s="1776"/>
      <c r="N18" s="1778"/>
      <c r="O18" s="1779"/>
    </row>
    <row r="19" spans="1:15" s="300" customFormat="1" ht="21" customHeight="1">
      <c r="A19" s="1218" t="s">
        <v>91</v>
      </c>
      <c r="B19" s="1210"/>
      <c r="C19" s="1236"/>
      <c r="D19" s="1237"/>
      <c r="E19" s="1238"/>
      <c r="F19" s="1237"/>
      <c r="G19" s="1237"/>
      <c r="H19" s="1237"/>
      <c r="I19" s="1237"/>
      <c r="J19" s="1237"/>
      <c r="K19" s="1237"/>
      <c r="L19" s="1237"/>
      <c r="M19" s="1237"/>
      <c r="N19" s="1239"/>
      <c r="O19" s="1240"/>
    </row>
    <row r="20" spans="1:15" s="300" customFormat="1" ht="21" customHeight="1">
      <c r="A20" s="1215" t="str">
        <f t="array" ref="A20:A25">'Resumo Tesourarias'!A17:A22</f>
        <v>Devolução de principal de empréstimos / Leasing</v>
      </c>
      <c r="B20" s="1209"/>
      <c r="C20" s="1233">
        <f t="array" ref="C20:N20">Empréstimos!B32:M32+Leasing!B31:M31</f>
        <v>0</v>
      </c>
      <c r="D20" s="1233">
        <v>0</v>
      </c>
      <c r="E20" s="1233">
        <v>0</v>
      </c>
      <c r="F20" s="1233">
        <v>0</v>
      </c>
      <c r="G20" s="1233">
        <v>0</v>
      </c>
      <c r="H20" s="1233">
        <v>0</v>
      </c>
      <c r="I20" s="1233">
        <v>0</v>
      </c>
      <c r="J20" s="1233">
        <v>0</v>
      </c>
      <c r="K20" s="1233">
        <v>0</v>
      </c>
      <c r="L20" s="1233">
        <v>0</v>
      </c>
      <c r="M20" s="1233">
        <v>0</v>
      </c>
      <c r="N20" s="1234">
        <v>0</v>
      </c>
      <c r="O20" s="1235">
        <f>SUM(C20:N20)</f>
        <v>0</v>
      </c>
    </row>
    <row r="21" spans="1:15" s="300" customFormat="1" ht="21" customHeight="1">
      <c r="A21" s="1215" t="str">
        <v>Outras saidas da caixa</v>
      </c>
      <c r="B21" s="1209"/>
      <c r="C21" s="1233">
        <f>'Finançamento Inicial'!$B$27*IF(OR(mes0&lt;=7,COLUMN(B4)&gt;mes0-6),0,INDEX('Pol. Cobranças e Pagamentos'!$C$67:$H$67,1,COLUMN(B4)-mes0+12))</f>
        <v>0</v>
      </c>
      <c r="D21" s="1233">
        <f>'Finançamento Inicial'!$B$27*IF(OR(mes0&lt;=7,COLUMN(C4)&gt;mes0-6),0,INDEX('Pol. Cobranças e Pagamentos'!$C$67:$H$67,1,COLUMN(C4)-mes0+12))</f>
        <v>0</v>
      </c>
      <c r="E21" s="1233">
        <f>'Finançamento Inicial'!$B$27*IF(OR(mes0&lt;=7,COLUMN(D4)&gt;mes0-6),0,INDEX('Pol. Cobranças e Pagamentos'!$C$67:$H$67,1,COLUMN(D4)-mes0+12))</f>
        <v>0</v>
      </c>
      <c r="F21" s="1233">
        <f>'Finançamento Inicial'!$B$27*IF(OR(mes0&lt;=7,COLUMN(E4)&gt;mes0-6),0,INDEX('Pol. Cobranças e Pagamentos'!$C$67:$H$67,1,COLUMN(E4)-mes0+12))</f>
        <v>0</v>
      </c>
      <c r="G21" s="1233">
        <f>'Finançamento Inicial'!$B$27*IF(OR(mes0&lt;=7,COLUMN(F4)&gt;mes0-6),0,INDEX('Pol. Cobranças e Pagamentos'!$C$67:$H$67,1,COLUMN(F4)-mes0+12))</f>
        <v>0</v>
      </c>
      <c r="H21" s="1233">
        <f>'Finançamento Inicial'!$B$27*IF(OR(mes0&lt;=7,COLUMN(G4)&gt;mes0-6),0,INDEX('Pol. Cobranças e Pagamentos'!$C$67:$H$67,1,COLUMN(G4)-mes0+12))</f>
        <v>0</v>
      </c>
      <c r="I21" s="1233">
        <f>'Finançamento Inicial'!$B$27*IF(OR(mes0&lt;=7,COLUMN(H4)&gt;mes0-6),0,INDEX('Pol. Cobranças e Pagamentos'!$C$67:$H$67,1,COLUMN(H4)-mes0+12))</f>
        <v>0</v>
      </c>
      <c r="J21" s="1233">
        <f>'Finançamento Inicial'!$B$27*IF(OR(mes0&lt;=7,COLUMN(I4)&gt;mes0-6),0,INDEX('Pol. Cobranças e Pagamentos'!$C$67:$H$67,1,COLUMN(I4)-mes0+12))</f>
        <v>0</v>
      </c>
      <c r="K21" s="1233">
        <f>'Finançamento Inicial'!$B$27*IF(OR(mes0&lt;=7,COLUMN(J4)&gt;mes0-6),0,INDEX('Pol. Cobranças e Pagamentos'!$C$67:$H$67,1,COLUMN(J4)-mes0+12))</f>
        <v>0</v>
      </c>
      <c r="L21" s="1233">
        <f>'Finançamento Inicial'!$B$27*IF(OR(mes0&lt;=7,COLUMN(K4)&gt;mes0-6),0,INDEX('Pol. Cobranças e Pagamentos'!$C$67:$H$67,1,COLUMN(K4)-mes0+12))</f>
        <v>0</v>
      </c>
      <c r="M21" s="1233">
        <f>'Finançamento Inicial'!$B$27*IF(OR(mes0&lt;=7,COLUMN(L4)&gt;mes0-6),0,INDEX('Pol. Cobranças e Pagamentos'!$C$67:$H$67,1,COLUMN(L4)-mes0+12))</f>
        <v>0</v>
      </c>
      <c r="N21" s="1234">
        <f>'Finançamento Inicial'!$B$27*IF(OR(mes0&lt;=7,COLUMN(M4)&gt;mes0-6),0,INDEX('Pol. Cobranças e Pagamentos'!$C$67:$H$67,1,COLUMN(M4)-mes0+12))</f>
        <v>0</v>
      </c>
      <c r="O21" s="1235">
        <f>SUM(C21:N21)</f>
        <v>0</v>
      </c>
    </row>
    <row r="22" spans="1:15" s="300" customFormat="1" ht="21" customHeight="1">
      <c r="A22" s="1215" t="str">
        <v>Liquidações de IVA</v>
      </c>
      <c r="B22" s="1209"/>
      <c r="C22" s="1233">
        <f t="array" ref="C22:N22" ca="1">'IVA 1'!C24:N24</f>
        <v>485.76436363636367</v>
      </c>
      <c r="D22" s="1233">
        <v>0</v>
      </c>
      <c r="E22" s="1233">
        <v>0</v>
      </c>
      <c r="F22" s="1233">
        <f ca="1"/>
        <v>530.52551999999991</v>
      </c>
      <c r="G22" s="1233">
        <v>0</v>
      </c>
      <c r="H22" s="1233">
        <v>0</v>
      </c>
      <c r="I22" s="1233">
        <f ca="1"/>
        <v>530.52551999999991</v>
      </c>
      <c r="J22" s="1233">
        <v>0</v>
      </c>
      <c r="K22" s="1233">
        <v>0</v>
      </c>
      <c r="L22" s="1233">
        <f ca="1"/>
        <v>530.52551999999991</v>
      </c>
      <c r="M22" s="1233">
        <v>0</v>
      </c>
      <c r="N22" s="1234">
        <v>0</v>
      </c>
      <c r="O22" s="1235">
        <f ca="1">SUM(C22:N22)</f>
        <v>2077.3409236363632</v>
      </c>
    </row>
    <row r="23" spans="1:15" s="300" customFormat="1" ht="21" customHeight="1">
      <c r="A23" s="1215" t="str">
        <v>Otros Pagamentos ( I.R.C. / I.R.S. )</v>
      </c>
      <c r="B23" s="1209"/>
      <c r="C23" s="1233">
        <f ca="1">'Ret IRS'!B22</f>
        <v>0</v>
      </c>
      <c r="D23" s="1233"/>
      <c r="E23" s="1233"/>
      <c r="F23" s="1233">
        <f ca="1">'IRC Coletivas'!D18+'Ret IRS'!E22</f>
        <v>0</v>
      </c>
      <c r="G23" s="1233"/>
      <c r="H23" s="1233">
        <f ca="1">IF('IRS Singulares'!K26&lt;0,0,'IRS Singulares'!K26*'IRS Singulares'!K20)</f>
        <v>0</v>
      </c>
      <c r="I23" s="1233">
        <f ca="1">IF('IRC Coletivas'!B23&gt;0,'IRC Coletivas'!B23,0)+'Ret IRS'!H22
+'IRC Coletivas'!$B$32/2</f>
        <v>0</v>
      </c>
      <c r="J23" s="1233"/>
      <c r="K23" s="1233"/>
      <c r="L23" s="1233">
        <f ca="1">'IRC Coletivas'!D19+'Ret IRS'!K22</f>
        <v>0</v>
      </c>
      <c r="M23" s="1233"/>
      <c r="N23" s="1234">
        <f ca="1">'IRC Coletivas'!D20
+'IRC Coletivas'!$B$32/2</f>
        <v>0</v>
      </c>
      <c r="O23" s="1235">
        <f ca="1">SUM(C23:N23)</f>
        <v>0</v>
      </c>
    </row>
    <row r="24" spans="1:15" s="300" customFormat="1" ht="21" customHeight="1">
      <c r="A24" s="1215" t="str">
        <v>Outros pagamentos a creedores L/P</v>
      </c>
      <c r="B24" s="1209"/>
      <c r="C24" s="1233">
        <f t="array" ref="C24:N24">'Otros cobros y pagos'!B74:M74</f>
        <v>0</v>
      </c>
      <c r="D24" s="1233">
        <v>0</v>
      </c>
      <c r="E24" s="1233">
        <v>0</v>
      </c>
      <c r="F24" s="1233">
        <v>0</v>
      </c>
      <c r="G24" s="1233">
        <v>0</v>
      </c>
      <c r="H24" s="1233">
        <v>0</v>
      </c>
      <c r="I24" s="1233">
        <v>0</v>
      </c>
      <c r="J24" s="1233">
        <v>0</v>
      </c>
      <c r="K24" s="1233">
        <v>0</v>
      </c>
      <c r="L24" s="1233">
        <v>0</v>
      </c>
      <c r="M24" s="1233">
        <v>0</v>
      </c>
      <c r="N24" s="1234">
        <v>0</v>
      </c>
      <c r="O24" s="1235">
        <f>SUM(C24:N24)</f>
        <v>0</v>
      </c>
    </row>
    <row r="25" spans="1:15" s="301" customFormat="1" ht="21" customHeight="1" thickBot="1">
      <c r="A25" s="1219" t="str">
        <v>Total PAGAMENTOS</v>
      </c>
      <c r="B25" s="1213"/>
      <c r="C25" s="1241">
        <f t="shared" ref="C25:N25" ca="1" si="2">SUM(C14:C24)</f>
        <v>2193.8087963636362</v>
      </c>
      <c r="D25" s="1241">
        <f t="shared" ca="1" si="2"/>
        <v>1708.0444327272726</v>
      </c>
      <c r="E25" s="1241">
        <f t="shared" ca="1" si="2"/>
        <v>1708.0444327272726</v>
      </c>
      <c r="F25" s="1241">
        <f t="shared" ca="1" si="2"/>
        <v>2262.9676799999997</v>
      </c>
      <c r="G25" s="1241">
        <f t="shared" ca="1" si="2"/>
        <v>1732.4421599999998</v>
      </c>
      <c r="H25" s="1241">
        <f t="shared" ca="1" si="2"/>
        <v>1732.4421599999998</v>
      </c>
      <c r="I25" s="1241">
        <f t="shared" ca="1" si="2"/>
        <v>2262.9676799999997</v>
      </c>
      <c r="J25" s="1241">
        <f t="shared" ca="1" si="2"/>
        <v>1732.4421599999998</v>
      </c>
      <c r="K25" s="1241">
        <f t="shared" ca="1" si="2"/>
        <v>1732.4421599999998</v>
      </c>
      <c r="L25" s="1241">
        <f t="shared" ca="1" si="2"/>
        <v>2262.9676799999997</v>
      </c>
      <c r="M25" s="1241">
        <f t="shared" ca="1" si="2"/>
        <v>1732.4421599999998</v>
      </c>
      <c r="N25" s="1242">
        <f t="shared" ca="1" si="2"/>
        <v>1732.4421599999998</v>
      </c>
      <c r="O25" s="1243">
        <f ca="1">SUM(O14:O24)</f>
        <v>22793.453661818174</v>
      </c>
    </row>
    <row r="26" spans="1:15" s="287" customFormat="1" ht="21" customHeight="1">
      <c r="A26" s="307"/>
      <c r="B26" s="331"/>
      <c r="C26" s="296"/>
      <c r="D26" s="296"/>
      <c r="E26" s="296"/>
      <c r="F26" s="296"/>
      <c r="G26" s="296"/>
      <c r="H26" s="296"/>
      <c r="I26" s="296"/>
      <c r="J26" s="296"/>
      <c r="K26" s="296"/>
      <c r="L26" s="296"/>
      <c r="M26" s="296"/>
      <c r="O26" s="315"/>
    </row>
    <row r="27" spans="1:15" s="287" customFormat="1" ht="21" customHeight="1" thickBot="1">
      <c r="A27" s="307"/>
      <c r="B27" s="295"/>
      <c r="C27" s="296"/>
      <c r="D27" s="296"/>
      <c r="E27" s="296"/>
      <c r="F27" s="296"/>
      <c r="G27" s="296"/>
      <c r="H27" s="296"/>
      <c r="I27" s="296"/>
      <c r="J27" s="296"/>
      <c r="K27" s="296"/>
      <c r="L27" s="296"/>
      <c r="M27" s="296"/>
      <c r="O27" s="315"/>
    </row>
    <row r="28" spans="1:15" s="289" customFormat="1" ht="18" customHeight="1" thickBot="1">
      <c r="A28" s="328" t="str">
        <f t="array" ref="A28:A31">'Tesorería 0'!A28:A31</f>
        <v>Resumo de tesouraria</v>
      </c>
      <c r="B28" s="305"/>
      <c r="C28" s="306" t="str">
        <f t="array" ref="C28:N28">meses</f>
        <v>janeiro</v>
      </c>
      <c r="D28" s="306" t="str">
        <v>fevereiro</v>
      </c>
      <c r="E28" s="306" t="str">
        <v>março</v>
      </c>
      <c r="F28" s="306" t="str">
        <v>abril</v>
      </c>
      <c r="G28" s="306" t="str">
        <v>maio</v>
      </c>
      <c r="H28" s="306" t="str">
        <v>junho</v>
      </c>
      <c r="I28" s="306" t="str">
        <v>julho</v>
      </c>
      <c r="J28" s="306" t="str">
        <v>agosto</v>
      </c>
      <c r="K28" s="306" t="str">
        <v>setembro</v>
      </c>
      <c r="L28" s="306" t="str">
        <v>outubro</v>
      </c>
      <c r="M28" s="306" t="str">
        <v>novembro</v>
      </c>
      <c r="N28" s="310" t="str">
        <v>dezembro</v>
      </c>
      <c r="O28" s="311" t="str">
        <f>O4</f>
        <v>Total</v>
      </c>
    </row>
    <row r="29" spans="1:15" s="287" customFormat="1" ht="21" customHeight="1" thickBot="1">
      <c r="A29" s="329" t="str">
        <v>Previsões de cobranças por meses</v>
      </c>
      <c r="B29" s="297"/>
      <c r="C29" s="630">
        <f t="array" ref="C29:N29" ca="1">C11:N11</f>
        <v>1246.3</v>
      </c>
      <c r="D29" s="630">
        <f ca="1"/>
        <v>1246.3</v>
      </c>
      <c r="E29" s="630">
        <f ca="1"/>
        <v>1246.3</v>
      </c>
      <c r="F29" s="630">
        <f ca="1"/>
        <v>1246.3</v>
      </c>
      <c r="G29" s="630">
        <f ca="1"/>
        <v>1246.3</v>
      </c>
      <c r="H29" s="630">
        <f ca="1"/>
        <v>1246.3</v>
      </c>
      <c r="I29" s="630">
        <f ca="1"/>
        <v>1246.3</v>
      </c>
      <c r="J29" s="630">
        <f ca="1"/>
        <v>1246.3</v>
      </c>
      <c r="K29" s="630">
        <f ca="1"/>
        <v>1246.3</v>
      </c>
      <c r="L29" s="630">
        <f ca="1"/>
        <v>1246.3</v>
      </c>
      <c r="M29" s="630">
        <f ca="1"/>
        <v>1246.3</v>
      </c>
      <c r="N29" s="631">
        <f ca="1"/>
        <v>1246.3</v>
      </c>
      <c r="O29" s="632">
        <f ca="1">SUM(C29:N29)</f>
        <v>14955.599999999997</v>
      </c>
    </row>
    <row r="30" spans="1:15" s="287" customFormat="1" ht="21" customHeight="1" thickBot="1">
      <c r="A30" s="329" t="str">
        <v>Previsões de pagamentos por meses</v>
      </c>
      <c r="B30" s="292"/>
      <c r="C30" s="633">
        <f t="array" ref="C30:N30" ca="1">C25:N25</f>
        <v>2193.8087963636362</v>
      </c>
      <c r="D30" s="633">
        <f ca="1"/>
        <v>1708.0444327272726</v>
      </c>
      <c r="E30" s="633">
        <f ca="1"/>
        <v>1708.0444327272726</v>
      </c>
      <c r="F30" s="633">
        <f ca="1"/>
        <v>2262.9676799999997</v>
      </c>
      <c r="G30" s="633">
        <f ca="1"/>
        <v>1732.4421599999998</v>
      </c>
      <c r="H30" s="633">
        <f ca="1"/>
        <v>1732.4421599999998</v>
      </c>
      <c r="I30" s="633">
        <f ca="1"/>
        <v>2262.9676799999997</v>
      </c>
      <c r="J30" s="633">
        <f ca="1"/>
        <v>1732.4421599999998</v>
      </c>
      <c r="K30" s="633">
        <f ca="1"/>
        <v>1732.4421599999998</v>
      </c>
      <c r="L30" s="633">
        <f ca="1"/>
        <v>2262.9676799999997</v>
      </c>
      <c r="M30" s="633">
        <f ca="1"/>
        <v>1732.4421599999998</v>
      </c>
      <c r="N30" s="634">
        <f ca="1"/>
        <v>1732.4421599999998</v>
      </c>
      <c r="O30" s="632">
        <f ca="1">SUM(C30:N30)</f>
        <v>22793.453661818181</v>
      </c>
    </row>
    <row r="31" spans="1:15" s="287" customFormat="1" ht="21" customHeight="1" thickBot="1">
      <c r="A31" s="330" t="str">
        <v>Tesourarias mensuais previstas</v>
      </c>
      <c r="B31" s="297"/>
      <c r="C31" s="635">
        <f t="array" ref="C31:N31" ca="1">C29:N29-C30:N30</f>
        <v>-947.50879636363629</v>
      </c>
      <c r="D31" s="635">
        <f ca="1"/>
        <v>-461.74443272727262</v>
      </c>
      <c r="E31" s="635">
        <f ca="1"/>
        <v>-461.74443272727262</v>
      </c>
      <c r="F31" s="635">
        <f ca="1"/>
        <v>-1016.6676799999998</v>
      </c>
      <c r="G31" s="635">
        <f ca="1"/>
        <v>-486.14215999999988</v>
      </c>
      <c r="H31" s="635">
        <f ca="1"/>
        <v>-486.14215999999988</v>
      </c>
      <c r="I31" s="635">
        <f ca="1"/>
        <v>-1016.6676799999998</v>
      </c>
      <c r="J31" s="635">
        <f ca="1"/>
        <v>-486.14215999999988</v>
      </c>
      <c r="K31" s="635">
        <f ca="1"/>
        <v>-486.14215999999988</v>
      </c>
      <c r="L31" s="635">
        <f ca="1"/>
        <v>-1016.6676799999998</v>
      </c>
      <c r="M31" s="635">
        <f ca="1"/>
        <v>-486.14215999999988</v>
      </c>
      <c r="N31" s="636">
        <f ca="1"/>
        <v>-486.14215999999988</v>
      </c>
      <c r="O31" s="637">
        <f ca="1">O29-O30</f>
        <v>-7837.8536618181843</v>
      </c>
    </row>
    <row r="32" spans="1:15" s="287" customFormat="1" ht="21" customHeight="1" thickBot="1">
      <c r="A32" s="332"/>
      <c r="B32" s="297"/>
      <c r="C32" s="298"/>
      <c r="D32" s="298"/>
      <c r="E32" s="298"/>
      <c r="F32" s="298"/>
      <c r="G32" s="298"/>
      <c r="H32" s="298"/>
      <c r="I32" s="298"/>
      <c r="J32" s="298"/>
      <c r="K32" s="298"/>
      <c r="L32" s="298"/>
      <c r="M32" s="298"/>
      <c r="N32" s="638"/>
      <c r="O32" s="639"/>
    </row>
    <row r="33" spans="1:15" s="301" customFormat="1" ht="21" customHeight="1" thickBot="1">
      <c r="A33" s="1205" t="str">
        <f>'Tesorería 0'!A33</f>
        <v>Disposto Apólice Crédito</v>
      </c>
      <c r="B33" s="1191">
        <f ca="1">'Tesorería 0'!N33</f>
        <v>0</v>
      </c>
      <c r="C33" s="1192">
        <f ca="1">IF(B35+C31-B33&gt;tesoreriasec,0,MIN(B33-B35-C31+tesoreriasec,Finançamento!$E$49))</f>
        <v>0</v>
      </c>
      <c r="D33" s="1193">
        <f ca="1">IF(C35+D31-C33&gt;tesoreriasec,0,MIN(C33-C35-D31+tesoreriasec,Finançamento!$E$49))</f>
        <v>0</v>
      </c>
      <c r="E33" s="1193">
        <f ca="1">IF(D35+E31-D33&gt;tesoreriasec,0,MIN(D33-D35-E31+tesoreriasec,Finançamento!$E$49))</f>
        <v>0</v>
      </c>
      <c r="F33" s="1193">
        <f ca="1">IF(E35+F31-E33&gt;tesoreriasec,0,MIN(E33-E35-F31+tesoreriasec,Finançamento!$E$49))</f>
        <v>0</v>
      </c>
      <c r="G33" s="1193">
        <f ca="1">IF(F35+G31-F33&gt;tesoreriasec,0,MIN(F33-F35-G31+tesoreriasec,Finançamento!$E$49))</f>
        <v>0</v>
      </c>
      <c r="H33" s="1193">
        <f ca="1">IF(G35+H31-G33&gt;tesoreriasec,0,MIN(G33-G35-H31+tesoreriasec,Finançamento!$E$49))</f>
        <v>0</v>
      </c>
      <c r="I33" s="1193">
        <f ca="1">IF(H35+I31-H33&gt;tesoreriasec,0,MIN(H33-H35-I31+tesoreriasec,Finançamento!$E$49))</f>
        <v>0</v>
      </c>
      <c r="J33" s="1193">
        <f ca="1">IF(I35+J31-I33&gt;tesoreriasec,0,MIN(I33-I35-J31+tesoreriasec,Finançamento!$E$49))</f>
        <v>0</v>
      </c>
      <c r="K33" s="1193">
        <f ca="1">IF(J35+K31-J33&gt;tesoreriasec,0,MIN(J33-J35-K31+tesoreriasec,Finançamento!$E$49))</f>
        <v>0</v>
      </c>
      <c r="L33" s="1193">
        <f ca="1">IF(K35+L31-K33&gt;tesoreriasec,0,MIN(K33-K35-L31+tesoreriasec,Finançamento!$E$49))</f>
        <v>0</v>
      </c>
      <c r="M33" s="1193">
        <f ca="1">IF(L35+M31-L33&gt;tesoreriasec,0,MIN(L33-L35-M31+tesoreriasec,Finançamento!$E$49))</f>
        <v>0</v>
      </c>
      <c r="N33" s="1194">
        <f ca="1">IF(M35+N31-M33&gt;tesoreriasec,0,MIN(M33-M35-N31+tesoreriasec,Finançamento!$E$49))</f>
        <v>0</v>
      </c>
      <c r="O33" s="1195"/>
    </row>
    <row r="34" spans="1:15" s="301" customFormat="1" ht="21" customHeight="1" thickBot="1">
      <c r="A34" s="1206"/>
      <c r="B34" s="1196"/>
      <c r="C34" s="1197"/>
      <c r="D34" s="1197"/>
      <c r="E34" s="1197"/>
      <c r="F34" s="1197"/>
      <c r="G34" s="1197"/>
      <c r="H34" s="1197"/>
      <c r="I34" s="1197"/>
      <c r="J34" s="1197"/>
      <c r="K34" s="1197"/>
      <c r="L34" s="1197"/>
      <c r="M34" s="1197"/>
      <c r="O34" s="1204"/>
    </row>
    <row r="35" spans="1:15" s="301" customFormat="1" ht="21" customHeight="1" thickBot="1">
      <c r="A35" s="1205" t="str">
        <f>'Tesorería 0'!A35</f>
        <v>Tesouraria acumulada</v>
      </c>
      <c r="B35" s="1199">
        <f ca="1">'Tesorería 0'!N35-(Finançamento!E9-Finançamento!E25+Finançamento!E19)</f>
        <v>-7289.1101818181842</v>
      </c>
      <c r="C35" s="1200">
        <f t="array" ref="C35:N35" ca="1">B35:M35+C31:N31+C33:N33-B33:M33</f>
        <v>-8236.6189781818211</v>
      </c>
      <c r="D35" s="1201">
        <f ca="1"/>
        <v>-8698.3634109090945</v>
      </c>
      <c r="E35" s="1201">
        <f ca="1"/>
        <v>-9160.1078436363678</v>
      </c>
      <c r="F35" s="1201">
        <f ca="1"/>
        <v>-10176.775523636368</v>
      </c>
      <c r="G35" s="1201">
        <f ca="1"/>
        <v>-10662.917683636368</v>
      </c>
      <c r="H35" s="1201">
        <f ca="1"/>
        <v>-11149.059843636367</v>
      </c>
      <c r="I35" s="1201">
        <f ca="1"/>
        <v>-12165.727523636368</v>
      </c>
      <c r="J35" s="1201">
        <f ca="1"/>
        <v>-12651.869683636367</v>
      </c>
      <c r="K35" s="1201">
        <f ca="1"/>
        <v>-13138.011843636366</v>
      </c>
      <c r="L35" s="1201">
        <f ca="1"/>
        <v>-14154.679523636367</v>
      </c>
      <c r="M35" s="1201">
        <f ca="1"/>
        <v>-14640.821683636366</v>
      </c>
      <c r="N35" s="1202">
        <f ca="1"/>
        <v>-15126.963843636366</v>
      </c>
      <c r="O35" s="1203"/>
    </row>
    <row r="36" spans="1:15" ht="18.75" customHeight="1">
      <c r="A36" s="5"/>
      <c r="B36" s="5"/>
    </row>
    <row r="37" spans="1:15" ht="18.75" customHeight="1">
      <c r="A37" s="5"/>
      <c r="B37" s="5"/>
    </row>
    <row r="38" spans="1:15" ht="18.75" customHeight="1">
      <c r="A38" s="320"/>
      <c r="B38" s="321"/>
      <c r="C38" s="318" t="str">
        <f t="array" ref="C38:D38">'Tesorería 0'!C38:D38</f>
        <v>Montante</v>
      </c>
      <c r="D38" s="319" t="str">
        <v>mes</v>
      </c>
    </row>
    <row r="39" spans="1:15" s="300" customFormat="1" ht="21.75" customHeight="1">
      <c r="A39" s="299"/>
      <c r="B39" s="317" t="str">
        <f t="array" ref="B39:B41">'Tesorería 0'!B39:B41</f>
        <v>Máximo descoberto no ano</v>
      </c>
      <c r="C39" s="1720">
        <f ca="1">MAX(C33:N33)*0-MIN(C35:N35,0)</f>
        <v>15126.963843636366</v>
      </c>
      <c r="D39" s="1187" t="str">
        <f ca="1">IF(C39&lt;&gt;0,INDEX(C4:N4,1,MATCH(-C39,C35:N35,0)),"")</f>
        <v>dezembro</v>
      </c>
      <c r="O39" s="301"/>
    </row>
    <row r="40" spans="1:15" s="300" customFormat="1" ht="18.75" customHeight="1">
      <c r="A40" s="299"/>
      <c r="B40" s="317" t="str">
        <v>Fluxo de caixa do periodo  (Cash Flow)</v>
      </c>
      <c r="C40" s="1721">
        <f ca="1">N35-B35+B33-N33</f>
        <v>-7837.8536618181815</v>
      </c>
      <c r="D40" s="1186"/>
      <c r="O40" s="301"/>
    </row>
    <row r="41" spans="1:15" s="300" customFormat="1" ht="21" customHeight="1">
      <c r="A41" s="299"/>
      <c r="B41" s="317" t="str">
        <v>Máxima tesouraria mensual</v>
      </c>
      <c r="C41" s="1722">
        <f ca="1">MAX(C35:N35)</f>
        <v>-8236.6189781818211</v>
      </c>
      <c r="D41" s="1187" t="str">
        <f ca="1">INDEX(C4:N4,1,MATCH(C41,C35:N35,0))</f>
        <v>janeiro</v>
      </c>
      <c r="O41" s="301"/>
    </row>
    <row r="42" spans="1:15" ht="18" customHeight="1">
      <c r="A42" s="5"/>
      <c r="B42" s="5"/>
    </row>
    <row r="43" spans="1:15">
      <c r="A43" s="5"/>
      <c r="B43" s="5"/>
    </row>
    <row r="44" spans="1:15" ht="15">
      <c r="A44" s="36"/>
      <c r="B44" s="36"/>
    </row>
    <row r="45" spans="1:15" ht="15">
      <c r="A45" s="36"/>
      <c r="B45" s="36"/>
    </row>
    <row r="46" spans="1:15" ht="15">
      <c r="A46" s="36"/>
      <c r="B46" s="36"/>
    </row>
    <row r="47" spans="1:15" ht="15">
      <c r="A47" s="36"/>
      <c r="B47" s="36"/>
    </row>
    <row r="48" spans="1:15" ht="15">
      <c r="A48" s="36"/>
      <c r="B48" s="36"/>
    </row>
    <row r="49" spans="1:2" ht="15">
      <c r="A49" s="36"/>
      <c r="B49" s="36"/>
    </row>
    <row r="50" spans="1:2" ht="15">
      <c r="A50" s="36"/>
      <c r="B50" s="36"/>
    </row>
    <row r="51" spans="1:2" ht="15">
      <c r="A51" s="36"/>
      <c r="B51" s="36"/>
    </row>
    <row r="52" spans="1:2" ht="15">
      <c r="A52" s="36"/>
      <c r="B52" s="36"/>
    </row>
    <row r="53" spans="1:2" ht="15">
      <c r="A53" s="36"/>
      <c r="B53" s="36"/>
    </row>
    <row r="54" spans="1:2" ht="15">
      <c r="A54" s="36"/>
      <c r="B54" s="36"/>
    </row>
    <row r="55" spans="1:2" ht="15">
      <c r="A55" s="36"/>
      <c r="B55" s="36"/>
    </row>
    <row r="56" spans="1:2" ht="15">
      <c r="A56" s="36"/>
      <c r="B56" s="36"/>
    </row>
    <row r="57" spans="1:2" ht="15">
      <c r="A57" s="36"/>
      <c r="B57" s="36"/>
    </row>
    <row r="58" spans="1:2" ht="15">
      <c r="A58" s="36"/>
      <c r="B58" s="36"/>
    </row>
    <row r="59" spans="1:2" ht="15">
      <c r="A59" s="36"/>
      <c r="B59" s="36"/>
    </row>
    <row r="60" spans="1:2" ht="15">
      <c r="A60" s="36"/>
      <c r="B60" s="36"/>
    </row>
  </sheetData>
  <sheetProtection sheet="1" objects="1" scenarios="1"/>
  <phoneticPr fontId="4" type="noConversion"/>
  <printOptions horizontalCentered="1" verticalCentered="1"/>
  <pageMargins left="0.19685039370078741" right="0.19685039370078741" top="0.39370078740157483" bottom="0.39370078740157483" header="0.11811023622047245" footer="0.11811023622047245"/>
  <pageSetup paperSize="9" scale="68" orientation="landscape" horizontalDpi="300" verticalDpi="300" r:id="rId1"/>
  <headerFooter alignWithMargins="0">
    <oddFooter>&amp;C&amp;"Tahoma,Normal"&amp;10&amp;A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32">
    <tabColor indexed="43"/>
    <pageSetUpPr fitToPage="1"/>
  </sheetPr>
  <dimension ref="A1:O60"/>
  <sheetViews>
    <sheetView workbookViewId="0"/>
  </sheetViews>
  <sheetFormatPr baseColWidth="10" defaultColWidth="11" defaultRowHeight="12.75"/>
  <cols>
    <col min="1" max="1" width="29.25" style="88" customWidth="1"/>
    <col min="2" max="2" width="12" style="88" customWidth="1"/>
    <col min="3" max="3" width="11.875" style="88" customWidth="1"/>
    <col min="4" max="4" width="13.125" style="88" customWidth="1"/>
    <col min="5" max="5" width="13.5" style="88" customWidth="1"/>
    <col min="6" max="6" width="12" style="88" bestFit="1" customWidth="1"/>
    <col min="7" max="7" width="11.75" style="88" customWidth="1"/>
    <col min="8" max="8" width="12.25" style="88" bestFit="1" customWidth="1"/>
    <col min="9" max="9" width="11.75" style="88" bestFit="1" customWidth="1"/>
    <col min="10" max="10" width="12.125" style="88" customWidth="1"/>
    <col min="11" max="11" width="12.25" style="88" bestFit="1" customWidth="1"/>
    <col min="12" max="12" width="12" style="88" bestFit="1" customWidth="1"/>
    <col min="13" max="13" width="11.625" style="88" bestFit="1" customWidth="1"/>
    <col min="14" max="14" width="12" style="88" bestFit="1" customWidth="1"/>
    <col min="15" max="15" width="12.125" style="287" bestFit="1" customWidth="1"/>
    <col min="16" max="16384" width="11" style="88"/>
  </cols>
  <sheetData>
    <row r="1" spans="1:15" ht="22.5">
      <c r="A1" s="302" t="str">
        <f>'Tesorería 0'!A1</f>
        <v>Previsões de Cobranças e Pagamentos: Previsões de Tesouraria</v>
      </c>
      <c r="B1" s="283"/>
      <c r="E1" s="285"/>
      <c r="F1" s="2731" t="str">
        <f>Parametros!D$77</f>
        <v>Ano 2:  2028</v>
      </c>
      <c r="G1" s="304"/>
      <c r="H1" s="285"/>
      <c r="I1" s="168"/>
      <c r="J1" s="286"/>
      <c r="K1" s="168"/>
    </row>
    <row r="2" spans="1:15" ht="25.5">
      <c r="A2" s="303" t="str">
        <f>'Dados Básicos'!B9</f>
        <v>WWW, S.L.</v>
      </c>
      <c r="B2" s="288"/>
      <c r="D2" s="282"/>
      <c r="F2" s="285"/>
      <c r="G2" s="168"/>
      <c r="H2" s="168"/>
      <c r="I2" s="168"/>
      <c r="J2" s="168"/>
      <c r="K2" s="168"/>
    </row>
    <row r="3" spans="1:15" ht="15.75" thickBot="1">
      <c r="A3" s="36"/>
      <c r="B3" s="36"/>
    </row>
    <row r="4" spans="1:15" s="289" customFormat="1" ht="18" customHeight="1" thickBot="1">
      <c r="A4" s="322" t="s">
        <v>0</v>
      </c>
      <c r="B4" s="305"/>
      <c r="C4" s="306" t="str">
        <f t="array" ref="C4:N4">meses</f>
        <v>janeiro</v>
      </c>
      <c r="D4" s="306" t="str">
        <v>fevereiro</v>
      </c>
      <c r="E4" s="306" t="str">
        <v>março</v>
      </c>
      <c r="F4" s="306" t="str">
        <v>abril</v>
      </c>
      <c r="G4" s="306" t="str">
        <v>maio</v>
      </c>
      <c r="H4" s="306" t="str">
        <v>junho</v>
      </c>
      <c r="I4" s="306" t="str">
        <v>julho</v>
      </c>
      <c r="J4" s="306" t="str">
        <v>agosto</v>
      </c>
      <c r="K4" s="306" t="str">
        <v>setembro</v>
      </c>
      <c r="L4" s="306" t="str">
        <v>outubro</v>
      </c>
      <c r="M4" s="306" t="str">
        <v>novembro</v>
      </c>
      <c r="N4" s="310" t="str">
        <v>dezembro</v>
      </c>
      <c r="O4" s="311" t="s">
        <v>3</v>
      </c>
    </row>
    <row r="5" spans="1:15" s="289" customFormat="1" ht="18" customHeight="1" thickBot="1">
      <c r="A5" s="309" t="str">
        <f t="array" ref="A5:A11">'Resumo Tesourarias'!A4:A10</f>
        <v>COBRANÇAS</v>
      </c>
      <c r="B5" s="290"/>
      <c r="C5" s="290"/>
      <c r="D5" s="290"/>
      <c r="E5" s="290"/>
      <c r="F5" s="290"/>
      <c r="G5" s="290"/>
      <c r="H5" s="290"/>
      <c r="I5" s="290"/>
      <c r="J5" s="290"/>
      <c r="K5" s="290"/>
      <c r="L5" s="290"/>
      <c r="M5" s="290"/>
      <c r="O5" s="312"/>
    </row>
    <row r="6" spans="1:15" ht="21" customHeight="1">
      <c r="A6" s="1190" t="str">
        <v>Cobranças de vendas</v>
      </c>
      <c r="B6" s="326"/>
      <c r="C6" s="1220">
        <f t="array" aca="1" ref="C6:N6" ca="1">'Receitas e pagamentos 2'!B28:M28</f>
        <v>1347.8734499999998</v>
      </c>
      <c r="D6" s="1220">
        <f ca="1"/>
        <v>1347.8734499999998</v>
      </c>
      <c r="E6" s="1220">
        <f ca="1"/>
        <v>1347.8734499999998</v>
      </c>
      <c r="F6" s="1220">
        <f ca="1"/>
        <v>1347.8734499999998</v>
      </c>
      <c r="G6" s="1220">
        <f ca="1"/>
        <v>1347.8734499999998</v>
      </c>
      <c r="H6" s="1220">
        <f ca="1"/>
        <v>1347.8734499999998</v>
      </c>
      <c r="I6" s="1220">
        <f ca="1"/>
        <v>1347.8734499999998</v>
      </c>
      <c r="J6" s="1220">
        <f ca="1"/>
        <v>1347.8734499999998</v>
      </c>
      <c r="K6" s="1220">
        <f ca="1"/>
        <v>1347.8734499999998</v>
      </c>
      <c r="L6" s="1220">
        <f ca="1"/>
        <v>1347.8734499999998</v>
      </c>
      <c r="M6" s="1220">
        <f ca="1"/>
        <v>1347.8734499999998</v>
      </c>
      <c r="N6" s="1221">
        <f ca="1"/>
        <v>1347.8734499999998</v>
      </c>
      <c r="O6" s="1222">
        <f t="shared" ref="O6:O11" ca="1" si="0">SUM(C6:N6)</f>
        <v>16174.481399999995</v>
      </c>
    </row>
    <row r="7" spans="1:15" ht="21" customHeight="1">
      <c r="A7" s="1189" t="str">
        <v>Cobranças pendentes / Cobranças atrasadas</v>
      </c>
      <c r="B7" s="291"/>
      <c r="C7" s="1224">
        <f t="array" aca="1" ref="C7:N7" ca="1">+recmorosos*'Receitas e pagamentos 1'!$S$31/12
+Finançamento!$F$19*Parametros!B55:M55</f>
        <v>0</v>
      </c>
      <c r="D7" s="1224">
        <f ca="1"/>
        <v>0</v>
      </c>
      <c r="E7" s="1224">
        <f ca="1"/>
        <v>0</v>
      </c>
      <c r="F7" s="1224">
        <f ca="1"/>
        <v>0</v>
      </c>
      <c r="G7" s="1224">
        <f ca="1"/>
        <v>0</v>
      </c>
      <c r="H7" s="1224">
        <f ca="1"/>
        <v>0</v>
      </c>
      <c r="I7" s="1224">
        <f ca="1"/>
        <v>0</v>
      </c>
      <c r="J7" s="1224">
        <f ca="1"/>
        <v>0</v>
      </c>
      <c r="K7" s="1224">
        <f ca="1"/>
        <v>0</v>
      </c>
      <c r="L7" s="1224">
        <f ca="1"/>
        <v>0</v>
      </c>
      <c r="M7" s="1224">
        <f ca="1"/>
        <v>0</v>
      </c>
      <c r="N7" s="1225">
        <f ca="1"/>
        <v>0</v>
      </c>
      <c r="O7" s="1226">
        <f t="shared" ca="1" si="0"/>
        <v>0</v>
      </c>
    </row>
    <row r="8" spans="1:15" ht="21" customHeight="1">
      <c r="A8" s="1189" t="str">
        <v>Outras entradas</v>
      </c>
      <c r="B8" s="327"/>
      <c r="C8" s="1224">
        <v>0</v>
      </c>
      <c r="D8" s="1224">
        <v>0</v>
      </c>
      <c r="E8" s="1224">
        <v>0</v>
      </c>
      <c r="F8" s="1224">
        <v>0</v>
      </c>
      <c r="G8" s="1224">
        <v>0</v>
      </c>
      <c r="H8" s="1224">
        <v>0</v>
      </c>
      <c r="I8" s="1224">
        <v>0</v>
      </c>
      <c r="J8" s="1224">
        <f ca="1">IF('IRS Singulares'!L26&lt;0,-'IRS Singulares'!L26*'IRS Singulares'!L20,0)</f>
        <v>0</v>
      </c>
      <c r="K8" s="1224">
        <v>0</v>
      </c>
      <c r="L8" s="1224">
        <v>0</v>
      </c>
      <c r="M8" s="1224">
        <v>0</v>
      </c>
      <c r="N8" s="1225">
        <f ca="1">IF('IRC Coletivas'!$D$23&lt;0,-'IRC Coletivas'!$D$23,0)</f>
        <v>0</v>
      </c>
      <c r="O8" s="1226">
        <f t="shared" ca="1" si="0"/>
        <v>0</v>
      </c>
    </row>
    <row r="9" spans="1:15" ht="21" customHeight="1">
      <c r="A9" s="1189" t="str">
        <v>Devoluções de IVA</v>
      </c>
      <c r="B9" s="327"/>
      <c r="C9" s="1224">
        <f t="array" ref="C9:N9">'IVA 2'!C26:N26</f>
        <v>0</v>
      </c>
      <c r="D9" s="1224">
        <v>0</v>
      </c>
      <c r="E9" s="1224">
        <v>0</v>
      </c>
      <c r="F9" s="1224">
        <v>0</v>
      </c>
      <c r="G9" s="1224">
        <v>0</v>
      </c>
      <c r="H9" s="1224">
        <f ca="1"/>
        <v>0</v>
      </c>
      <c r="I9" s="1224">
        <v>0</v>
      </c>
      <c r="J9" s="1224">
        <v>0</v>
      </c>
      <c r="K9" s="1224">
        <v>0</v>
      </c>
      <c r="L9" s="1224">
        <v>0</v>
      </c>
      <c r="M9" s="1224">
        <v>0</v>
      </c>
      <c r="N9" s="1225">
        <v>0</v>
      </c>
      <c r="O9" s="1226">
        <f t="shared" ca="1" si="0"/>
        <v>0</v>
      </c>
    </row>
    <row r="10" spans="1:15" ht="21" customHeight="1">
      <c r="A10" s="1189" t="str">
        <v>Receitas financeiras</v>
      </c>
      <c r="B10" s="327"/>
      <c r="C10" s="1224">
        <f t="array" ref="C10:N10" ca="1">'Despesas Financeiras'!C97:N97</f>
        <v>0</v>
      </c>
      <c r="D10" s="1224">
        <f ca="1"/>
        <v>0</v>
      </c>
      <c r="E10" s="1224">
        <f ca="1"/>
        <v>0</v>
      </c>
      <c r="F10" s="1224">
        <f ca="1"/>
        <v>0</v>
      </c>
      <c r="G10" s="1224">
        <f ca="1"/>
        <v>0</v>
      </c>
      <c r="H10" s="1224">
        <f ca="1"/>
        <v>0</v>
      </c>
      <c r="I10" s="1224">
        <f ca="1"/>
        <v>0</v>
      </c>
      <c r="J10" s="1224">
        <f ca="1"/>
        <v>0</v>
      </c>
      <c r="K10" s="1224">
        <f ca="1"/>
        <v>0</v>
      </c>
      <c r="L10" s="1224">
        <f ca="1"/>
        <v>0</v>
      </c>
      <c r="M10" s="1224">
        <f ca="1"/>
        <v>0</v>
      </c>
      <c r="N10" s="1225">
        <f ca="1"/>
        <v>0</v>
      </c>
      <c r="O10" s="1226">
        <f t="shared" ca="1" si="0"/>
        <v>0</v>
      </c>
    </row>
    <row r="11" spans="1:15" s="287" customFormat="1" ht="21" customHeight="1" thickBot="1">
      <c r="A11" s="325" t="str">
        <v>Total COBRANÇAS</v>
      </c>
      <c r="B11" s="292"/>
      <c r="C11" s="1227">
        <f ca="1">SUM(C6:C10)</f>
        <v>1347.8734499999998</v>
      </c>
      <c r="D11" s="1227">
        <f t="shared" ref="D11:K11" ca="1" si="1">SUM(D6:D10)</f>
        <v>1347.8734499999998</v>
      </c>
      <c r="E11" s="1227">
        <f t="shared" ca="1" si="1"/>
        <v>1347.8734499999998</v>
      </c>
      <c r="F11" s="1227">
        <f t="shared" ca="1" si="1"/>
        <v>1347.8734499999998</v>
      </c>
      <c r="G11" s="1227">
        <f t="shared" ca="1" si="1"/>
        <v>1347.8734499999998</v>
      </c>
      <c r="H11" s="1227">
        <f t="shared" ca="1" si="1"/>
        <v>1347.8734499999998</v>
      </c>
      <c r="I11" s="1227">
        <f t="shared" ca="1" si="1"/>
        <v>1347.8734499999998</v>
      </c>
      <c r="J11" s="1227">
        <f t="shared" ca="1" si="1"/>
        <v>1347.8734499999998</v>
      </c>
      <c r="K11" s="1227">
        <f t="shared" ca="1" si="1"/>
        <v>1347.8734499999998</v>
      </c>
      <c r="L11" s="1227">
        <f ca="1">SUM(L6:L10)</f>
        <v>1347.8734499999998</v>
      </c>
      <c r="M11" s="1227">
        <f ca="1">SUM(M6:M10)</f>
        <v>1347.8734499999998</v>
      </c>
      <c r="N11" s="1228">
        <f ca="1">SUM(N6:N10)</f>
        <v>1347.8734499999998</v>
      </c>
      <c r="O11" s="1229">
        <f t="shared" ca="1" si="0"/>
        <v>16174.481399999995</v>
      </c>
    </row>
    <row r="12" spans="1:15" s="287" customFormat="1" ht="9.75" customHeight="1">
      <c r="A12" s="307"/>
      <c r="B12" s="293"/>
      <c r="C12" s="293"/>
      <c r="D12" s="293"/>
      <c r="E12" s="293"/>
      <c r="F12" s="293"/>
      <c r="G12" s="293"/>
      <c r="H12" s="293"/>
      <c r="I12" s="293"/>
      <c r="J12" s="293"/>
      <c r="K12" s="293"/>
      <c r="L12" s="293"/>
      <c r="M12" s="293"/>
      <c r="N12" s="293"/>
      <c r="O12" s="313"/>
    </row>
    <row r="13" spans="1:15" s="287" customFormat="1" ht="21" customHeight="1" thickBot="1">
      <c r="A13" s="309" t="str">
        <f t="array" ref="A13:A17">'Resumo Tesourarias'!A12:A16</f>
        <v>PAGAMENTOS</v>
      </c>
      <c r="B13" s="294"/>
      <c r="C13" s="294"/>
      <c r="D13" s="294"/>
      <c r="E13" s="294"/>
      <c r="F13" s="294"/>
      <c r="G13" s="294"/>
      <c r="H13" s="294"/>
      <c r="I13" s="294"/>
      <c r="J13" s="294"/>
      <c r="K13" s="294"/>
      <c r="L13" s="294"/>
      <c r="M13" s="294"/>
      <c r="N13" s="294"/>
      <c r="O13" s="314"/>
    </row>
    <row r="14" spans="1:15" s="301" customFormat="1" ht="21" customHeight="1">
      <c r="A14" s="1214" t="str">
        <v>Pagamentos de Gastos Fixos ( IVA incl.)</v>
      </c>
      <c r="B14" s="1208"/>
      <c r="C14" s="1230">
        <f ca="1">'G.F. 2'!B58+'G.F. 2'!B60</f>
        <v>1599.6009044</v>
      </c>
      <c r="D14" s="1230">
        <f ca="1">'G.F. 2'!C58+'G.F. 2'!C60</f>
        <v>1599.6009044</v>
      </c>
      <c r="E14" s="1230">
        <f ca="1">'G.F. 2'!D58+'G.F. 2'!D60</f>
        <v>1599.6009044</v>
      </c>
      <c r="F14" s="1230">
        <f ca="1">'G.F. 2'!E58+'G.F. 2'!E60</f>
        <v>1619.5378419000001</v>
      </c>
      <c r="G14" s="1230">
        <f ca="1">'G.F. 2'!F58+'G.F. 2'!F60</f>
        <v>1619.5378419000001</v>
      </c>
      <c r="H14" s="1230">
        <f ca="1">'G.F. 2'!G58+'G.F. 2'!G60</f>
        <v>1619.5378419000001</v>
      </c>
      <c r="I14" s="1230">
        <f ca="1">'G.F. 2'!H58+'G.F. 2'!H60</f>
        <v>1619.5378419000001</v>
      </c>
      <c r="J14" s="1230">
        <f ca="1">'G.F. 2'!I58+'G.F. 2'!I60</f>
        <v>1619.5378419000001</v>
      </c>
      <c r="K14" s="1230">
        <f ca="1">'G.F. 2'!J58+'G.F. 2'!J60</f>
        <v>1619.5378419000001</v>
      </c>
      <c r="L14" s="1230">
        <f ca="1">'G.F. 2'!K58+'G.F. 2'!K60</f>
        <v>1619.5378419000001</v>
      </c>
      <c r="M14" s="1230">
        <f ca="1">'G.F. 2'!L58+'G.F. 2'!L60</f>
        <v>1619.5378419000001</v>
      </c>
      <c r="N14" s="1231">
        <f ca="1">'G.F. 2'!M58+'G.F. 2'!M60</f>
        <v>1619.5378419000001</v>
      </c>
      <c r="O14" s="1232">
        <f ca="1">SUM(C14:N14)</f>
        <v>19374.643290300002</v>
      </c>
    </row>
    <row r="15" spans="1:15" s="300" customFormat="1" ht="21" customHeight="1">
      <c r="A15" s="1215" t="str">
        <v>Pagamento de compras e Custos Variables  ( IVA incl.)</v>
      </c>
      <c r="B15" s="1209"/>
      <c r="C15" s="1233">
        <f t="array" aca="1" ref="C15:N15" ca="1">'Receitas e pagamentos 2'!B55:M55</f>
        <v>188.70228300000002</v>
      </c>
      <c r="D15" s="1233">
        <f ca="1"/>
        <v>188.70228300000002</v>
      </c>
      <c r="E15" s="1233">
        <f ca="1"/>
        <v>188.70228300000002</v>
      </c>
      <c r="F15" s="1233">
        <f ca="1"/>
        <v>188.70228300000002</v>
      </c>
      <c r="G15" s="1233">
        <f ca="1"/>
        <v>188.70228300000002</v>
      </c>
      <c r="H15" s="1233">
        <f ca="1"/>
        <v>188.70228300000002</v>
      </c>
      <c r="I15" s="1233">
        <f ca="1"/>
        <v>188.70228300000002</v>
      </c>
      <c r="J15" s="1233">
        <f ca="1"/>
        <v>188.70228300000002</v>
      </c>
      <c r="K15" s="1233">
        <f ca="1"/>
        <v>188.70228300000002</v>
      </c>
      <c r="L15" s="1233">
        <f ca="1"/>
        <v>188.70228300000002</v>
      </c>
      <c r="M15" s="1233">
        <f ca="1"/>
        <v>188.70228300000002</v>
      </c>
      <c r="N15" s="1234">
        <f ca="1"/>
        <v>188.70228300000002</v>
      </c>
      <c r="O15" s="1235">
        <f ca="1">SUM(C15:N15)</f>
        <v>2264.4273960000005</v>
      </c>
    </row>
    <row r="16" spans="1:15" s="300" customFormat="1" ht="21" customHeight="1">
      <c r="A16" s="1215" t="str">
        <v>Pagamentos de Gastos Financieros</v>
      </c>
      <c r="B16" s="1209"/>
      <c r="C16" s="1233">
        <f t="array" ref="C16:N16" ca="1">'Despesas Financeiras'!C49:N49+'Despesas Financeiras'!C45:N45*Parametros!$F$33*0</f>
        <v>13.478734499999998</v>
      </c>
      <c r="D16" s="1233">
        <f ca="1"/>
        <v>13.478734499999998</v>
      </c>
      <c r="E16" s="1233">
        <f ca="1"/>
        <v>13.478734499999998</v>
      </c>
      <c r="F16" s="1233">
        <f ca="1"/>
        <v>13.478734499999998</v>
      </c>
      <c r="G16" s="1233">
        <f ca="1"/>
        <v>13.478734499999998</v>
      </c>
      <c r="H16" s="1233">
        <f ca="1"/>
        <v>13.478734499999998</v>
      </c>
      <c r="I16" s="1233">
        <f ca="1"/>
        <v>13.478734499999998</v>
      </c>
      <c r="J16" s="1233">
        <f ca="1"/>
        <v>13.478734499999998</v>
      </c>
      <c r="K16" s="1233">
        <f ca="1"/>
        <v>13.478734499999998</v>
      </c>
      <c r="L16" s="1233">
        <f ca="1"/>
        <v>13.478734499999998</v>
      </c>
      <c r="M16" s="1233">
        <f ca="1"/>
        <v>13.478734499999998</v>
      </c>
      <c r="N16" s="1234">
        <f ca="1"/>
        <v>13.478734499999998</v>
      </c>
      <c r="O16" s="1235">
        <f ca="1">SUM(C16:N16)</f>
        <v>161.74481399999999</v>
      </c>
    </row>
    <row r="17" spans="1:15" s="300" customFormat="1" ht="21" customHeight="1">
      <c r="A17" s="1215" t="str">
        <v>Pagamentos de IVA de cuotas de Leasing / Renting</v>
      </c>
      <c r="B17" s="1209"/>
      <c r="C17" s="1233">
        <f t="array" ref="C17:N17">+Leasing!B40:M40+Renting!B38:M40</f>
        <v>0</v>
      </c>
      <c r="D17" s="1233">
        <v>0</v>
      </c>
      <c r="E17" s="1233">
        <v>0</v>
      </c>
      <c r="F17" s="1233">
        <v>0</v>
      </c>
      <c r="G17" s="1233">
        <v>0</v>
      </c>
      <c r="H17" s="1233">
        <v>0</v>
      </c>
      <c r="I17" s="1233">
        <v>0</v>
      </c>
      <c r="J17" s="1233">
        <v>0</v>
      </c>
      <c r="K17" s="1233">
        <v>0</v>
      </c>
      <c r="L17" s="1233">
        <v>0</v>
      </c>
      <c r="M17" s="1233">
        <v>0</v>
      </c>
      <c r="N17" s="1234">
        <v>0</v>
      </c>
      <c r="O17" s="1235">
        <f>SUM(C17:N17)</f>
        <v>0</v>
      </c>
    </row>
    <row r="18" spans="1:15" s="300" customFormat="1" ht="9.75" customHeight="1">
      <c r="A18" s="1216"/>
      <c r="C18" s="1775"/>
      <c r="D18" s="1776"/>
      <c r="E18" s="1777"/>
      <c r="F18" s="1776"/>
      <c r="G18" s="1776"/>
      <c r="H18" s="1776"/>
      <c r="I18" s="1776"/>
      <c r="J18" s="1776"/>
      <c r="K18" s="1776"/>
      <c r="L18" s="1776"/>
      <c r="M18" s="1776"/>
      <c r="N18" s="1778"/>
      <c r="O18" s="1779"/>
    </row>
    <row r="19" spans="1:15" s="300" customFormat="1" ht="21" customHeight="1">
      <c r="A19" s="1218" t="s">
        <v>91</v>
      </c>
      <c r="B19" s="1210"/>
      <c r="C19" s="1236"/>
      <c r="D19" s="1237"/>
      <c r="E19" s="1238"/>
      <c r="F19" s="1237"/>
      <c r="G19" s="1237"/>
      <c r="H19" s="1237"/>
      <c r="I19" s="1237"/>
      <c r="J19" s="1237"/>
      <c r="K19" s="1237"/>
      <c r="L19" s="1237"/>
      <c r="M19" s="1237"/>
      <c r="N19" s="1239"/>
      <c r="O19" s="1240"/>
    </row>
    <row r="20" spans="1:15" s="300" customFormat="1" ht="21" customHeight="1">
      <c r="A20" s="1215" t="str">
        <f t="array" ref="A20:A25">'Resumo Tesourarias'!A17:A22</f>
        <v>Devolução de principal de empréstimos / Leasing</v>
      </c>
      <c r="B20" s="1209"/>
      <c r="C20" s="1233">
        <f t="array" ref="C20:N20">Empréstimos!B40:M40+Leasing!B39:M39</f>
        <v>0</v>
      </c>
      <c r="D20" s="1233">
        <v>0</v>
      </c>
      <c r="E20" s="1233">
        <v>0</v>
      </c>
      <c r="F20" s="1233">
        <v>0</v>
      </c>
      <c r="G20" s="1233">
        <v>0</v>
      </c>
      <c r="H20" s="1233">
        <v>0</v>
      </c>
      <c r="I20" s="1233">
        <v>0</v>
      </c>
      <c r="J20" s="1233">
        <v>0</v>
      </c>
      <c r="K20" s="1233">
        <v>0</v>
      </c>
      <c r="L20" s="1233">
        <v>0</v>
      </c>
      <c r="M20" s="1233">
        <v>0</v>
      </c>
      <c r="N20" s="1234">
        <v>0</v>
      </c>
      <c r="O20" s="1235">
        <f>SUM(C20:N20)</f>
        <v>0</v>
      </c>
    </row>
    <row r="21" spans="1:15" s="300" customFormat="1" ht="21" customHeight="1">
      <c r="A21" s="1215" t="str">
        <v>Outras saidas da caixa</v>
      </c>
      <c r="B21" s="1209"/>
      <c r="C21" s="1233">
        <v>0</v>
      </c>
      <c r="D21" s="1233">
        <v>0</v>
      </c>
      <c r="E21" s="1233">
        <v>0</v>
      </c>
      <c r="F21" s="1233">
        <v>0</v>
      </c>
      <c r="G21" s="1233">
        <v>0</v>
      </c>
      <c r="H21" s="1233">
        <v>0</v>
      </c>
      <c r="I21" s="1233">
        <v>0</v>
      </c>
      <c r="J21" s="1233">
        <v>0</v>
      </c>
      <c r="K21" s="1233">
        <v>0</v>
      </c>
      <c r="L21" s="1233">
        <v>0</v>
      </c>
      <c r="M21" s="1233">
        <v>0</v>
      </c>
      <c r="N21" s="1234">
        <v>0</v>
      </c>
      <c r="O21" s="1235">
        <f>SUM(C21:N21)</f>
        <v>0</v>
      </c>
    </row>
    <row r="22" spans="1:15" s="300" customFormat="1" ht="21" customHeight="1">
      <c r="A22" s="1215" t="str">
        <v>Liquidações de IVA</v>
      </c>
      <c r="B22" s="1209"/>
      <c r="C22" s="1233">
        <f t="array" ref="C22:N22" ca="1">'IVA 2'!C24:N24</f>
        <v>530.52551999999991</v>
      </c>
      <c r="D22" s="1233">
        <v>0</v>
      </c>
      <c r="E22" s="1233">
        <v>0</v>
      </c>
      <c r="F22" s="1233">
        <f ca="1"/>
        <v>573.82860779999987</v>
      </c>
      <c r="G22" s="1233">
        <v>0</v>
      </c>
      <c r="H22" s="1233">
        <v>0</v>
      </c>
      <c r="I22" s="1233">
        <f ca="1"/>
        <v>573.82860779999987</v>
      </c>
      <c r="J22" s="1233">
        <v>0</v>
      </c>
      <c r="K22" s="1233">
        <v>0</v>
      </c>
      <c r="L22" s="1233">
        <f ca="1"/>
        <v>573.82860779999987</v>
      </c>
      <c r="M22" s="1233">
        <v>0</v>
      </c>
      <c r="N22" s="1234">
        <v>0</v>
      </c>
      <c r="O22" s="1235">
        <f ca="1">SUM(C22:N22)</f>
        <v>2252.0113433999995</v>
      </c>
    </row>
    <row r="23" spans="1:15" s="300" customFormat="1" ht="21" customHeight="1">
      <c r="A23" s="1215" t="str">
        <v>Otros Pagamentos ( I.R.C. / I.R.S. )</v>
      </c>
      <c r="B23" s="1209"/>
      <c r="C23" s="1233">
        <f ca="1">'Ret IRS'!N22</f>
        <v>0</v>
      </c>
      <c r="D23" s="1233"/>
      <c r="E23" s="1233"/>
      <c r="F23" s="1233">
        <f ca="1">'IRC Coletivas'!G18+'Ret IRS'!E31</f>
        <v>0</v>
      </c>
      <c r="G23" s="1233"/>
      <c r="H23" s="1233">
        <f ca="1">IF('IRS Singulares'!L26&lt;0,0,'IRS Singulares'!L26*'IRS Singulares'!L20)</f>
        <v>0</v>
      </c>
      <c r="I23" s="1233">
        <f ca="1">IF('IRC Coletivas'!D23&gt;0,'IRC Coletivas'!D23,0)+'Ret IRS'!H31
+'IRC Coletivas'!$D$32/2</f>
        <v>0</v>
      </c>
      <c r="J23" s="1233"/>
      <c r="K23" s="1233"/>
      <c r="L23" s="1233">
        <f ca="1">'IRC Coletivas'!G19+'Ret IRS'!K31</f>
        <v>0</v>
      </c>
      <c r="M23" s="1233"/>
      <c r="N23" s="1234">
        <f ca="1">'IRC Coletivas'!G20
+'IRC Coletivas'!$D$32/2</f>
        <v>0</v>
      </c>
      <c r="O23" s="1235">
        <f ca="1">SUM(C23:N23)</f>
        <v>0</v>
      </c>
    </row>
    <row r="24" spans="1:15" s="300" customFormat="1" ht="21" customHeight="1">
      <c r="A24" s="1215" t="str">
        <v>Outros pagamentos a creedores L/P</v>
      </c>
      <c r="B24" s="1209"/>
      <c r="C24" s="1233">
        <f t="array" ref="C24:N24">'Otros cobros y pagos'!B84:M84</f>
        <v>0</v>
      </c>
      <c r="D24" s="1233">
        <v>0</v>
      </c>
      <c r="E24" s="1233">
        <v>0</v>
      </c>
      <c r="F24" s="1233">
        <v>0</v>
      </c>
      <c r="G24" s="1233">
        <v>0</v>
      </c>
      <c r="H24" s="1233">
        <v>0</v>
      </c>
      <c r="I24" s="1233">
        <v>0</v>
      </c>
      <c r="J24" s="1233">
        <v>0</v>
      </c>
      <c r="K24" s="1233">
        <v>0</v>
      </c>
      <c r="L24" s="1233">
        <v>0</v>
      </c>
      <c r="M24" s="1233">
        <v>0</v>
      </c>
      <c r="N24" s="1234">
        <v>0</v>
      </c>
      <c r="O24" s="1235">
        <f>SUM(C24:N24)</f>
        <v>0</v>
      </c>
    </row>
    <row r="25" spans="1:15" s="301" customFormat="1" ht="21" customHeight="1" thickBot="1">
      <c r="A25" s="1219" t="str">
        <v>Total PAGAMENTOS</v>
      </c>
      <c r="B25" s="1213"/>
      <c r="C25" s="1241">
        <f t="shared" ref="C25:N25" ca="1" si="2">SUM(C14:C24)</f>
        <v>2332.3074419</v>
      </c>
      <c r="D25" s="1241">
        <f t="shared" ca="1" si="2"/>
        <v>1801.7819219</v>
      </c>
      <c r="E25" s="1241">
        <f t="shared" ca="1" si="2"/>
        <v>1801.7819219</v>
      </c>
      <c r="F25" s="1241">
        <f t="shared" ca="1" si="2"/>
        <v>2395.5474672</v>
      </c>
      <c r="G25" s="1241">
        <f t="shared" ca="1" si="2"/>
        <v>1821.7188594000002</v>
      </c>
      <c r="H25" s="1241">
        <f t="shared" ca="1" si="2"/>
        <v>1821.7188594000002</v>
      </c>
      <c r="I25" s="1241">
        <f t="shared" ca="1" si="2"/>
        <v>2395.5474672</v>
      </c>
      <c r="J25" s="1241">
        <f t="shared" ca="1" si="2"/>
        <v>1821.7188594000002</v>
      </c>
      <c r="K25" s="1241">
        <f t="shared" ca="1" si="2"/>
        <v>1821.7188594000002</v>
      </c>
      <c r="L25" s="1241">
        <f t="shared" ca="1" si="2"/>
        <v>2395.5474672</v>
      </c>
      <c r="M25" s="1241">
        <f t="shared" ca="1" si="2"/>
        <v>1821.7188594000002</v>
      </c>
      <c r="N25" s="1242">
        <f t="shared" ca="1" si="2"/>
        <v>1821.7188594000002</v>
      </c>
      <c r="O25" s="1243">
        <f ca="1">SUM(O14:O24)</f>
        <v>24052.826843700001</v>
      </c>
    </row>
    <row r="26" spans="1:15" s="287" customFormat="1" ht="21" customHeight="1">
      <c r="A26" s="307"/>
      <c r="B26" s="331"/>
      <c r="C26" s="296"/>
      <c r="D26" s="296"/>
      <c r="E26" s="296"/>
      <c r="F26" s="296"/>
      <c r="G26" s="296"/>
      <c r="H26" s="296"/>
      <c r="I26" s="296"/>
      <c r="J26" s="296"/>
      <c r="K26" s="296"/>
      <c r="L26" s="296"/>
      <c r="M26" s="296"/>
      <c r="O26" s="315"/>
    </row>
    <row r="27" spans="1:15" s="287" customFormat="1" ht="21" customHeight="1" thickBot="1">
      <c r="A27" s="307"/>
      <c r="B27" s="295"/>
      <c r="C27" s="296"/>
      <c r="D27" s="296"/>
      <c r="E27" s="296"/>
      <c r="F27" s="296"/>
      <c r="G27" s="296"/>
      <c r="H27" s="296"/>
      <c r="I27" s="296"/>
      <c r="J27" s="296"/>
      <c r="K27" s="296"/>
      <c r="L27" s="296"/>
      <c r="M27" s="296"/>
      <c r="O27" s="315"/>
    </row>
    <row r="28" spans="1:15" s="289" customFormat="1" ht="18" customHeight="1" thickBot="1">
      <c r="A28" s="328" t="str">
        <f t="array" ref="A28:A31">'Tesorería 0'!A28:A31</f>
        <v>Resumo de tesouraria</v>
      </c>
      <c r="B28" s="305"/>
      <c r="C28" s="306" t="str">
        <f t="array" ref="C28:N28">meses</f>
        <v>janeiro</v>
      </c>
      <c r="D28" s="306" t="str">
        <v>fevereiro</v>
      </c>
      <c r="E28" s="306" t="str">
        <v>março</v>
      </c>
      <c r="F28" s="306" t="str">
        <v>abril</v>
      </c>
      <c r="G28" s="306" t="str">
        <v>maio</v>
      </c>
      <c r="H28" s="306" t="str">
        <v>junho</v>
      </c>
      <c r="I28" s="306" t="str">
        <v>julho</v>
      </c>
      <c r="J28" s="306" t="str">
        <v>agosto</v>
      </c>
      <c r="K28" s="306" t="str">
        <v>setembro</v>
      </c>
      <c r="L28" s="306" t="str">
        <v>outubro</v>
      </c>
      <c r="M28" s="306" t="str">
        <v>novembro</v>
      </c>
      <c r="N28" s="310" t="str">
        <v>dezembro</v>
      </c>
      <c r="O28" s="311" t="str">
        <f>O4</f>
        <v>Total</v>
      </c>
    </row>
    <row r="29" spans="1:15" s="287" customFormat="1" ht="21" customHeight="1" thickBot="1">
      <c r="A29" s="329" t="str">
        <v>Previsões de cobranças por meses</v>
      </c>
      <c r="B29" s="297"/>
      <c r="C29" s="630">
        <f t="array" ref="C29:N29" ca="1">C11:N11</f>
        <v>1347.8734499999998</v>
      </c>
      <c r="D29" s="630">
        <f ca="1"/>
        <v>1347.8734499999998</v>
      </c>
      <c r="E29" s="630">
        <f ca="1"/>
        <v>1347.8734499999998</v>
      </c>
      <c r="F29" s="630">
        <f ca="1"/>
        <v>1347.8734499999998</v>
      </c>
      <c r="G29" s="630">
        <f ca="1"/>
        <v>1347.8734499999998</v>
      </c>
      <c r="H29" s="630">
        <f ca="1"/>
        <v>1347.8734499999998</v>
      </c>
      <c r="I29" s="630">
        <f ca="1"/>
        <v>1347.8734499999998</v>
      </c>
      <c r="J29" s="630">
        <f ca="1"/>
        <v>1347.8734499999998</v>
      </c>
      <c r="K29" s="630">
        <f ca="1"/>
        <v>1347.8734499999998</v>
      </c>
      <c r="L29" s="630">
        <f ca="1"/>
        <v>1347.8734499999998</v>
      </c>
      <c r="M29" s="630">
        <f ca="1"/>
        <v>1347.8734499999998</v>
      </c>
      <c r="N29" s="631">
        <f ca="1"/>
        <v>1347.8734499999998</v>
      </c>
      <c r="O29" s="632">
        <f ca="1">SUM(C29:N29)</f>
        <v>16174.481399999995</v>
      </c>
    </row>
    <row r="30" spans="1:15" s="287" customFormat="1" ht="21" customHeight="1" thickBot="1">
      <c r="A30" s="329" t="str">
        <v>Previsões de pagamentos por meses</v>
      </c>
      <c r="B30" s="292"/>
      <c r="C30" s="633">
        <f t="array" ref="C30:N30" ca="1">C25:N25</f>
        <v>2332.3074419</v>
      </c>
      <c r="D30" s="633">
        <f ca="1"/>
        <v>1801.7819219</v>
      </c>
      <c r="E30" s="633">
        <f ca="1"/>
        <v>1801.7819219</v>
      </c>
      <c r="F30" s="633">
        <f ca="1"/>
        <v>2395.5474672</v>
      </c>
      <c r="G30" s="633">
        <f ca="1"/>
        <v>1821.7188594000002</v>
      </c>
      <c r="H30" s="633">
        <f ca="1"/>
        <v>1821.7188594000002</v>
      </c>
      <c r="I30" s="633">
        <f ca="1"/>
        <v>2395.5474672</v>
      </c>
      <c r="J30" s="633">
        <f ca="1"/>
        <v>1821.7188594000002</v>
      </c>
      <c r="K30" s="633">
        <f ca="1"/>
        <v>1821.7188594000002</v>
      </c>
      <c r="L30" s="633">
        <f ca="1"/>
        <v>2395.5474672</v>
      </c>
      <c r="M30" s="633">
        <f ca="1"/>
        <v>1821.7188594000002</v>
      </c>
      <c r="N30" s="634">
        <f ca="1"/>
        <v>1821.7188594000002</v>
      </c>
      <c r="O30" s="632">
        <f ca="1">SUM(C30:N30)</f>
        <v>24052.826843700001</v>
      </c>
    </row>
    <row r="31" spans="1:15" s="287" customFormat="1" ht="21" customHeight="1" thickBot="1">
      <c r="A31" s="330" t="str">
        <v>Tesourarias mensuais previstas</v>
      </c>
      <c r="B31" s="297"/>
      <c r="C31" s="635">
        <f t="array" ref="C31:N31" ca="1">C29:N29-C30:N30</f>
        <v>-984.43399190000014</v>
      </c>
      <c r="D31" s="635">
        <f ca="1"/>
        <v>-453.90847190000022</v>
      </c>
      <c r="E31" s="635">
        <f ca="1"/>
        <v>-453.90847190000022</v>
      </c>
      <c r="F31" s="635">
        <f ca="1"/>
        <v>-1047.6740172000002</v>
      </c>
      <c r="G31" s="635">
        <f ca="1"/>
        <v>-473.84540940000034</v>
      </c>
      <c r="H31" s="635">
        <f ca="1"/>
        <v>-473.84540940000034</v>
      </c>
      <c r="I31" s="635">
        <f ca="1"/>
        <v>-1047.6740172000002</v>
      </c>
      <c r="J31" s="635">
        <f ca="1"/>
        <v>-473.84540940000034</v>
      </c>
      <c r="K31" s="635">
        <f ca="1"/>
        <v>-473.84540940000034</v>
      </c>
      <c r="L31" s="635">
        <f ca="1"/>
        <v>-1047.6740172000002</v>
      </c>
      <c r="M31" s="635">
        <f ca="1"/>
        <v>-473.84540940000034</v>
      </c>
      <c r="N31" s="636">
        <f ca="1"/>
        <v>-473.84540940000034</v>
      </c>
      <c r="O31" s="637">
        <f ca="1">O29-O30</f>
        <v>-7878.3454437000055</v>
      </c>
    </row>
    <row r="32" spans="1:15" s="287" customFormat="1" ht="21" customHeight="1" thickBot="1">
      <c r="A32" s="332"/>
      <c r="B32" s="297"/>
      <c r="C32" s="298"/>
      <c r="D32" s="298"/>
      <c r="E32" s="298"/>
      <c r="F32" s="298"/>
      <c r="G32" s="298"/>
      <c r="H32" s="298"/>
      <c r="I32" s="298"/>
      <c r="J32" s="298"/>
      <c r="K32" s="298"/>
      <c r="L32" s="298"/>
      <c r="M32" s="298"/>
      <c r="N32" s="638"/>
      <c r="O32" s="639"/>
    </row>
    <row r="33" spans="1:15" s="301" customFormat="1" ht="21" customHeight="1" thickBot="1">
      <c r="A33" s="1205" t="str">
        <f>'Tesorería 0'!A33</f>
        <v>Disposto Apólice Crédito</v>
      </c>
      <c r="B33" s="1191">
        <f ca="1">'Tesorería 1'!N33</f>
        <v>0</v>
      </c>
      <c r="C33" s="1192">
        <f ca="1">IF(B35+C31-B33&gt;tesoreriasec,0,MIN(B33-B35-C31+tesoreriasec,Finançamento!$F$49))</f>
        <v>0</v>
      </c>
      <c r="D33" s="1193">
        <f ca="1">IF(C35+D31-C33&gt;tesoreriasec,0,MIN(C33-C35-D31+tesoreriasec,Finançamento!$F$49))</f>
        <v>0</v>
      </c>
      <c r="E33" s="1193">
        <f ca="1">IF(D35+E31-D33&gt;tesoreriasec,0,MIN(D33-D35-E31+tesoreriasec,Finançamento!$F$49))</f>
        <v>0</v>
      </c>
      <c r="F33" s="1193">
        <f ca="1">IF(E35+F31-E33&gt;tesoreriasec,0,MIN(E33-E35-F31+tesoreriasec,Finançamento!$F$49))</f>
        <v>0</v>
      </c>
      <c r="G33" s="1193">
        <f ca="1">IF(F35+G31-F33&gt;tesoreriasec,0,MIN(F33-F35-G31+tesoreriasec,Finançamento!$F$49))</f>
        <v>0</v>
      </c>
      <c r="H33" s="1193">
        <f ca="1">IF(G35+H31-G33&gt;tesoreriasec,0,MIN(G33-G35-H31+tesoreriasec,Finançamento!$F$49))</f>
        <v>0</v>
      </c>
      <c r="I33" s="1193">
        <f ca="1">IF(H35+I31-H33&gt;tesoreriasec,0,MIN(H33-H35-I31+tesoreriasec,Finançamento!$F$49))</f>
        <v>0</v>
      </c>
      <c r="J33" s="1193">
        <f ca="1">IF(I35+J31-I33&gt;tesoreriasec,0,MIN(I33-I35-J31+tesoreriasec,Finançamento!$F$49))</f>
        <v>0</v>
      </c>
      <c r="K33" s="1193">
        <f ca="1">IF(J35+K31-J33&gt;tesoreriasec,0,MIN(J33-J35-K31+tesoreriasec,Finançamento!$F$49))</f>
        <v>0</v>
      </c>
      <c r="L33" s="1193">
        <f ca="1">IF(K35+L31-K33&gt;tesoreriasec,0,MIN(K33-K35-L31+tesoreriasec,Finançamento!$F$49))</f>
        <v>0</v>
      </c>
      <c r="M33" s="1193">
        <f ca="1">IF(L35+M31-L33&gt;tesoreriasec,0,MIN(L33-L35-M31+tesoreriasec,Finançamento!$F$49))</f>
        <v>0</v>
      </c>
      <c r="N33" s="1194">
        <f ca="1">IF(M35+N31-M33&gt;tesoreriasec,0,MIN(M33-M35-N31+tesoreriasec,Finançamento!$F$49))</f>
        <v>0</v>
      </c>
      <c r="O33" s="1195"/>
    </row>
    <row r="34" spans="1:15" s="301" customFormat="1" ht="21" customHeight="1" thickBot="1">
      <c r="A34" s="1206"/>
      <c r="B34" s="1196"/>
      <c r="C34" s="1197"/>
      <c r="D34" s="1197"/>
      <c r="E34" s="1197"/>
      <c r="F34" s="1197"/>
      <c r="G34" s="1197"/>
      <c r="H34" s="1197"/>
      <c r="I34" s="1197"/>
      <c r="J34" s="1197"/>
      <c r="K34" s="1197"/>
      <c r="L34" s="1197"/>
      <c r="M34" s="1197"/>
      <c r="O34" s="1198"/>
    </row>
    <row r="35" spans="1:15" s="301" customFormat="1" ht="21" customHeight="1" thickBot="1">
      <c r="A35" s="1205" t="str">
        <f>'Tesorería 0'!A35</f>
        <v>Tesouraria acumulada</v>
      </c>
      <c r="B35" s="1199">
        <f ca="1">'Tesorería 1'!N35-(Finançamento!F9-Finançamento!F25+Finançamento!F19)</f>
        <v>-15126.963843636366</v>
      </c>
      <c r="C35" s="1200">
        <f t="array" ref="C35:N35" ca="1">B35:M35+C31:N31+C33:N33-B33:M33</f>
        <v>-16111.397835536365</v>
      </c>
      <c r="D35" s="1201">
        <f ca="1"/>
        <v>-16565.306307436367</v>
      </c>
      <c r="E35" s="1201">
        <f ca="1"/>
        <v>-17019.214779336369</v>
      </c>
      <c r="F35" s="1201">
        <f ca="1"/>
        <v>-18066.888796536368</v>
      </c>
      <c r="G35" s="1201">
        <f ca="1"/>
        <v>-18540.734205936369</v>
      </c>
      <c r="H35" s="1201">
        <f ca="1"/>
        <v>-19014.57961533637</v>
      </c>
      <c r="I35" s="1201">
        <f ca="1"/>
        <v>-20062.253632536369</v>
      </c>
      <c r="J35" s="1201">
        <f ca="1"/>
        <v>-20536.09904193637</v>
      </c>
      <c r="K35" s="1201">
        <f ca="1"/>
        <v>-21009.944451336371</v>
      </c>
      <c r="L35" s="1201">
        <f ca="1"/>
        <v>-22057.61846853637</v>
      </c>
      <c r="M35" s="1201">
        <f ca="1"/>
        <v>-22531.46387793637</v>
      </c>
      <c r="N35" s="1202">
        <f ca="1"/>
        <v>-23005.309287336371</v>
      </c>
      <c r="O35" s="1203"/>
    </row>
    <row r="36" spans="1:15" ht="18.75" customHeight="1">
      <c r="A36" s="5"/>
      <c r="B36" s="5"/>
    </row>
    <row r="37" spans="1:15" ht="18.75" customHeight="1">
      <c r="A37" s="5"/>
      <c r="B37" s="5"/>
    </row>
    <row r="38" spans="1:15" ht="18.75" customHeight="1">
      <c r="A38" s="320"/>
      <c r="B38" s="321"/>
      <c r="C38" s="318" t="str">
        <f t="array" ref="C38:D38">'Tesorería 0'!C38:D38</f>
        <v>Montante</v>
      </c>
      <c r="D38" s="319" t="str">
        <v>mes</v>
      </c>
    </row>
    <row r="39" spans="1:15" s="300" customFormat="1" ht="21" customHeight="1">
      <c r="A39" s="299"/>
      <c r="B39" s="317" t="str">
        <f t="array" ref="B39:B41">'Tesorería 0'!B39:B41</f>
        <v>Máximo descoberto no ano</v>
      </c>
      <c r="C39" s="1720">
        <f ca="1">MAX(C33:N33)*0-MIN(C35:N35,0)</f>
        <v>23005.309287336371</v>
      </c>
      <c r="D39" s="1187" t="str">
        <f ca="1">IF(C39&lt;&gt;0,INDEX(C4:N4,1,MATCH(-C39,C35:N35,0)),"")</f>
        <v>dezembro</v>
      </c>
      <c r="O39" s="301"/>
    </row>
    <row r="40" spans="1:15" s="300" customFormat="1" ht="18.75" customHeight="1">
      <c r="A40" s="299"/>
      <c r="B40" s="317" t="str">
        <v>Fluxo de caixa do periodo  (Cash Flow)</v>
      </c>
      <c r="C40" s="1721">
        <f ca="1">N35-B35+B33-N33</f>
        <v>-7878.3454437000055</v>
      </c>
      <c r="D40" s="1186"/>
      <c r="O40" s="301"/>
    </row>
    <row r="41" spans="1:15" s="300" customFormat="1" ht="21" customHeight="1">
      <c r="A41" s="299"/>
      <c r="B41" s="317" t="str">
        <v>Máxima tesouraria mensual</v>
      </c>
      <c r="C41" s="1722">
        <f ca="1">MAX(C35:N35)</f>
        <v>-16111.397835536365</v>
      </c>
      <c r="D41" s="1187" t="str">
        <f ca="1">INDEX(C4:N4,1,MATCH(C41,C35:N35,0))</f>
        <v>janeiro</v>
      </c>
      <c r="O41" s="301"/>
    </row>
    <row r="42" spans="1:15" ht="18" customHeight="1">
      <c r="A42" s="5"/>
      <c r="B42" s="5"/>
    </row>
    <row r="43" spans="1:15">
      <c r="A43" s="5"/>
      <c r="B43" s="5"/>
    </row>
    <row r="44" spans="1:15" ht="15">
      <c r="A44" s="36"/>
      <c r="B44" s="36"/>
    </row>
    <row r="45" spans="1:15" ht="15">
      <c r="A45" s="36"/>
      <c r="B45" s="36"/>
    </row>
    <row r="46" spans="1:15" ht="15">
      <c r="A46" s="36"/>
      <c r="B46" s="36"/>
    </row>
    <row r="47" spans="1:15" ht="15">
      <c r="A47" s="36"/>
      <c r="B47" s="36"/>
    </row>
    <row r="48" spans="1:15" ht="15">
      <c r="A48" s="36"/>
      <c r="B48" s="36"/>
    </row>
    <row r="49" spans="1:2" ht="15">
      <c r="A49" s="36"/>
      <c r="B49" s="36"/>
    </row>
    <row r="50" spans="1:2" ht="15">
      <c r="A50" s="36"/>
      <c r="B50" s="36"/>
    </row>
    <row r="51" spans="1:2" ht="15">
      <c r="A51" s="36"/>
      <c r="B51" s="36"/>
    </row>
    <row r="52" spans="1:2" ht="15">
      <c r="A52" s="36"/>
      <c r="B52" s="36"/>
    </row>
    <row r="53" spans="1:2" ht="15">
      <c r="A53" s="36"/>
      <c r="B53" s="36"/>
    </row>
    <row r="54" spans="1:2" ht="15">
      <c r="A54" s="36"/>
      <c r="B54" s="36"/>
    </row>
    <row r="55" spans="1:2" ht="15">
      <c r="A55" s="36"/>
      <c r="B55" s="36"/>
    </row>
    <row r="56" spans="1:2" ht="15">
      <c r="A56" s="36"/>
      <c r="B56" s="36"/>
    </row>
    <row r="57" spans="1:2" ht="15">
      <c r="A57" s="36"/>
      <c r="B57" s="36"/>
    </row>
    <row r="58" spans="1:2" ht="15">
      <c r="A58" s="36"/>
      <c r="B58" s="36"/>
    </row>
    <row r="59" spans="1:2" ht="15">
      <c r="A59" s="36"/>
      <c r="B59" s="36"/>
    </row>
    <row r="60" spans="1:2" ht="15">
      <c r="A60" s="36"/>
      <c r="B60" s="36"/>
    </row>
  </sheetData>
  <sheetProtection sheet="1" objects="1" scenarios="1"/>
  <phoneticPr fontId="4"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49">
    <tabColor indexed="43"/>
    <pageSetUpPr fitToPage="1"/>
  </sheetPr>
  <dimension ref="A1:O60"/>
  <sheetViews>
    <sheetView workbookViewId="0"/>
  </sheetViews>
  <sheetFormatPr baseColWidth="10" defaultColWidth="11" defaultRowHeight="12.75"/>
  <cols>
    <col min="1" max="1" width="29.25" style="88" customWidth="1"/>
    <col min="2" max="2" width="12" style="88" customWidth="1"/>
    <col min="3" max="3" width="11.875" style="88" customWidth="1"/>
    <col min="4" max="4" width="13.125" style="88" customWidth="1"/>
    <col min="5" max="5" width="13.5" style="88" customWidth="1"/>
    <col min="6" max="6" width="12" style="88" bestFit="1" customWidth="1"/>
    <col min="7" max="7" width="11.75" style="88" customWidth="1"/>
    <col min="8" max="8" width="12.25" style="88" bestFit="1" customWidth="1"/>
    <col min="9" max="9" width="11.75" style="88" bestFit="1" customWidth="1"/>
    <col min="10" max="10" width="12.125" style="88" customWidth="1"/>
    <col min="11" max="11" width="12.25" style="88" bestFit="1" customWidth="1"/>
    <col min="12" max="12" width="12" style="88" bestFit="1" customWidth="1"/>
    <col min="13" max="13" width="11.625" style="88" bestFit="1" customWidth="1"/>
    <col min="14" max="14" width="12" style="88" bestFit="1" customWidth="1"/>
    <col min="15" max="15" width="12.125" style="287" bestFit="1" customWidth="1"/>
    <col min="16" max="16384" width="11" style="88"/>
  </cols>
  <sheetData>
    <row r="1" spans="1:15" ht="22.5">
      <c r="A1" s="302" t="str">
        <f>'Tesorería 0'!A1</f>
        <v>Previsões de Cobranças e Pagamentos: Previsões de Tesouraria</v>
      </c>
      <c r="B1" s="283"/>
      <c r="E1" s="285"/>
      <c r="F1" s="2731" t="str">
        <f>Parametros!E$77</f>
        <v>Ano 3:  2029</v>
      </c>
      <c r="G1" s="304"/>
      <c r="H1" s="285"/>
      <c r="I1" s="168"/>
      <c r="J1" s="286"/>
      <c r="K1" s="168"/>
    </row>
    <row r="2" spans="1:15" ht="25.5">
      <c r="A2" s="303" t="str">
        <f>'Dados Básicos'!B9</f>
        <v>WWW, S.L.</v>
      </c>
      <c r="B2" s="288"/>
      <c r="D2" s="282"/>
      <c r="F2" s="285"/>
      <c r="G2" s="168"/>
      <c r="H2" s="168"/>
      <c r="I2" s="168"/>
      <c r="J2" s="168"/>
      <c r="K2" s="168"/>
    </row>
    <row r="3" spans="1:15" ht="15.75" thickBot="1">
      <c r="A3" s="36"/>
      <c r="B3" s="36"/>
    </row>
    <row r="4" spans="1:15" s="289" customFormat="1" ht="18" customHeight="1" thickBot="1">
      <c r="A4" s="322" t="s">
        <v>0</v>
      </c>
      <c r="B4" s="305"/>
      <c r="C4" s="306" t="str">
        <f t="array" ref="C4:N4">meses</f>
        <v>janeiro</v>
      </c>
      <c r="D4" s="306" t="str">
        <v>fevereiro</v>
      </c>
      <c r="E4" s="306" t="str">
        <v>março</v>
      </c>
      <c r="F4" s="306" t="str">
        <v>abril</v>
      </c>
      <c r="G4" s="306" t="str">
        <v>maio</v>
      </c>
      <c r="H4" s="306" t="str">
        <v>junho</v>
      </c>
      <c r="I4" s="306" t="str">
        <v>julho</v>
      </c>
      <c r="J4" s="306" t="str">
        <v>agosto</v>
      </c>
      <c r="K4" s="306" t="str">
        <v>setembro</v>
      </c>
      <c r="L4" s="306" t="str">
        <v>outubro</v>
      </c>
      <c r="M4" s="306" t="str">
        <v>novembro</v>
      </c>
      <c r="N4" s="310" t="str">
        <v>dezembro</v>
      </c>
      <c r="O4" s="311" t="s">
        <v>3</v>
      </c>
    </row>
    <row r="5" spans="1:15" s="289" customFormat="1" ht="18" customHeight="1" thickBot="1">
      <c r="A5" s="309" t="str">
        <f t="array" ref="A5:A11">'Resumo Tesourarias'!A4:A10</f>
        <v>COBRANÇAS</v>
      </c>
      <c r="B5" s="290"/>
      <c r="C5" s="290"/>
      <c r="D5" s="290"/>
      <c r="E5" s="290"/>
      <c r="F5" s="290"/>
      <c r="G5" s="290"/>
      <c r="H5" s="290"/>
      <c r="I5" s="290"/>
      <c r="J5" s="290"/>
      <c r="K5" s="290"/>
      <c r="L5" s="290"/>
      <c r="M5" s="290"/>
      <c r="O5" s="312"/>
    </row>
    <row r="6" spans="1:15" ht="21" customHeight="1">
      <c r="A6" s="1190" t="str">
        <v>Cobranças de vendas</v>
      </c>
      <c r="B6" s="326"/>
      <c r="C6" s="1220">
        <f t="array" aca="1" ref="C6:N6" ca="1">'Receitas e pagamentos 3'!B28:M28</f>
        <v>1458.3862360099999</v>
      </c>
      <c r="D6" s="1220">
        <f ca="1"/>
        <v>1458.3862360099999</v>
      </c>
      <c r="E6" s="1220">
        <f ca="1"/>
        <v>1458.3862360099999</v>
      </c>
      <c r="F6" s="1220">
        <f ca="1"/>
        <v>1458.3862360099999</v>
      </c>
      <c r="G6" s="1220">
        <f ca="1"/>
        <v>1458.3862360099999</v>
      </c>
      <c r="H6" s="1220">
        <f ca="1"/>
        <v>1458.3862360099999</v>
      </c>
      <c r="I6" s="1220">
        <f ca="1"/>
        <v>1458.3862360099999</v>
      </c>
      <c r="J6" s="1220">
        <f ca="1"/>
        <v>1458.3862360099999</v>
      </c>
      <c r="K6" s="1220">
        <f ca="1"/>
        <v>1458.3862360099999</v>
      </c>
      <c r="L6" s="1220">
        <f ca="1"/>
        <v>1458.3862360099999</v>
      </c>
      <c r="M6" s="1220">
        <f ca="1"/>
        <v>1458.3862360099999</v>
      </c>
      <c r="N6" s="1221">
        <f ca="1"/>
        <v>1458.3862360099999</v>
      </c>
      <c r="O6" s="1222">
        <f t="shared" ref="O6:O11" ca="1" si="0">SUM(C6:N6)</f>
        <v>17500.634832119995</v>
      </c>
    </row>
    <row r="7" spans="1:15" ht="21" customHeight="1">
      <c r="A7" s="1189" t="str">
        <v>Cobranças pendentes / Cobranças atrasadas</v>
      </c>
      <c r="B7" s="291"/>
      <c r="C7" s="1224">
        <f t="array" aca="1" ref="C7:N7" ca="1">+recmorosos*'Receitas e pagamentos 2'!$S$31/12
+Finançamento!$G$19*Parametros!B56:M56</f>
        <v>0</v>
      </c>
      <c r="D7" s="1224">
        <f ca="1"/>
        <v>0</v>
      </c>
      <c r="E7" s="1224">
        <f ca="1"/>
        <v>0</v>
      </c>
      <c r="F7" s="1224">
        <f ca="1"/>
        <v>0</v>
      </c>
      <c r="G7" s="1224">
        <f ca="1"/>
        <v>0</v>
      </c>
      <c r="H7" s="1224">
        <f ca="1"/>
        <v>0</v>
      </c>
      <c r="I7" s="1224">
        <f ca="1"/>
        <v>0</v>
      </c>
      <c r="J7" s="1224">
        <f ca="1"/>
        <v>0</v>
      </c>
      <c r="K7" s="1224">
        <f ca="1"/>
        <v>0</v>
      </c>
      <c r="L7" s="1224">
        <f ca="1"/>
        <v>0</v>
      </c>
      <c r="M7" s="1224">
        <f ca="1"/>
        <v>0</v>
      </c>
      <c r="N7" s="1225">
        <f ca="1"/>
        <v>0</v>
      </c>
      <c r="O7" s="1226">
        <f t="shared" ca="1" si="0"/>
        <v>0</v>
      </c>
    </row>
    <row r="8" spans="1:15" ht="21" customHeight="1">
      <c r="A8" s="1189" t="str">
        <v>Outras entradas</v>
      </c>
      <c r="B8" s="327"/>
      <c r="C8" s="1224">
        <v>0</v>
      </c>
      <c r="D8" s="1224">
        <v>0</v>
      </c>
      <c r="E8" s="1224">
        <v>0</v>
      </c>
      <c r="F8" s="1224">
        <v>0</v>
      </c>
      <c r="G8" s="1224">
        <v>0</v>
      </c>
      <c r="H8" s="1224">
        <v>0</v>
      </c>
      <c r="I8" s="1224">
        <v>0</v>
      </c>
      <c r="J8" s="1224">
        <f ca="1">IF('IRS Singulares'!M26&lt;0,-'IRS Singulares'!M26*'IRS Singulares'!M20,0)</f>
        <v>0</v>
      </c>
      <c r="K8" s="1224">
        <v>0</v>
      </c>
      <c r="L8" s="1224">
        <v>0</v>
      </c>
      <c r="M8" s="1224">
        <v>0</v>
      </c>
      <c r="N8" s="1225">
        <f ca="1">IF('IRC Coletivas'!$G$23&lt;0,-'IRC Coletivas'!$G$23,0)</f>
        <v>0</v>
      </c>
      <c r="O8" s="1226">
        <f t="shared" ca="1" si="0"/>
        <v>0</v>
      </c>
    </row>
    <row r="9" spans="1:15" ht="21" customHeight="1">
      <c r="A9" s="1189" t="str">
        <v>Devoluções de IVA</v>
      </c>
      <c r="B9" s="327"/>
      <c r="C9" s="1224">
        <f t="array" ref="C9:N9">'IVA 3'!C26:N26</f>
        <v>0</v>
      </c>
      <c r="D9" s="1224">
        <v>0</v>
      </c>
      <c r="E9" s="1224">
        <v>0</v>
      </c>
      <c r="F9" s="1224">
        <v>0</v>
      </c>
      <c r="G9" s="1224">
        <v>0</v>
      </c>
      <c r="H9" s="1224">
        <f ca="1"/>
        <v>0</v>
      </c>
      <c r="I9" s="1224">
        <v>0</v>
      </c>
      <c r="J9" s="1224">
        <v>0</v>
      </c>
      <c r="K9" s="1224">
        <v>0</v>
      </c>
      <c r="L9" s="1224">
        <v>0</v>
      </c>
      <c r="M9" s="1224">
        <v>0</v>
      </c>
      <c r="N9" s="1225">
        <v>0</v>
      </c>
      <c r="O9" s="1226">
        <f t="shared" ca="1" si="0"/>
        <v>0</v>
      </c>
    </row>
    <row r="10" spans="1:15" ht="21" customHeight="1">
      <c r="A10" s="1189" t="str">
        <v>Receitas financeiras</v>
      </c>
      <c r="B10" s="327"/>
      <c r="C10" s="1224">
        <f t="array" ref="C10:N10" ca="1">'Despesas Financeiras'!C102:N102</f>
        <v>0</v>
      </c>
      <c r="D10" s="1224">
        <f ca="1"/>
        <v>0</v>
      </c>
      <c r="E10" s="1224">
        <f ca="1"/>
        <v>0</v>
      </c>
      <c r="F10" s="1224">
        <f ca="1"/>
        <v>0</v>
      </c>
      <c r="G10" s="1224">
        <f ca="1"/>
        <v>0</v>
      </c>
      <c r="H10" s="1224">
        <f ca="1"/>
        <v>0</v>
      </c>
      <c r="I10" s="1224">
        <f ca="1"/>
        <v>0</v>
      </c>
      <c r="J10" s="1224">
        <f ca="1"/>
        <v>0</v>
      </c>
      <c r="K10" s="1224">
        <f ca="1"/>
        <v>0</v>
      </c>
      <c r="L10" s="1224">
        <f ca="1"/>
        <v>0</v>
      </c>
      <c r="M10" s="1224">
        <f ca="1"/>
        <v>0</v>
      </c>
      <c r="N10" s="1225">
        <f ca="1"/>
        <v>0</v>
      </c>
      <c r="O10" s="1226">
        <f t="shared" ca="1" si="0"/>
        <v>0</v>
      </c>
    </row>
    <row r="11" spans="1:15" s="287" customFormat="1" ht="21" customHeight="1" thickBot="1">
      <c r="A11" s="325" t="str">
        <v>Total COBRANÇAS</v>
      </c>
      <c r="B11" s="292"/>
      <c r="C11" s="1227">
        <f t="shared" ref="C11:N11" ca="1" si="1">SUM(C6:C10)</f>
        <v>1458.3862360099999</v>
      </c>
      <c r="D11" s="1227">
        <f t="shared" ca="1" si="1"/>
        <v>1458.3862360099999</v>
      </c>
      <c r="E11" s="1227">
        <f t="shared" ca="1" si="1"/>
        <v>1458.3862360099999</v>
      </c>
      <c r="F11" s="1227">
        <f t="shared" ca="1" si="1"/>
        <v>1458.3862360099999</v>
      </c>
      <c r="G11" s="1227">
        <f t="shared" ca="1" si="1"/>
        <v>1458.3862360099999</v>
      </c>
      <c r="H11" s="1227">
        <f t="shared" ca="1" si="1"/>
        <v>1458.3862360099999</v>
      </c>
      <c r="I11" s="1227">
        <f t="shared" ca="1" si="1"/>
        <v>1458.3862360099999</v>
      </c>
      <c r="J11" s="1227">
        <f t="shared" ca="1" si="1"/>
        <v>1458.3862360099999</v>
      </c>
      <c r="K11" s="1227">
        <f t="shared" ca="1" si="1"/>
        <v>1458.3862360099999</v>
      </c>
      <c r="L11" s="1227">
        <f t="shared" ca="1" si="1"/>
        <v>1458.3862360099999</v>
      </c>
      <c r="M11" s="1227">
        <f t="shared" ca="1" si="1"/>
        <v>1458.3862360099999</v>
      </c>
      <c r="N11" s="1228">
        <f t="shared" ca="1" si="1"/>
        <v>1458.3862360099999</v>
      </c>
      <c r="O11" s="1229">
        <f t="shared" ca="1" si="0"/>
        <v>17500.634832119995</v>
      </c>
    </row>
    <row r="12" spans="1:15" s="287" customFormat="1" ht="9.75" customHeight="1">
      <c r="A12" s="307"/>
      <c r="B12" s="293"/>
      <c r="C12" s="293"/>
      <c r="D12" s="293"/>
      <c r="E12" s="293"/>
      <c r="F12" s="293"/>
      <c r="G12" s="293"/>
      <c r="H12" s="293"/>
      <c r="I12" s="293"/>
      <c r="J12" s="293"/>
      <c r="K12" s="293"/>
      <c r="L12" s="293"/>
      <c r="M12" s="293"/>
      <c r="N12" s="293"/>
      <c r="O12" s="313"/>
    </row>
    <row r="13" spans="1:15" s="287" customFormat="1" ht="21" customHeight="1" thickBot="1">
      <c r="A13" s="309" t="str">
        <f t="array" ref="A13:A17">'Resumo Tesourarias'!A12:A16</f>
        <v>PAGAMENTOS</v>
      </c>
      <c r="B13" s="294"/>
      <c r="C13" s="294"/>
      <c r="D13" s="294"/>
      <c r="E13" s="294"/>
      <c r="F13" s="294"/>
      <c r="G13" s="294"/>
      <c r="H13" s="294"/>
      <c r="I13" s="294"/>
      <c r="J13" s="294"/>
      <c r="K13" s="294"/>
      <c r="L13" s="294"/>
      <c r="M13" s="294"/>
      <c r="N13" s="294"/>
      <c r="O13" s="314"/>
    </row>
    <row r="14" spans="1:15" s="301" customFormat="1" ht="21" customHeight="1">
      <c r="A14" s="1214" t="str">
        <v>Pagamentos de Gastos Fixos ( IVA incl.)</v>
      </c>
      <c r="B14" s="1208"/>
      <c r="C14" s="1230">
        <f ca="1">'G.F. 3'!B58+'G.F. 3'!B60</f>
        <v>1676.0007919964</v>
      </c>
      <c r="D14" s="1230">
        <f ca="1">'G.F. 3'!C58+'G.F. 3'!C60</f>
        <v>1676.0007919964</v>
      </c>
      <c r="E14" s="1230">
        <f ca="1">'G.F. 3'!D58+'G.F. 3'!D60</f>
        <v>1676.0007919964</v>
      </c>
      <c r="F14" s="1230">
        <f ca="1">'G.F. 3'!E58+'G.F. 3'!E60</f>
        <v>1697.6923512338999</v>
      </c>
      <c r="G14" s="1230">
        <f ca="1">'G.F. 3'!F58+'G.F. 3'!F60</f>
        <v>1697.6923512338999</v>
      </c>
      <c r="H14" s="1230">
        <f ca="1">'G.F. 3'!G58+'G.F. 3'!G60</f>
        <v>1697.6923512338999</v>
      </c>
      <c r="I14" s="1230">
        <f ca="1">'G.F. 3'!H58+'G.F. 3'!H60</f>
        <v>1697.6923512338999</v>
      </c>
      <c r="J14" s="1230">
        <f ca="1">'G.F. 3'!I58+'G.F. 3'!I60</f>
        <v>1697.6923512338999</v>
      </c>
      <c r="K14" s="1230">
        <f ca="1">'G.F. 3'!J58+'G.F. 3'!J60</f>
        <v>1697.6923512338999</v>
      </c>
      <c r="L14" s="1230">
        <f ca="1">'G.F. 3'!K58+'G.F. 3'!K60</f>
        <v>1697.6923512338999</v>
      </c>
      <c r="M14" s="1230">
        <f ca="1">'G.F. 3'!L58+'G.F. 3'!L60</f>
        <v>1697.6923512338999</v>
      </c>
      <c r="N14" s="1231">
        <f ca="1">'G.F. 3'!M58+'G.F. 3'!M60</f>
        <v>1697.6923512338999</v>
      </c>
      <c r="O14" s="1232">
        <f ca="1">SUM(C14:N14)</f>
        <v>20307.233537094296</v>
      </c>
    </row>
    <row r="15" spans="1:15" s="300" customFormat="1" ht="21" customHeight="1">
      <c r="A15" s="1215" t="str">
        <v>Pagamento de compras e Custos Variables  ( IVA incl.)</v>
      </c>
      <c r="B15" s="1209"/>
      <c r="C15" s="1233">
        <f t="array" aca="1" ref="C15:N15" ca="1">'Receitas e pagamentos 3'!B55:M55</f>
        <v>204.17407304139999</v>
      </c>
      <c r="D15" s="1233">
        <f ca="1"/>
        <v>204.17407304139999</v>
      </c>
      <c r="E15" s="1233">
        <f ca="1"/>
        <v>204.17407304139999</v>
      </c>
      <c r="F15" s="1233">
        <f ca="1"/>
        <v>204.17407304139999</v>
      </c>
      <c r="G15" s="1233">
        <f ca="1"/>
        <v>204.17407304139999</v>
      </c>
      <c r="H15" s="1233">
        <f ca="1"/>
        <v>204.17407304139999</v>
      </c>
      <c r="I15" s="1233">
        <f ca="1"/>
        <v>204.17407304139999</v>
      </c>
      <c r="J15" s="1233">
        <f ca="1"/>
        <v>204.17407304139999</v>
      </c>
      <c r="K15" s="1233">
        <f ca="1"/>
        <v>204.17407304139999</v>
      </c>
      <c r="L15" s="1233">
        <f ca="1"/>
        <v>204.17407304139999</v>
      </c>
      <c r="M15" s="1233">
        <f ca="1"/>
        <v>204.17407304139999</v>
      </c>
      <c r="N15" s="1234">
        <f ca="1"/>
        <v>204.17407304139999</v>
      </c>
      <c r="O15" s="1235">
        <f ca="1">SUM(C15:N15)</f>
        <v>2450.0888764967995</v>
      </c>
    </row>
    <row r="16" spans="1:15" s="300" customFormat="1" ht="21" customHeight="1">
      <c r="A16" s="1215" t="str">
        <v>Pagamentos de Gastos Financieros</v>
      </c>
      <c r="B16" s="1209"/>
      <c r="C16" s="1233">
        <f t="array" ref="C16:N16" ca="1">'Despesas Financeiras'!C64:N64+'Despesas Financeiras'!C60:N60*Parametros!$F$33*0</f>
        <v>14.583862360099999</v>
      </c>
      <c r="D16" s="1233">
        <f ca="1"/>
        <v>14.583862360099999</v>
      </c>
      <c r="E16" s="1233">
        <f ca="1"/>
        <v>14.583862360099999</v>
      </c>
      <c r="F16" s="1233">
        <f ca="1"/>
        <v>14.583862360099999</v>
      </c>
      <c r="G16" s="1233">
        <f ca="1"/>
        <v>14.583862360099999</v>
      </c>
      <c r="H16" s="1233">
        <f ca="1"/>
        <v>14.583862360099999</v>
      </c>
      <c r="I16" s="1233">
        <f ca="1"/>
        <v>14.583862360099999</v>
      </c>
      <c r="J16" s="1233">
        <f ca="1"/>
        <v>14.583862360099999</v>
      </c>
      <c r="K16" s="1233">
        <f ca="1"/>
        <v>14.583862360099999</v>
      </c>
      <c r="L16" s="1233">
        <f ca="1"/>
        <v>14.583862360099999</v>
      </c>
      <c r="M16" s="1233">
        <f ca="1"/>
        <v>14.583862360099999</v>
      </c>
      <c r="N16" s="1234">
        <f ca="1"/>
        <v>14.583862360099999</v>
      </c>
      <c r="O16" s="1235">
        <f ca="1">SUM(C16:N16)</f>
        <v>175.00634832119999</v>
      </c>
    </row>
    <row r="17" spans="1:15" s="300" customFormat="1" ht="21" customHeight="1">
      <c r="A17" s="1215" t="str">
        <v>Pagamentos de IVA de cuotas de Leasing / Renting</v>
      </c>
      <c r="B17" s="1209"/>
      <c r="C17" s="1233">
        <f t="array" ref="C17:N17">+Leasing!B48:M48+Renting!B45:M45</f>
        <v>0</v>
      </c>
      <c r="D17" s="1233">
        <v>0</v>
      </c>
      <c r="E17" s="1233">
        <v>0</v>
      </c>
      <c r="F17" s="1233">
        <v>0</v>
      </c>
      <c r="G17" s="1233">
        <v>0</v>
      </c>
      <c r="H17" s="1233">
        <v>0</v>
      </c>
      <c r="I17" s="1233">
        <v>0</v>
      </c>
      <c r="J17" s="1233">
        <v>0</v>
      </c>
      <c r="K17" s="1233">
        <v>0</v>
      </c>
      <c r="L17" s="1233">
        <v>0</v>
      </c>
      <c r="M17" s="1233">
        <v>0</v>
      </c>
      <c r="N17" s="1234">
        <v>0</v>
      </c>
      <c r="O17" s="1235">
        <f>SUM(C17:N17)</f>
        <v>0</v>
      </c>
    </row>
    <row r="18" spans="1:15" s="300" customFormat="1" ht="9.75" customHeight="1">
      <c r="A18" s="1216"/>
      <c r="C18" s="1775"/>
      <c r="D18" s="1776"/>
      <c r="E18" s="1777"/>
      <c r="F18" s="1776"/>
      <c r="G18" s="1776"/>
      <c r="H18" s="1776"/>
      <c r="I18" s="1776"/>
      <c r="J18" s="1776"/>
      <c r="K18" s="1776"/>
      <c r="L18" s="1776"/>
      <c r="M18" s="1776"/>
      <c r="N18" s="1778"/>
      <c r="O18" s="1779"/>
    </row>
    <row r="19" spans="1:15" s="300" customFormat="1" ht="21" customHeight="1">
      <c r="A19" s="1218" t="s">
        <v>91</v>
      </c>
      <c r="B19" s="1210"/>
      <c r="C19" s="1236"/>
      <c r="D19" s="1237"/>
      <c r="E19" s="1238"/>
      <c r="F19" s="1237"/>
      <c r="G19" s="1237"/>
      <c r="H19" s="1237"/>
      <c r="I19" s="1237"/>
      <c r="J19" s="1237"/>
      <c r="K19" s="1237"/>
      <c r="L19" s="1237"/>
      <c r="M19" s="1237"/>
      <c r="N19" s="1239"/>
      <c r="O19" s="1240"/>
    </row>
    <row r="20" spans="1:15" s="300" customFormat="1" ht="21" customHeight="1">
      <c r="A20" s="1215" t="str">
        <f t="array" ref="A20:A25">'Resumo Tesourarias'!A17:A22</f>
        <v>Devolução de principal de empréstimos / Leasing</v>
      </c>
      <c r="B20" s="1209"/>
      <c r="C20" s="1233">
        <f t="array" ref="C20:N20">Empréstimos!B48:M48+Leasing!B47:M47</f>
        <v>0</v>
      </c>
      <c r="D20" s="1233">
        <v>0</v>
      </c>
      <c r="E20" s="1233">
        <v>0</v>
      </c>
      <c r="F20" s="1233">
        <v>0</v>
      </c>
      <c r="G20" s="1233">
        <v>0</v>
      </c>
      <c r="H20" s="1233">
        <v>0</v>
      </c>
      <c r="I20" s="1233">
        <v>0</v>
      </c>
      <c r="J20" s="1233">
        <v>0</v>
      </c>
      <c r="K20" s="1233">
        <v>0</v>
      </c>
      <c r="L20" s="1233">
        <v>0</v>
      </c>
      <c r="M20" s="1233">
        <v>0</v>
      </c>
      <c r="N20" s="1234">
        <v>0</v>
      </c>
      <c r="O20" s="1235">
        <f>SUM(C20:N20)</f>
        <v>0</v>
      </c>
    </row>
    <row r="21" spans="1:15" s="300" customFormat="1" ht="21" customHeight="1">
      <c r="A21" s="1215" t="str">
        <v>Outras saidas da caixa</v>
      </c>
      <c r="B21" s="1209"/>
      <c r="C21" s="1233">
        <v>0</v>
      </c>
      <c r="D21" s="1233">
        <v>0</v>
      </c>
      <c r="E21" s="1233">
        <v>0</v>
      </c>
      <c r="F21" s="1233">
        <v>0</v>
      </c>
      <c r="G21" s="1233">
        <v>0</v>
      </c>
      <c r="H21" s="1233">
        <v>0</v>
      </c>
      <c r="I21" s="1233">
        <v>0</v>
      </c>
      <c r="J21" s="1233">
        <v>0</v>
      </c>
      <c r="K21" s="1233">
        <v>0</v>
      </c>
      <c r="L21" s="1233">
        <v>0</v>
      </c>
      <c r="M21" s="1233">
        <v>0</v>
      </c>
      <c r="N21" s="1234">
        <v>0</v>
      </c>
      <c r="O21" s="1235">
        <f>SUM(C21:N21)</f>
        <v>0</v>
      </c>
    </row>
    <row r="22" spans="1:15" s="300" customFormat="1" ht="21" customHeight="1">
      <c r="A22" s="1215" t="str">
        <v>Liquidações de IVA</v>
      </c>
      <c r="B22" s="1209"/>
      <c r="C22" s="1233">
        <f t="array" ref="C22:N22" ca="1">'IVA 3'!C24:N24</f>
        <v>573.82860779999987</v>
      </c>
      <c r="D22" s="1233">
        <v>0</v>
      </c>
      <c r="E22" s="1233">
        <v>0</v>
      </c>
      <c r="F22" s="1233">
        <f ca="1"/>
        <v>620.9457589566</v>
      </c>
      <c r="G22" s="1233">
        <v>0</v>
      </c>
      <c r="H22" s="1233">
        <v>0</v>
      </c>
      <c r="I22" s="1233">
        <f ca="1"/>
        <v>620.9457589566</v>
      </c>
      <c r="J22" s="1233">
        <v>0</v>
      </c>
      <c r="K22" s="1233">
        <v>0</v>
      </c>
      <c r="L22" s="1233">
        <f ca="1"/>
        <v>620.9457589566</v>
      </c>
      <c r="M22" s="1233">
        <v>0</v>
      </c>
      <c r="N22" s="1234">
        <v>0</v>
      </c>
      <c r="O22" s="1235">
        <f ca="1">SUM(C22:N22)</f>
        <v>2436.6658846698001</v>
      </c>
    </row>
    <row r="23" spans="1:15" s="300" customFormat="1" ht="21" customHeight="1">
      <c r="A23" s="1215" t="str">
        <v>Otros Pagamentos ( I.R.C. / I.R.S. )</v>
      </c>
      <c r="B23" s="1209"/>
      <c r="C23" s="1233">
        <f ca="1">'Ret IRS'!N31</f>
        <v>0</v>
      </c>
      <c r="D23" s="1233"/>
      <c r="E23" s="1233"/>
      <c r="F23" s="1233">
        <f ca="1">'IRC Coletivas'!J18+'Ret IRS'!E40</f>
        <v>0</v>
      </c>
      <c r="G23" s="1233"/>
      <c r="H23" s="1233">
        <f ca="1">IF('IRS Singulares'!M26&lt;0,0,'IRS Singulares'!M26*'IRS Singulares'!M20)</f>
        <v>0</v>
      </c>
      <c r="I23" s="1233">
        <f ca="1">IF('IRC Coletivas'!G23&gt;0,'IRC Coletivas'!G23,0)+'Ret IRS'!H40
+'IRC Coletivas'!$G$32/2</f>
        <v>0</v>
      </c>
      <c r="J23" s="1233"/>
      <c r="K23" s="1233"/>
      <c r="L23" s="1233">
        <f ca="1">'IRC Coletivas'!J19+'Ret IRS'!K40</f>
        <v>0</v>
      </c>
      <c r="M23" s="1233"/>
      <c r="N23" s="1234">
        <f ca="1">'IRC Coletivas'!J20
+'IRC Coletivas'!$G$32/2</f>
        <v>0</v>
      </c>
      <c r="O23" s="1235">
        <f ca="1">SUM(C23:N23)</f>
        <v>0</v>
      </c>
    </row>
    <row r="24" spans="1:15" s="300" customFormat="1" ht="21" customHeight="1">
      <c r="A24" s="1215" t="str">
        <v>Outros pagamentos a creedores L/P</v>
      </c>
      <c r="B24" s="1209"/>
      <c r="C24" s="1233">
        <f t="array" ref="C24:N24">'Otros cobros y pagos'!B94:M94</f>
        <v>0</v>
      </c>
      <c r="D24" s="1233">
        <v>0</v>
      </c>
      <c r="E24" s="1233">
        <v>0</v>
      </c>
      <c r="F24" s="1233">
        <v>0</v>
      </c>
      <c r="G24" s="1233">
        <v>0</v>
      </c>
      <c r="H24" s="1233">
        <v>0</v>
      </c>
      <c r="I24" s="1233">
        <v>0</v>
      </c>
      <c r="J24" s="1233">
        <v>0</v>
      </c>
      <c r="K24" s="1233">
        <v>0</v>
      </c>
      <c r="L24" s="1233">
        <v>0</v>
      </c>
      <c r="M24" s="1233">
        <v>0</v>
      </c>
      <c r="N24" s="1234">
        <v>0</v>
      </c>
      <c r="O24" s="1235">
        <f>SUM(C24:N24)</f>
        <v>0</v>
      </c>
    </row>
    <row r="25" spans="1:15" s="301" customFormat="1" ht="21" customHeight="1" thickBot="1">
      <c r="A25" s="1219" t="str">
        <v>Total PAGAMENTOS</v>
      </c>
      <c r="B25" s="1213"/>
      <c r="C25" s="1241">
        <f t="shared" ref="C25:N25" ca="1" si="2">SUM(C14:C24)</f>
        <v>2468.5873351978998</v>
      </c>
      <c r="D25" s="1241">
        <f t="shared" ca="1" si="2"/>
        <v>1894.7587273979</v>
      </c>
      <c r="E25" s="1241">
        <f t="shared" ca="1" si="2"/>
        <v>1894.7587273979</v>
      </c>
      <c r="F25" s="1241">
        <f t="shared" ca="1" si="2"/>
        <v>2537.3960455919996</v>
      </c>
      <c r="G25" s="1241">
        <f t="shared" ca="1" si="2"/>
        <v>1916.4502866353998</v>
      </c>
      <c r="H25" s="1241">
        <f t="shared" ca="1" si="2"/>
        <v>1916.4502866353998</v>
      </c>
      <c r="I25" s="1241">
        <f t="shared" ca="1" si="2"/>
        <v>2537.3960455919996</v>
      </c>
      <c r="J25" s="1241">
        <f t="shared" ca="1" si="2"/>
        <v>1916.4502866353998</v>
      </c>
      <c r="K25" s="1241">
        <f t="shared" ca="1" si="2"/>
        <v>1916.4502866353998</v>
      </c>
      <c r="L25" s="1241">
        <f t="shared" ca="1" si="2"/>
        <v>2537.3960455919996</v>
      </c>
      <c r="M25" s="1241">
        <f t="shared" ca="1" si="2"/>
        <v>1916.4502866353998</v>
      </c>
      <c r="N25" s="1242">
        <f t="shared" ca="1" si="2"/>
        <v>1916.4502866353998</v>
      </c>
      <c r="O25" s="1243">
        <f ca="1">SUM(O14:O24)</f>
        <v>25368.994646582098</v>
      </c>
    </row>
    <row r="26" spans="1:15" s="287" customFormat="1" ht="21" customHeight="1">
      <c r="A26" s="307"/>
      <c r="B26" s="331"/>
      <c r="C26" s="296"/>
      <c r="D26" s="296"/>
      <c r="E26" s="296"/>
      <c r="F26" s="296"/>
      <c r="G26" s="296"/>
      <c r="H26" s="296"/>
      <c r="I26" s="296"/>
      <c r="J26" s="296"/>
      <c r="K26" s="296"/>
      <c r="L26" s="296"/>
      <c r="M26" s="296"/>
      <c r="O26" s="315"/>
    </row>
    <row r="27" spans="1:15" s="287" customFormat="1" ht="21" customHeight="1" thickBot="1">
      <c r="A27" s="307"/>
      <c r="B27" s="295"/>
      <c r="C27" s="296"/>
      <c r="D27" s="296"/>
      <c r="E27" s="296"/>
      <c r="F27" s="296"/>
      <c r="G27" s="296"/>
      <c r="H27" s="296"/>
      <c r="I27" s="296"/>
      <c r="J27" s="296"/>
      <c r="K27" s="296"/>
      <c r="L27" s="296"/>
      <c r="M27" s="296"/>
      <c r="O27" s="315"/>
    </row>
    <row r="28" spans="1:15" s="289" customFormat="1" ht="18" customHeight="1" thickBot="1">
      <c r="A28" s="328" t="str">
        <f t="array" ref="A28:A31">'Tesorería 0'!A28:A31</f>
        <v>Resumo de tesouraria</v>
      </c>
      <c r="B28" s="305"/>
      <c r="C28" s="306" t="str">
        <f t="array" ref="C28:N28">meses</f>
        <v>janeiro</v>
      </c>
      <c r="D28" s="306" t="str">
        <v>fevereiro</v>
      </c>
      <c r="E28" s="306" t="str">
        <v>março</v>
      </c>
      <c r="F28" s="306" t="str">
        <v>abril</v>
      </c>
      <c r="G28" s="306" t="str">
        <v>maio</v>
      </c>
      <c r="H28" s="306" t="str">
        <v>junho</v>
      </c>
      <c r="I28" s="306" t="str">
        <v>julho</v>
      </c>
      <c r="J28" s="306" t="str">
        <v>agosto</v>
      </c>
      <c r="K28" s="306" t="str">
        <v>setembro</v>
      </c>
      <c r="L28" s="306" t="str">
        <v>outubro</v>
      </c>
      <c r="M28" s="306" t="str">
        <v>novembro</v>
      </c>
      <c r="N28" s="310" t="str">
        <v>dezembro</v>
      </c>
      <c r="O28" s="311" t="str">
        <f>O4</f>
        <v>Total</v>
      </c>
    </row>
    <row r="29" spans="1:15" s="287" customFormat="1" ht="21" customHeight="1" thickBot="1">
      <c r="A29" s="329" t="str">
        <v>Previsões de cobranças por meses</v>
      </c>
      <c r="B29" s="297"/>
      <c r="C29" s="630">
        <f t="array" ref="C29:N29" ca="1">C11:N11</f>
        <v>1458.3862360099999</v>
      </c>
      <c r="D29" s="630">
        <f ca="1"/>
        <v>1458.3862360099999</v>
      </c>
      <c r="E29" s="630">
        <f ca="1"/>
        <v>1458.3862360099999</v>
      </c>
      <c r="F29" s="630">
        <f ca="1"/>
        <v>1458.3862360099999</v>
      </c>
      <c r="G29" s="630">
        <f ca="1"/>
        <v>1458.3862360099999</v>
      </c>
      <c r="H29" s="630">
        <f ca="1"/>
        <v>1458.3862360099999</v>
      </c>
      <c r="I29" s="630">
        <f ca="1"/>
        <v>1458.3862360099999</v>
      </c>
      <c r="J29" s="630">
        <f ca="1"/>
        <v>1458.3862360099999</v>
      </c>
      <c r="K29" s="630">
        <f ca="1"/>
        <v>1458.3862360099999</v>
      </c>
      <c r="L29" s="630">
        <f ca="1"/>
        <v>1458.3862360099999</v>
      </c>
      <c r="M29" s="630">
        <f ca="1"/>
        <v>1458.3862360099999</v>
      </c>
      <c r="N29" s="631">
        <f ca="1"/>
        <v>1458.3862360099999</v>
      </c>
      <c r="O29" s="632">
        <f ca="1">SUM(C29:N29)</f>
        <v>17500.634832119995</v>
      </c>
    </row>
    <row r="30" spans="1:15" s="287" customFormat="1" ht="21" customHeight="1" thickBot="1">
      <c r="A30" s="329" t="str">
        <v>Previsões de pagamentos por meses</v>
      </c>
      <c r="B30" s="292"/>
      <c r="C30" s="633">
        <f t="array" ref="C30:N30" ca="1">C25:N25</f>
        <v>2468.5873351978998</v>
      </c>
      <c r="D30" s="633">
        <f ca="1"/>
        <v>1894.7587273979</v>
      </c>
      <c r="E30" s="633">
        <f ca="1"/>
        <v>1894.7587273979</v>
      </c>
      <c r="F30" s="633">
        <f ca="1"/>
        <v>2537.3960455919996</v>
      </c>
      <c r="G30" s="633">
        <f ca="1"/>
        <v>1916.4502866353998</v>
      </c>
      <c r="H30" s="633">
        <f ca="1"/>
        <v>1916.4502866353998</v>
      </c>
      <c r="I30" s="633">
        <f ca="1"/>
        <v>2537.3960455919996</v>
      </c>
      <c r="J30" s="633">
        <f ca="1"/>
        <v>1916.4502866353998</v>
      </c>
      <c r="K30" s="633">
        <f ca="1"/>
        <v>1916.4502866353998</v>
      </c>
      <c r="L30" s="633">
        <f ca="1"/>
        <v>2537.3960455919996</v>
      </c>
      <c r="M30" s="633">
        <f ca="1"/>
        <v>1916.4502866353998</v>
      </c>
      <c r="N30" s="634">
        <f ca="1"/>
        <v>1916.4502866353998</v>
      </c>
      <c r="O30" s="632">
        <f ca="1">SUM(C30:N30)</f>
        <v>25368.994646582101</v>
      </c>
    </row>
    <row r="31" spans="1:15" s="287" customFormat="1" ht="21" customHeight="1" thickBot="1">
      <c r="A31" s="330" t="str">
        <v>Tesourarias mensuais previstas</v>
      </c>
      <c r="B31" s="297"/>
      <c r="C31" s="635">
        <f t="array" ref="C31:N31" ca="1">C29:N29-C30:N30</f>
        <v>-1010.2010991878999</v>
      </c>
      <c r="D31" s="635">
        <f ca="1"/>
        <v>-436.37249138790003</v>
      </c>
      <c r="E31" s="635">
        <f ca="1"/>
        <v>-436.37249138790003</v>
      </c>
      <c r="F31" s="635">
        <f ca="1"/>
        <v>-1079.0098095819997</v>
      </c>
      <c r="G31" s="635">
        <f ca="1"/>
        <v>-458.06405062539989</v>
      </c>
      <c r="H31" s="635">
        <f ca="1"/>
        <v>-458.06405062539989</v>
      </c>
      <c r="I31" s="635">
        <f ca="1"/>
        <v>-1079.0098095819997</v>
      </c>
      <c r="J31" s="635">
        <f ca="1"/>
        <v>-458.06405062539989</v>
      </c>
      <c r="K31" s="635">
        <f ca="1"/>
        <v>-458.06405062539989</v>
      </c>
      <c r="L31" s="635">
        <f ca="1"/>
        <v>-1079.0098095819997</v>
      </c>
      <c r="M31" s="635">
        <f ca="1"/>
        <v>-458.06405062539989</v>
      </c>
      <c r="N31" s="636">
        <f ca="1"/>
        <v>-458.06405062539989</v>
      </c>
      <c r="O31" s="637">
        <f ca="1">O29-O30</f>
        <v>-7868.3598144621064</v>
      </c>
    </row>
    <row r="32" spans="1:15" s="287" customFormat="1" ht="21" customHeight="1" thickBot="1">
      <c r="A32" s="332"/>
      <c r="B32" s="297"/>
      <c r="C32" s="298"/>
      <c r="D32" s="298"/>
      <c r="E32" s="298"/>
      <c r="F32" s="298"/>
      <c r="G32" s="298"/>
      <c r="H32" s="298"/>
      <c r="I32" s="298"/>
      <c r="J32" s="298"/>
      <c r="K32" s="298"/>
      <c r="L32" s="298"/>
      <c r="M32" s="298"/>
      <c r="N32" s="638"/>
      <c r="O32" s="639"/>
    </row>
    <row r="33" spans="1:15" s="301" customFormat="1" ht="21" customHeight="1" thickBot="1">
      <c r="A33" s="1205" t="str">
        <f>'Tesorería 0'!A33</f>
        <v>Disposto Apólice Crédito</v>
      </c>
      <c r="B33" s="1191">
        <f ca="1">'Tesorería 2'!N33</f>
        <v>0</v>
      </c>
      <c r="C33" s="1192">
        <f ca="1">IF(B35+C31-B33&gt;tesoreriasec,0,MIN(B33-B35-C31+tesoreriasec,Finançamento!$G$49))</f>
        <v>0</v>
      </c>
      <c r="D33" s="1193">
        <f ca="1">IF(C35+D31-C33&gt;tesoreriasec,0,MIN(C33-C35-D31+tesoreriasec,Finançamento!$G$49))</f>
        <v>0</v>
      </c>
      <c r="E33" s="1193">
        <f ca="1">IF(D35+E31-D33&gt;tesoreriasec,0,MIN(D33-D35-E31+tesoreriasec,Finançamento!$G$49))</f>
        <v>0</v>
      </c>
      <c r="F33" s="1193">
        <f ca="1">IF(E35+F31-E33&gt;tesoreriasec,0,MIN(E33-E35-F31+tesoreriasec,Finançamento!$G$49))</f>
        <v>0</v>
      </c>
      <c r="G33" s="1193">
        <f ca="1">IF(F35+G31-F33&gt;tesoreriasec,0,MIN(F33-F35-G31+tesoreriasec,Finançamento!$G$49))</f>
        <v>0</v>
      </c>
      <c r="H33" s="1193">
        <f ca="1">IF(G35+H31-G33&gt;tesoreriasec,0,MIN(G33-G35-H31+tesoreriasec,Finançamento!$G$49))</f>
        <v>0</v>
      </c>
      <c r="I33" s="1193">
        <f ca="1">IF(H35+I31-H33&gt;tesoreriasec,0,MIN(H33-H35-I31+tesoreriasec,Finançamento!$G$49))</f>
        <v>0</v>
      </c>
      <c r="J33" s="1193">
        <f ca="1">IF(I35+J31-I33&gt;tesoreriasec,0,MIN(I33-I35-J31+tesoreriasec,Finançamento!$G$49))</f>
        <v>0</v>
      </c>
      <c r="K33" s="1193">
        <f ca="1">IF(J35+K31-J33&gt;tesoreriasec,0,MIN(J33-J35-K31+tesoreriasec,Finançamento!$G$49))</f>
        <v>0</v>
      </c>
      <c r="L33" s="1193">
        <f ca="1">IF(K35+L31-K33&gt;tesoreriasec,0,MIN(K33-K35-L31+tesoreriasec,Finançamento!$G$49))</f>
        <v>0</v>
      </c>
      <c r="M33" s="1193">
        <f ca="1">IF(L35+M31-L33&gt;tesoreriasec,0,MIN(L33-L35-M31+tesoreriasec,Finançamento!$G$49))</f>
        <v>0</v>
      </c>
      <c r="N33" s="1194">
        <f ca="1">IF(M35+N31-M33&gt;tesoreriasec,0,MIN(M33-M35-N31+tesoreriasec,Finançamento!$G$49))</f>
        <v>0</v>
      </c>
      <c r="O33" s="1195"/>
    </row>
    <row r="34" spans="1:15" s="301" customFormat="1" ht="21" customHeight="1" thickBot="1">
      <c r="A34" s="1206"/>
      <c r="B34" s="1196"/>
      <c r="C34" s="1197"/>
      <c r="D34" s="1197"/>
      <c r="E34" s="1197"/>
      <c r="F34" s="1197"/>
      <c r="G34" s="1197"/>
      <c r="H34" s="1197"/>
      <c r="I34" s="1197"/>
      <c r="J34" s="1197"/>
      <c r="K34" s="1197"/>
      <c r="L34" s="1197"/>
      <c r="M34" s="1197"/>
      <c r="O34" s="1198"/>
    </row>
    <row r="35" spans="1:15" s="301" customFormat="1" ht="21" customHeight="1" thickBot="1">
      <c r="A35" s="1205" t="str">
        <f>'Tesorería 0'!A35</f>
        <v>Tesouraria acumulada</v>
      </c>
      <c r="B35" s="1199">
        <f ca="1">'Tesorería 2'!N35-(Finançamento!G9-Finançamento!G25+Finançamento!G19)</f>
        <v>-23005.309287336371</v>
      </c>
      <c r="C35" s="1200">
        <f t="array" ref="C35:N35" ca="1">B35:M35+C31:N31+C33:N33-B33:M33</f>
        <v>-24015.510386524271</v>
      </c>
      <c r="D35" s="1201">
        <f ca="1"/>
        <v>-24451.882877912172</v>
      </c>
      <c r="E35" s="1201">
        <f ca="1"/>
        <v>-24888.255369300074</v>
      </c>
      <c r="F35" s="1201">
        <f ca="1"/>
        <v>-25967.265178882073</v>
      </c>
      <c r="G35" s="1201">
        <f ca="1"/>
        <v>-26425.329229507472</v>
      </c>
      <c r="H35" s="1201">
        <f ca="1"/>
        <v>-26883.39328013287</v>
      </c>
      <c r="I35" s="1201">
        <f ca="1"/>
        <v>-27962.40308971487</v>
      </c>
      <c r="J35" s="1201">
        <f ca="1"/>
        <v>-28420.467140340268</v>
      </c>
      <c r="K35" s="1201">
        <f ca="1"/>
        <v>-28878.531190965667</v>
      </c>
      <c r="L35" s="1201">
        <f ca="1"/>
        <v>-29957.541000547666</v>
      </c>
      <c r="M35" s="1201">
        <f ca="1"/>
        <v>-30415.605051173065</v>
      </c>
      <c r="N35" s="1202">
        <f ca="1"/>
        <v>-30873.669101798463</v>
      </c>
      <c r="O35" s="1203"/>
    </row>
    <row r="36" spans="1:15" ht="18.75" customHeight="1">
      <c r="A36" s="5"/>
      <c r="B36" s="5"/>
    </row>
    <row r="37" spans="1:15" ht="18.75" customHeight="1">
      <c r="A37" s="5"/>
      <c r="B37" s="5"/>
    </row>
    <row r="38" spans="1:15" ht="18.75" customHeight="1">
      <c r="A38" s="320"/>
      <c r="B38" s="321"/>
      <c r="C38" s="318" t="str">
        <f t="array" ref="C38:D38">'Tesorería 0'!C38:D38</f>
        <v>Montante</v>
      </c>
      <c r="D38" s="319" t="str">
        <v>mes</v>
      </c>
    </row>
    <row r="39" spans="1:15" s="300" customFormat="1" ht="21" customHeight="1">
      <c r="A39" s="299"/>
      <c r="B39" s="317" t="str">
        <f t="array" ref="B39:B41">'Tesorería 0'!B39:B41</f>
        <v>Máximo descoberto no ano</v>
      </c>
      <c r="C39" s="1720">
        <f ca="1">MAX(C33:N33)*0-MIN(C35:N35,0)</f>
        <v>30873.669101798463</v>
      </c>
      <c r="D39" s="1187" t="str">
        <f ca="1">IF(C39&lt;&gt;0,INDEX(C4:N4,1,MATCH(-C39,C35:N35,0)),"")</f>
        <v>dezembro</v>
      </c>
      <c r="O39" s="301"/>
    </row>
    <row r="40" spans="1:15" s="300" customFormat="1" ht="18.75" customHeight="1">
      <c r="A40" s="299"/>
      <c r="B40" s="317" t="str">
        <v>Fluxo de caixa do periodo  (Cash Flow)</v>
      </c>
      <c r="C40" s="1721">
        <f ca="1">N35-B35+B33-N33</f>
        <v>-7868.3598144620919</v>
      </c>
      <c r="D40" s="1186"/>
      <c r="O40" s="301"/>
    </row>
    <row r="41" spans="1:15" s="300" customFormat="1" ht="21" customHeight="1">
      <c r="A41" s="299"/>
      <c r="B41" s="317" t="str">
        <v>Máxima tesouraria mensual</v>
      </c>
      <c r="C41" s="1722">
        <f ca="1">MAX(C35:N35)</f>
        <v>-24015.510386524271</v>
      </c>
      <c r="D41" s="1187" t="str">
        <f ca="1">INDEX(C4:N4,1,MATCH(C41,C35:N35,0))</f>
        <v>janeiro</v>
      </c>
      <c r="O41" s="301"/>
    </row>
    <row r="42" spans="1:15" ht="18" customHeight="1">
      <c r="A42" s="5"/>
      <c r="B42" s="5"/>
    </row>
    <row r="43" spans="1:15">
      <c r="A43" s="5"/>
      <c r="B43" s="5"/>
    </row>
    <row r="44" spans="1:15" ht="15">
      <c r="A44" s="36"/>
      <c r="B44" s="36"/>
    </row>
    <row r="45" spans="1:15" ht="15">
      <c r="A45" s="36"/>
      <c r="B45" s="36"/>
    </row>
    <row r="46" spans="1:15" ht="15">
      <c r="A46" s="36"/>
      <c r="B46" s="36"/>
    </row>
    <row r="47" spans="1:15" ht="15">
      <c r="A47" s="36"/>
      <c r="B47" s="36"/>
    </row>
    <row r="48" spans="1:15" ht="15">
      <c r="A48" s="36"/>
      <c r="B48" s="36"/>
    </row>
    <row r="49" spans="1:2" ht="15">
      <c r="A49" s="36"/>
      <c r="B49" s="36"/>
    </row>
    <row r="50" spans="1:2" ht="15">
      <c r="A50" s="36"/>
      <c r="B50" s="36"/>
    </row>
    <row r="51" spans="1:2" ht="15">
      <c r="A51" s="36"/>
      <c r="B51" s="36"/>
    </row>
    <row r="52" spans="1:2" ht="15">
      <c r="A52" s="36"/>
      <c r="B52" s="36"/>
    </row>
    <row r="53" spans="1:2" ht="15">
      <c r="A53" s="36"/>
      <c r="B53" s="36"/>
    </row>
    <row r="54" spans="1:2" ht="15">
      <c r="A54" s="36"/>
      <c r="B54" s="36"/>
    </row>
    <row r="55" spans="1:2" ht="15">
      <c r="A55" s="36"/>
      <c r="B55" s="36"/>
    </row>
    <row r="56" spans="1:2" ht="15">
      <c r="A56" s="36"/>
      <c r="B56" s="36"/>
    </row>
    <row r="57" spans="1:2" ht="15">
      <c r="A57" s="36"/>
      <c r="B57" s="36"/>
    </row>
    <row r="58" spans="1:2" ht="15">
      <c r="A58" s="36"/>
      <c r="B58" s="36"/>
    </row>
    <row r="59" spans="1:2" ht="15">
      <c r="A59" s="36"/>
      <c r="B59" s="36"/>
    </row>
    <row r="60" spans="1:2" ht="15">
      <c r="A60" s="36"/>
      <c r="B60" s="36"/>
    </row>
  </sheetData>
  <sheetProtection sheet="1" objects="1" scenarios="1"/>
  <phoneticPr fontId="4"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pageSetUpPr fitToPage="1"/>
  </sheetPr>
  <dimension ref="A1:G86"/>
  <sheetViews>
    <sheetView workbookViewId="0"/>
  </sheetViews>
  <sheetFormatPr baseColWidth="10" defaultRowHeight="15.75" outlineLevelRow="1"/>
  <cols>
    <col min="1" max="1" width="37.5" style="1" customWidth="1"/>
    <col min="2" max="2" width="10.375" style="1" customWidth="1"/>
    <col min="3" max="6" width="10.375" customWidth="1"/>
  </cols>
  <sheetData>
    <row r="1" spans="1:6" ht="22.5">
      <c r="A1" s="417" t="s">
        <v>1121</v>
      </c>
    </row>
    <row r="2" spans="1:6" ht="22.5">
      <c r="A2" s="417" t="str">
        <f>'Dados Básicos'!B9</f>
        <v>WWW, S.L.</v>
      </c>
    </row>
    <row r="3" spans="1:6" ht="16.5" thickBot="1"/>
    <row r="4" spans="1:6" ht="25.5">
      <c r="A4" s="1604" t="s">
        <v>1110</v>
      </c>
      <c r="B4" s="1395" t="str">
        <f t="array" ref="B4:F4">anni</f>
        <v>Ano 0:  2026</v>
      </c>
      <c r="C4" s="1393" t="str">
        <v>Ano 1:  2027</v>
      </c>
      <c r="D4" s="1393" t="str">
        <v>Ano 2:  2028</v>
      </c>
      <c r="E4" s="1393" t="str">
        <v>Ano 3:  2029</v>
      </c>
      <c r="F4" s="1393" t="str">
        <v>Ano 4:  2030</v>
      </c>
    </row>
    <row r="5" spans="1:6">
      <c r="A5" s="1600" t="str">
        <f t="array" ref="A5:A10">'Inv. Iniciais ANC'!A5:B10</f>
        <v>Terrenos e Edificações</v>
      </c>
      <c r="B5" s="1601"/>
      <c r="C5" s="1602"/>
      <c r="D5" s="1602"/>
      <c r="E5" s="1602"/>
      <c r="F5" s="1603"/>
    </row>
    <row r="6" spans="1:6" outlineLevel="1">
      <c r="A6" s="1605" t="str">
        <v>Terrenos</v>
      </c>
      <c r="B6" s="664">
        <f t="array" ref="B6:B9">'Inv. Iniciais ANC'!B6:B9</f>
        <v>0</v>
      </c>
      <c r="C6" s="16">
        <v>0</v>
      </c>
      <c r="D6" s="16">
        <v>0</v>
      </c>
      <c r="E6" s="16">
        <v>0</v>
      </c>
      <c r="F6" s="570">
        <v>0</v>
      </c>
    </row>
    <row r="7" spans="1:6" outlineLevel="1">
      <c r="A7" s="1605" t="str">
        <v>Obra construida</v>
      </c>
      <c r="B7" s="664">
        <v>0</v>
      </c>
      <c r="C7" s="16">
        <v>0</v>
      </c>
      <c r="D7" s="16">
        <v>0</v>
      </c>
      <c r="E7" s="16">
        <v>0</v>
      </c>
      <c r="F7" s="570">
        <v>0</v>
      </c>
    </row>
    <row r="8" spans="1:6" outlineLevel="1">
      <c r="A8" s="1605" t="str">
        <v>Obras de Reforma / Adecuação loja</v>
      </c>
      <c r="B8" s="664">
        <v>0</v>
      </c>
      <c r="C8" s="15">
        <v>0</v>
      </c>
      <c r="D8" s="15">
        <v>0</v>
      </c>
      <c r="E8" s="15">
        <v>0</v>
      </c>
      <c r="F8" s="31">
        <v>0</v>
      </c>
    </row>
    <row r="9" spans="1:6" outlineLevel="1">
      <c r="A9" s="2309" t="str">
        <v>Investimentos imobiliária (Bal. Previo)</v>
      </c>
      <c r="B9" s="2310">
        <v>0</v>
      </c>
      <c r="C9" s="2417"/>
      <c r="D9" s="2417"/>
      <c r="E9" s="2417"/>
      <c r="F9" s="2277"/>
    </row>
    <row r="10" spans="1:6" ht="16.5" thickBot="1">
      <c r="A10" s="1574" t="str">
        <v>Total Terrenos e Edificações</v>
      </c>
      <c r="B10" s="665">
        <f>SUM(B6:B9)</f>
        <v>0</v>
      </c>
      <c r="C10" s="665">
        <f>SUM(C6:C8)</f>
        <v>0</v>
      </c>
      <c r="D10" s="665">
        <f>SUM(D6:D8)</f>
        <v>0</v>
      </c>
      <c r="E10" s="665">
        <f>SUM(E6:E8)</f>
        <v>0</v>
      </c>
      <c r="F10" s="571">
        <f>SUM(F6:F8)</f>
        <v>0</v>
      </c>
    </row>
    <row r="11" spans="1:6" ht="11.25" customHeight="1" thickBot="1">
      <c r="A11" s="1575"/>
      <c r="B11" s="666"/>
      <c r="C11" s="5"/>
      <c r="D11" s="5"/>
      <c r="E11" s="5"/>
      <c r="F11" s="5"/>
    </row>
    <row r="12" spans="1:6">
      <c r="A12" s="1576" t="str">
        <f t="array" ref="A12:A20">'Inv. Iniciais ANC'!A12:B20</f>
        <v>Instalações</v>
      </c>
      <c r="B12" s="1827" t="str">
        <f t="array" ref="B12:F12">Parametros!D$62:H$62</f>
        <v>Ano 0</v>
      </c>
      <c r="C12" s="3127">
        <v>1</v>
      </c>
      <c r="D12" s="3127">
        <v>2</v>
      </c>
      <c r="E12" s="3127">
        <v>3</v>
      </c>
      <c r="F12" s="3128">
        <v>4</v>
      </c>
    </row>
    <row r="13" spans="1:6" outlineLevel="1">
      <c r="A13" s="1577" t="str">
        <v>instalações gerais</v>
      </c>
      <c r="B13" s="664">
        <f t="array" ref="B13:B19">'Inv. Iniciais ANC'!B13:B19</f>
        <v>0</v>
      </c>
      <c r="C13" s="15">
        <v>0</v>
      </c>
      <c r="D13" s="15">
        <v>0</v>
      </c>
      <c r="E13" s="15">
        <v>0</v>
      </c>
      <c r="F13" s="31">
        <v>0</v>
      </c>
    </row>
    <row r="14" spans="1:6" outlineLevel="1">
      <c r="A14" s="1577" t="str">
        <v>instalação Eléctrica e Iluminação</v>
      </c>
      <c r="B14" s="664">
        <v>0</v>
      </c>
      <c r="C14" s="15">
        <v>0</v>
      </c>
      <c r="D14" s="15">
        <v>0</v>
      </c>
      <c r="E14" s="15">
        <v>0</v>
      </c>
      <c r="F14" s="31">
        <v>0</v>
      </c>
    </row>
    <row r="15" spans="1:6" outlineLevel="1">
      <c r="A15" s="1577" t="str">
        <v>Água e saneamiento</v>
      </c>
      <c r="B15" s="664">
        <v>0</v>
      </c>
      <c r="C15" s="15">
        <v>0</v>
      </c>
      <c r="D15" s="15">
        <v>0</v>
      </c>
      <c r="E15" s="15">
        <v>0</v>
      </c>
      <c r="F15" s="31">
        <v>0</v>
      </c>
    </row>
    <row r="16" spans="1:6" outlineLevel="1">
      <c r="A16" s="1577" t="str">
        <v>Telecomunições</v>
      </c>
      <c r="B16" s="664">
        <v>0</v>
      </c>
      <c r="C16" s="15">
        <v>0</v>
      </c>
      <c r="D16" s="15">
        <v>0</v>
      </c>
      <c r="E16" s="15">
        <v>0</v>
      </c>
      <c r="F16" s="31">
        <v>0</v>
      </c>
    </row>
    <row r="17" spans="1:6" outlineLevel="1">
      <c r="A17" s="1577" t="str">
        <v>instalação rede anti-incêndios</v>
      </c>
      <c r="B17" s="664">
        <v>0</v>
      </c>
      <c r="C17" s="15">
        <v>0</v>
      </c>
      <c r="D17" s="15">
        <v>0</v>
      </c>
      <c r="E17" s="15">
        <v>0</v>
      </c>
      <c r="F17" s="31">
        <v>0</v>
      </c>
    </row>
    <row r="18" spans="1:6" outlineLevel="1">
      <c r="A18" s="1577" t="str">
        <v>Alarmas e instalações de segurança</v>
      </c>
      <c r="B18" s="664">
        <v>0</v>
      </c>
      <c r="C18" s="15">
        <v>0</v>
      </c>
      <c r="D18" s="15">
        <v>0</v>
      </c>
      <c r="E18" s="15">
        <v>0</v>
      </c>
      <c r="F18" s="31">
        <v>0</v>
      </c>
    </row>
    <row r="19" spans="1:6" outlineLevel="1">
      <c r="A19" s="2314" t="str">
        <v>Activos Fixos tangíveis (Bal. Previo)</v>
      </c>
      <c r="B19" s="2310">
        <v>0</v>
      </c>
      <c r="C19" s="2417"/>
      <c r="D19" s="2417"/>
      <c r="E19" s="2417"/>
      <c r="F19" s="2277"/>
    </row>
    <row r="20" spans="1:6" ht="16.5" thickBot="1">
      <c r="A20" s="1578" t="str">
        <v>Total Instalações</v>
      </c>
      <c r="B20" s="665">
        <f>SUM(B13:B19)</f>
        <v>0</v>
      </c>
      <c r="C20" s="665">
        <f>SUM(C13:C19)</f>
        <v>0</v>
      </c>
      <c r="D20" s="665">
        <f>SUM(D13:D19)</f>
        <v>0</v>
      </c>
      <c r="E20" s="665">
        <f>SUM(E13:E19)</f>
        <v>0</v>
      </c>
      <c r="F20" s="571">
        <f>SUM(F13:F19)</f>
        <v>0</v>
      </c>
    </row>
    <row r="21" spans="1:6" ht="11.25" customHeight="1" thickBot="1">
      <c r="A21" s="1575"/>
      <c r="B21" s="666"/>
      <c r="C21" s="5"/>
      <c r="D21" s="5"/>
      <c r="E21" s="5"/>
      <c r="F21" s="5"/>
    </row>
    <row r="22" spans="1:6">
      <c r="A22" s="1576" t="str">
        <f t="array" ref="A22:A26">'Inv. Iniciais ANC'!A22:B26</f>
        <v>Maquinaria</v>
      </c>
      <c r="B22" s="1827" t="str">
        <f t="array" ref="B22:F22">Parametros!D$62:H$62</f>
        <v>Ano 0</v>
      </c>
      <c r="C22" s="3127">
        <v>1</v>
      </c>
      <c r="D22" s="3127">
        <v>2</v>
      </c>
      <c r="E22" s="3127">
        <v>3</v>
      </c>
      <c r="F22" s="3128">
        <v>4</v>
      </c>
    </row>
    <row r="23" spans="1:6" outlineLevel="1">
      <c r="A23" s="1577" t="str">
        <v>máquina</v>
      </c>
      <c r="B23" s="664">
        <f t="array" ref="B23:B25">'Inv. Iniciais ANC'!B23:B25</f>
        <v>0</v>
      </c>
      <c r="C23" s="15">
        <v>0</v>
      </c>
      <c r="D23" s="15">
        <v>0</v>
      </c>
      <c r="E23" s="15">
        <v>0</v>
      </c>
      <c r="F23" s="31">
        <v>0</v>
      </c>
    </row>
    <row r="24" spans="1:6" outlineLevel="1">
      <c r="A24" s="1577" t="str">
        <v>máquina</v>
      </c>
      <c r="B24" s="664">
        <v>0</v>
      </c>
      <c r="C24" s="15">
        <v>0</v>
      </c>
      <c r="D24" s="15">
        <v>0</v>
      </c>
      <c r="E24" s="15">
        <v>0</v>
      </c>
      <c r="F24" s="31">
        <v>0</v>
      </c>
    </row>
    <row r="25" spans="1:6" outlineLevel="1">
      <c r="A25" s="1577" t="str">
        <v>Máquina</v>
      </c>
      <c r="B25" s="664">
        <v>0</v>
      </c>
      <c r="C25" s="15">
        <v>0</v>
      </c>
      <c r="D25" s="15">
        <v>0</v>
      </c>
      <c r="E25" s="15">
        <v>0</v>
      </c>
      <c r="F25" s="31">
        <v>0</v>
      </c>
    </row>
    <row r="26" spans="1:6" ht="16.5" thickBot="1">
      <c r="A26" s="1574" t="str">
        <v>Total Maquinaria</v>
      </c>
      <c r="B26" s="665">
        <f>SUM(B23:B25)</f>
        <v>0</v>
      </c>
      <c r="C26" s="569">
        <f>SUM(C23:C25)</f>
        <v>0</v>
      </c>
      <c r="D26" s="569">
        <f>SUM(D23:D25)</f>
        <v>0</v>
      </c>
      <c r="E26" s="569">
        <f>SUM(E23:E25)</f>
        <v>0</v>
      </c>
      <c r="F26" s="571">
        <f>SUM(F23:F25)</f>
        <v>0</v>
      </c>
    </row>
    <row r="27" spans="1:6" ht="12" customHeight="1" thickBot="1">
      <c r="A27" s="1575"/>
      <c r="B27" s="666"/>
      <c r="C27" s="5"/>
      <c r="D27" s="5"/>
      <c r="E27" s="5"/>
      <c r="F27" s="5"/>
    </row>
    <row r="28" spans="1:6">
      <c r="A28" s="1576" t="str">
        <f t="array" ref="A28:A31">'Inv. Iniciais ANC'!A28:B31</f>
        <v>Utensilios, Ferramentas, ...</v>
      </c>
      <c r="B28" s="1827" t="str">
        <f t="array" ref="B28:F28">Parametros!D$62:H$62</f>
        <v>Ano 0</v>
      </c>
      <c r="C28" s="3127">
        <v>1</v>
      </c>
      <c r="D28" s="3127">
        <v>2</v>
      </c>
      <c r="E28" s="3127">
        <v>3</v>
      </c>
      <c r="F28" s="3128">
        <v>4</v>
      </c>
    </row>
    <row r="29" spans="1:6" outlineLevel="1">
      <c r="A29" s="1577" t="str">
        <v>Ferramentas de mão</v>
      </c>
      <c r="B29" s="664">
        <f t="array" ref="B29:B30">'Inv. Iniciais ANC'!B29:B30</f>
        <v>0</v>
      </c>
      <c r="C29" s="15">
        <v>0</v>
      </c>
      <c r="D29" s="15">
        <v>0</v>
      </c>
      <c r="E29" s="15">
        <v>0</v>
      </c>
      <c r="F29" s="31">
        <v>0</v>
      </c>
    </row>
    <row r="30" spans="1:6" outlineLevel="1">
      <c r="A30" s="1577" t="str">
        <v>Utiles de fabricação</v>
      </c>
      <c r="B30" s="664">
        <v>0</v>
      </c>
      <c r="C30" s="15">
        <v>0</v>
      </c>
      <c r="D30" s="15">
        <v>0</v>
      </c>
      <c r="E30" s="15">
        <v>0</v>
      </c>
      <c r="F30" s="31">
        <v>0</v>
      </c>
    </row>
    <row r="31" spans="1:6" ht="16.5" thickBot="1">
      <c r="A31" s="1578" t="str">
        <v>Total Utensilios, Ferramentas, ...</v>
      </c>
      <c r="B31" s="665">
        <f>SUM(B29:B30)</f>
        <v>0</v>
      </c>
      <c r="C31" s="569">
        <f>SUM(C29:C30)</f>
        <v>0</v>
      </c>
      <c r="D31" s="569">
        <f>SUM(D29:D30)</f>
        <v>0</v>
      </c>
      <c r="E31" s="569">
        <f>SUM(E29:E30)</f>
        <v>0</v>
      </c>
      <c r="F31" s="571">
        <f>SUM(F29:F30)</f>
        <v>0</v>
      </c>
    </row>
    <row r="32" spans="1:6" ht="12" customHeight="1" thickBot="1">
      <c r="A32" s="1575"/>
      <c r="B32" s="666"/>
      <c r="C32" s="5"/>
      <c r="D32" s="5"/>
      <c r="E32" s="5"/>
      <c r="F32" s="5"/>
    </row>
    <row r="33" spans="1:6">
      <c r="A33" s="1576" t="str">
        <f t="array" ref="A33:A37">'Inv. Iniciais ANC'!A33:B37</f>
        <v>Mobilia</v>
      </c>
      <c r="B33" s="1827" t="str">
        <f t="array" ref="B33:F33">Parametros!D$62:H$62</f>
        <v>Ano 0</v>
      </c>
      <c r="C33" s="3127">
        <v>1</v>
      </c>
      <c r="D33" s="3127">
        <v>2</v>
      </c>
      <c r="E33" s="3127">
        <v>3</v>
      </c>
      <c r="F33" s="3128">
        <v>4</v>
      </c>
    </row>
    <row r="34" spans="1:6" outlineLevel="1">
      <c r="A34" s="1577" t="str">
        <v>Móveis de escritório</v>
      </c>
      <c r="B34" s="664">
        <f t="array" ref="B34:B36">'Inv. Iniciais ANC'!B34:B36</f>
        <v>0</v>
      </c>
      <c r="C34" s="15">
        <v>0</v>
      </c>
      <c r="D34" s="15">
        <v>0</v>
      </c>
      <c r="E34" s="15">
        <v>0</v>
      </c>
      <c r="F34" s="31">
        <v>0</v>
      </c>
    </row>
    <row r="35" spans="1:6" outlineLevel="1">
      <c r="A35" s="1577" t="str">
        <v>Estantes armacém, expositores</v>
      </c>
      <c r="B35" s="664">
        <v>0</v>
      </c>
      <c r="C35" s="15">
        <v>0</v>
      </c>
      <c r="D35" s="15">
        <v>0</v>
      </c>
      <c r="E35" s="15">
        <v>0</v>
      </c>
      <c r="F35" s="31">
        <v>0</v>
      </c>
    </row>
    <row r="36" spans="1:6" outlineLevel="1">
      <c r="A36" s="1577" t="str">
        <v>Outros móveis</v>
      </c>
      <c r="B36" s="664">
        <v>0</v>
      </c>
      <c r="C36" s="15">
        <v>0</v>
      </c>
      <c r="D36" s="15">
        <v>0</v>
      </c>
      <c r="E36" s="15">
        <v>0</v>
      </c>
      <c r="F36" s="31">
        <v>0</v>
      </c>
    </row>
    <row r="37" spans="1:6" ht="16.5" thickBot="1">
      <c r="A37" s="1574" t="str">
        <v>Total Mobilia</v>
      </c>
      <c r="B37" s="665">
        <f>SUM(B34:B36)</f>
        <v>0</v>
      </c>
      <c r="C37" s="569">
        <f>SUM(C34:C36)</f>
        <v>0</v>
      </c>
      <c r="D37" s="569">
        <f>SUM(D34:D36)</f>
        <v>0</v>
      </c>
      <c r="E37" s="569">
        <f>SUM(E34:E36)</f>
        <v>0</v>
      </c>
      <c r="F37" s="571">
        <f>SUM(F34:F36)</f>
        <v>0</v>
      </c>
    </row>
    <row r="38" spans="1:6" ht="12" customHeight="1" thickBot="1">
      <c r="A38" s="1575"/>
      <c r="B38" s="666"/>
      <c r="C38" s="5"/>
      <c r="D38" s="5"/>
      <c r="E38" s="5"/>
      <c r="F38" s="5"/>
    </row>
    <row r="39" spans="1:6">
      <c r="A39" s="1576" t="str">
        <f t="array" ref="A39:A43">'Inv. Iniciais ANC'!A39:B43</f>
        <v>Elementos de transporte</v>
      </c>
      <c r="B39" s="1827" t="str">
        <f t="array" ref="B39:F39">Parametros!D$62:H$62</f>
        <v>Ano 0</v>
      </c>
      <c r="C39" s="3127">
        <v>1</v>
      </c>
      <c r="D39" s="3127">
        <v>2</v>
      </c>
      <c r="E39" s="3127">
        <v>3</v>
      </c>
      <c r="F39" s="3128">
        <v>4</v>
      </c>
    </row>
    <row r="40" spans="1:6" outlineLevel="1">
      <c r="A40" s="1577" t="str">
        <v>Veículos</v>
      </c>
      <c r="B40" s="664">
        <f t="array" ref="B40:B42">'Inv. Iniciais ANC'!B40:B42</f>
        <v>0</v>
      </c>
      <c r="C40" s="15">
        <v>0</v>
      </c>
      <c r="D40" s="15">
        <v>0</v>
      </c>
      <c r="E40" s="15">
        <v>0</v>
      </c>
      <c r="F40" s="31">
        <v>0</v>
      </c>
    </row>
    <row r="41" spans="1:6" outlineLevel="1">
      <c r="A41" s="1577" t="str">
        <v>Veículos industriais</v>
      </c>
      <c r="B41" s="664">
        <v>0</v>
      </c>
      <c r="C41" s="15">
        <v>0</v>
      </c>
      <c r="D41" s="15">
        <v>0</v>
      </c>
      <c r="E41" s="15">
        <v>0</v>
      </c>
      <c r="F41" s="31">
        <v>0</v>
      </c>
    </row>
    <row r="42" spans="1:6" outlineLevel="1">
      <c r="A42" s="1577" t="str">
        <v>Outros veículos</v>
      </c>
      <c r="B42" s="664">
        <v>0</v>
      </c>
      <c r="C42" s="15">
        <v>0</v>
      </c>
      <c r="D42" s="15">
        <v>0</v>
      </c>
      <c r="E42" s="15">
        <v>0</v>
      </c>
      <c r="F42" s="31">
        <v>0</v>
      </c>
    </row>
    <row r="43" spans="1:6" ht="16.5" thickBot="1">
      <c r="A43" s="1574" t="str">
        <v>Total Elementos de transporte</v>
      </c>
      <c r="B43" s="665">
        <f>SUM(B40:B42)</f>
        <v>0</v>
      </c>
      <c r="C43" s="569">
        <f>SUM(C40:C42)</f>
        <v>0</v>
      </c>
      <c r="D43" s="569">
        <f>SUM(D40:D42)</f>
        <v>0</v>
      </c>
      <c r="E43" s="569">
        <f>SUM(E40:E42)</f>
        <v>0</v>
      </c>
      <c r="F43" s="571">
        <f>SUM(F40:F42)</f>
        <v>0</v>
      </c>
    </row>
    <row r="44" spans="1:6" ht="9.75" customHeight="1" thickBot="1">
      <c r="A44" s="1575"/>
      <c r="B44" s="666"/>
      <c r="C44" s="5"/>
      <c r="D44" s="5"/>
      <c r="E44" s="5"/>
      <c r="F44" s="5"/>
    </row>
    <row r="45" spans="1:6">
      <c r="A45" s="1576" t="str">
        <f t="array" ref="A45:A50">'Inv. Iniciais ANC'!A45:B50</f>
        <v>Equipa processo de informação</v>
      </c>
      <c r="B45" s="1827" t="str">
        <f t="array" ref="B45:F45">Parametros!D$62:H$62</f>
        <v>Ano 0</v>
      </c>
      <c r="C45" s="3127">
        <v>1</v>
      </c>
      <c r="D45" s="3127">
        <v>2</v>
      </c>
      <c r="E45" s="3127">
        <v>3</v>
      </c>
      <c r="F45" s="3128">
        <v>4</v>
      </c>
    </row>
    <row r="46" spans="1:6" outlineLevel="1">
      <c r="A46" s="1577" t="str">
        <v>Computadores</v>
      </c>
      <c r="B46" s="664">
        <f t="array" ref="B46:B49">'Inv. Iniciais ANC'!B46:B49</f>
        <v>0</v>
      </c>
      <c r="C46" s="15">
        <v>0</v>
      </c>
      <c r="D46" s="15">
        <v>0</v>
      </c>
      <c r="E46" s="15">
        <v>0</v>
      </c>
      <c r="F46" s="31">
        <v>0</v>
      </c>
    </row>
    <row r="47" spans="1:6" outlineLevel="1">
      <c r="A47" s="1577" t="str">
        <v>Terminais de Ponto de Venda</v>
      </c>
      <c r="B47" s="664">
        <v>0</v>
      </c>
      <c r="C47" s="15">
        <v>0</v>
      </c>
      <c r="D47" s="15">
        <v>0</v>
      </c>
      <c r="E47" s="15">
        <v>0</v>
      </c>
      <c r="F47" s="31">
        <v>0</v>
      </c>
    </row>
    <row r="48" spans="1:6" outlineLevel="1">
      <c r="A48" s="1577" t="str">
        <v>Impresoras e fotocopiadoras</v>
      </c>
      <c r="B48" s="664">
        <v>0</v>
      </c>
      <c r="C48" s="15">
        <v>0</v>
      </c>
      <c r="D48" s="15">
        <v>0</v>
      </c>
      <c r="E48" s="15">
        <v>0</v>
      </c>
      <c r="F48" s="31">
        <v>0</v>
      </c>
    </row>
    <row r="49" spans="1:6" outlineLevel="1">
      <c r="A49" s="1577" t="str">
        <v xml:space="preserve">Centralitas, enrotadores, redes </v>
      </c>
      <c r="B49" s="664">
        <v>0</v>
      </c>
      <c r="C49" s="15">
        <v>0</v>
      </c>
      <c r="D49" s="15">
        <v>0</v>
      </c>
      <c r="E49" s="15">
        <v>0</v>
      </c>
      <c r="F49" s="31">
        <v>0</v>
      </c>
    </row>
    <row r="50" spans="1:6" ht="16.5" thickBot="1">
      <c r="A50" s="1574" t="str">
        <v>Total Equipa processo de informação</v>
      </c>
      <c r="B50" s="665">
        <f>SUM(B46:B49)</f>
        <v>0</v>
      </c>
      <c r="C50" s="569">
        <f>SUM(C46:C49)</f>
        <v>0</v>
      </c>
      <c r="D50" s="569">
        <f>SUM(D46:D49)</f>
        <v>0</v>
      </c>
      <c r="E50" s="569">
        <f>SUM(E46:E49)</f>
        <v>0</v>
      </c>
      <c r="F50" s="571">
        <f>SUM(F46:F49)</f>
        <v>0</v>
      </c>
    </row>
    <row r="51" spans="1:6" ht="10.5" customHeight="1" thickBot="1">
      <c r="A51" s="1575"/>
      <c r="B51" s="666"/>
      <c r="C51" s="5"/>
      <c r="D51" s="5"/>
      <c r="E51" s="5"/>
      <c r="F51" s="5"/>
    </row>
    <row r="52" spans="1:6">
      <c r="A52" s="1576" t="str">
        <f t="array" ref="A52:A55">'Inv. Iniciais ANC'!A52:B55</f>
        <v>Outro Ativo Fixo</v>
      </c>
      <c r="B52" s="1827" t="str">
        <f t="array" ref="B52:F52">Parametros!D$62:H$62</f>
        <v>Ano 0</v>
      </c>
      <c r="C52" s="3127">
        <v>1</v>
      </c>
      <c r="D52" s="3127">
        <v>2</v>
      </c>
      <c r="E52" s="3127">
        <v>3</v>
      </c>
      <c r="F52" s="3128">
        <v>4</v>
      </c>
    </row>
    <row r="53" spans="1:6" outlineLevel="1">
      <c r="A53" s="1577" t="str">
        <v>outros activos não correntes necessários</v>
      </c>
      <c r="B53" s="664">
        <f t="array" ref="B53:B54">'Inv. Iniciais ANC'!B53:B54</f>
        <v>0</v>
      </c>
      <c r="C53" s="15">
        <v>0</v>
      </c>
      <c r="D53" s="15">
        <v>0</v>
      </c>
      <c r="E53" s="15">
        <v>0</v>
      </c>
      <c r="F53" s="31">
        <v>0</v>
      </c>
    </row>
    <row r="54" spans="1:6" outlineLevel="1">
      <c r="A54" s="1577" t="str">
        <v>Direitos de trasferência</v>
      </c>
      <c r="B54" s="664">
        <v>0</v>
      </c>
      <c r="C54" s="15">
        <v>0</v>
      </c>
      <c r="D54" s="15">
        <v>0</v>
      </c>
      <c r="E54" s="15">
        <v>0</v>
      </c>
      <c r="F54" s="31">
        <v>0</v>
      </c>
    </row>
    <row r="55" spans="1:6" ht="16.5" thickBot="1">
      <c r="A55" s="1574" t="str">
        <v>Total Outro Ativo Fixo</v>
      </c>
      <c r="B55" s="665">
        <f>SUM(B53:B54)</f>
        <v>0</v>
      </c>
      <c r="C55" s="569">
        <f>SUM(C53:C54)</f>
        <v>0</v>
      </c>
      <c r="D55" s="569">
        <f>SUM(D53:D54)</f>
        <v>0</v>
      </c>
      <c r="E55" s="569">
        <f>SUM(E53:E54)</f>
        <v>0</v>
      </c>
      <c r="F55" s="571">
        <f>SUM(F53:F54)</f>
        <v>0</v>
      </c>
    </row>
    <row r="56" spans="1:6" ht="9.75" customHeight="1" thickBot="1"/>
    <row r="57" spans="1:6">
      <c r="A57" s="1576" t="str">
        <f t="array" ref="A57:A63">'Inv. Iniciais ANC'!A57:B63</f>
        <v>Imobilizado Intangível</v>
      </c>
      <c r="B57" s="1827" t="str">
        <f t="array" ref="B57:F57">Parametros!D$62:H$62</f>
        <v>Ano 0</v>
      </c>
      <c r="C57" s="3127">
        <v>1</v>
      </c>
      <c r="D57" s="3127">
        <v>2</v>
      </c>
      <c r="E57" s="3127">
        <v>3</v>
      </c>
      <c r="F57" s="3128">
        <v>4</v>
      </c>
    </row>
    <row r="58" spans="1:6" outlineLevel="1">
      <c r="A58" s="1577" t="str">
        <v>Software e Desemvolvimentos Web</v>
      </c>
      <c r="B58" s="664">
        <f t="array" ref="B58:B62">'Inv. Iniciais ANC'!B58:B62</f>
        <v>0</v>
      </c>
      <c r="C58" s="15">
        <v>0</v>
      </c>
      <c r="D58" s="15">
        <v>0</v>
      </c>
      <c r="E58" s="15">
        <v>0</v>
      </c>
      <c r="F58" s="31">
        <v>0</v>
      </c>
    </row>
    <row r="59" spans="1:6" outlineLevel="1">
      <c r="A59" s="1577" t="str">
        <v>investimentos I+D+I</v>
      </c>
      <c r="B59" s="664">
        <v>0</v>
      </c>
      <c r="C59" s="15">
        <v>0</v>
      </c>
      <c r="D59" s="15">
        <v>0</v>
      </c>
      <c r="E59" s="15">
        <v>0</v>
      </c>
      <c r="F59" s="31">
        <v>0</v>
      </c>
    </row>
    <row r="60" spans="1:6" outlineLevel="1">
      <c r="A60" s="1577" t="str">
        <v>Patentes, marcas e similares</v>
      </c>
      <c r="B60" s="664">
        <v>0</v>
      </c>
      <c r="C60" s="15">
        <v>0</v>
      </c>
      <c r="D60" s="15">
        <v>0</v>
      </c>
      <c r="E60" s="15">
        <v>0</v>
      </c>
      <c r="F60" s="31">
        <v>0</v>
      </c>
    </row>
    <row r="61" spans="1:6" outlineLevel="1">
      <c r="A61" s="1577" t="str">
        <v>Certificações, homologações</v>
      </c>
      <c r="B61" s="664">
        <v>0</v>
      </c>
      <c r="C61" s="15">
        <v>0</v>
      </c>
      <c r="D61" s="15">
        <v>0</v>
      </c>
      <c r="E61" s="15">
        <v>0</v>
      </c>
      <c r="F61" s="31">
        <v>0</v>
      </c>
    </row>
    <row r="62" spans="1:6" outlineLevel="1">
      <c r="A62" s="2314" t="str">
        <v>Imobilizado Incorpóreo (Bal. Previo)</v>
      </c>
      <c r="B62" s="2310">
        <v>0</v>
      </c>
      <c r="C62" s="2276"/>
      <c r="D62" s="2276"/>
      <c r="E62" s="2276"/>
      <c r="F62" s="2277"/>
    </row>
    <row r="63" spans="1:6" ht="16.5" thickBot="1">
      <c r="A63" s="1574" t="str">
        <v>Total Imobilizado Intangível</v>
      </c>
      <c r="B63" s="665">
        <f>SUM(B58:B62)</f>
        <v>0</v>
      </c>
      <c r="C63" s="2418">
        <f>SUM(C58:C62)</f>
        <v>0</v>
      </c>
      <c r="D63" s="2418">
        <f>SUM(D58:D62)</f>
        <v>0</v>
      </c>
      <c r="E63" s="2418">
        <f>SUM(E58:E62)</f>
        <v>0</v>
      </c>
      <c r="F63" s="2419">
        <f>SUM(F58:F62)</f>
        <v>0</v>
      </c>
    </row>
    <row r="64" spans="1:6" ht="12" customHeight="1"/>
    <row r="68" spans="1:7" ht="16.5" thickBot="1"/>
    <row r="69" spans="1:7" ht="23.25" thickBot="1">
      <c r="A69" s="2871" t="s">
        <v>1095</v>
      </c>
      <c r="B69" s="2872"/>
      <c r="C69" s="2873"/>
      <c r="D69" s="2873"/>
      <c r="E69" s="2873"/>
      <c r="F69" s="2874"/>
      <c r="G69" s="2874"/>
    </row>
    <row r="70" spans="1:7" ht="27" thickBot="1">
      <c r="A70" s="2875" t="s">
        <v>1096</v>
      </c>
      <c r="B70" s="2876" t="s">
        <v>1103</v>
      </c>
      <c r="C70" s="2876" t="str">
        <f t="array" ref="C70:G70">anni</f>
        <v>Ano 0:  2026</v>
      </c>
      <c r="D70" s="2877" t="str">
        <v>Ano 1:  2027</v>
      </c>
      <c r="E70" s="2877" t="str">
        <v>Ano 2:  2028</v>
      </c>
      <c r="F70" s="2877" t="str">
        <v>Ano 3:  2029</v>
      </c>
      <c r="G70" s="2878" t="str">
        <v>Ano 4:  2030</v>
      </c>
    </row>
    <row r="71" spans="1:7">
      <c r="A71" s="2879" t="str">
        <f>A5</f>
        <v>Terrenos e Edificações</v>
      </c>
      <c r="B71" s="664">
        <f>+'Bal. Inicial Previo'!D14</f>
        <v>0</v>
      </c>
      <c r="C71" s="664">
        <f>$B$10</f>
        <v>0</v>
      </c>
      <c r="D71" s="664">
        <f>$B$10</f>
        <v>0</v>
      </c>
      <c r="E71" s="664">
        <f>$B$10</f>
        <v>0</v>
      </c>
      <c r="F71" s="664">
        <f>$B$10</f>
        <v>0</v>
      </c>
      <c r="G71" s="2880">
        <f>$B$10</f>
        <v>0</v>
      </c>
    </row>
    <row r="72" spans="1:7">
      <c r="A72" s="2881" t="str">
        <f>A12</f>
        <v>Instalações</v>
      </c>
      <c r="B72" s="664">
        <v>0</v>
      </c>
      <c r="C72" s="664">
        <f>$B$20</f>
        <v>0</v>
      </c>
      <c r="D72" s="664">
        <f>$B$20</f>
        <v>0</v>
      </c>
      <c r="E72" s="664">
        <f>$B$20</f>
        <v>0</v>
      </c>
      <c r="F72" s="664">
        <f>$B$20</f>
        <v>0</v>
      </c>
      <c r="G72" s="2880">
        <f>$B$20</f>
        <v>0</v>
      </c>
    </row>
    <row r="73" spans="1:7">
      <c r="A73" s="2881" t="str">
        <f>A22</f>
        <v>Maquinaria</v>
      </c>
      <c r="B73" s="664">
        <v>0</v>
      </c>
      <c r="C73" s="664">
        <f>$B$26</f>
        <v>0</v>
      </c>
      <c r="D73" s="664">
        <f>$B$26</f>
        <v>0</v>
      </c>
      <c r="E73" s="664">
        <f>$B$26</f>
        <v>0</v>
      </c>
      <c r="F73" s="664">
        <f>$B$26</f>
        <v>0</v>
      </c>
      <c r="G73" s="2880">
        <f>$B$26</f>
        <v>0</v>
      </c>
    </row>
    <row r="74" spans="1:7">
      <c r="A74" s="2881" t="str">
        <f>A28</f>
        <v>Utensilios, Ferramentas, ...</v>
      </c>
      <c r="B74" s="664">
        <v>0</v>
      </c>
      <c r="C74" s="664">
        <f>$B$31</f>
        <v>0</v>
      </c>
      <c r="D74" s="664">
        <f>$B$31</f>
        <v>0</v>
      </c>
      <c r="E74" s="664">
        <f>$B$31</f>
        <v>0</v>
      </c>
      <c r="F74" s="664">
        <f>$B$31</f>
        <v>0</v>
      </c>
      <c r="G74" s="2880">
        <f>$B$31</f>
        <v>0</v>
      </c>
    </row>
    <row r="75" spans="1:7">
      <c r="A75" s="2881" t="str">
        <f>A33</f>
        <v>Mobilia</v>
      </c>
      <c r="B75" s="664">
        <v>0</v>
      </c>
      <c r="C75" s="664">
        <f>$B$37</f>
        <v>0</v>
      </c>
      <c r="D75" s="664">
        <f>$B$37</f>
        <v>0</v>
      </c>
      <c r="E75" s="664">
        <f>$B$37</f>
        <v>0</v>
      </c>
      <c r="F75" s="664">
        <f>$B$37</f>
        <v>0</v>
      </c>
      <c r="G75" s="2880">
        <f>$B$37</f>
        <v>0</v>
      </c>
    </row>
    <row r="76" spans="1:7">
      <c r="A76" s="2881" t="str">
        <f>A39</f>
        <v>Elementos de transporte</v>
      </c>
      <c r="B76" s="664">
        <v>0</v>
      </c>
      <c r="C76" s="664">
        <f>$B$43</f>
        <v>0</v>
      </c>
      <c r="D76" s="664">
        <f>$B$43</f>
        <v>0</v>
      </c>
      <c r="E76" s="664">
        <f>$B$43</f>
        <v>0</v>
      </c>
      <c r="F76" s="664">
        <f>$B$43</f>
        <v>0</v>
      </c>
      <c r="G76" s="2880">
        <f>$B$43</f>
        <v>0</v>
      </c>
    </row>
    <row r="77" spans="1:7">
      <c r="A77" s="2881" t="str">
        <f>A45</f>
        <v>Equipa processo de informação</v>
      </c>
      <c r="B77" s="664">
        <v>0</v>
      </c>
      <c r="C77" s="664">
        <f>$B$50</f>
        <v>0</v>
      </c>
      <c r="D77" s="664">
        <f>$B$50</f>
        <v>0</v>
      </c>
      <c r="E77" s="664">
        <f>$B$50</f>
        <v>0</v>
      </c>
      <c r="F77" s="664">
        <f>$B$50</f>
        <v>0</v>
      </c>
      <c r="G77" s="2880">
        <f>$B$50</f>
        <v>0</v>
      </c>
    </row>
    <row r="78" spans="1:7">
      <c r="A78" s="2881" t="str">
        <f>A52</f>
        <v>Outro Ativo Fixo</v>
      </c>
      <c r="B78" s="664">
        <f>+'Bal. Inicial Previo'!D12</f>
        <v>0</v>
      </c>
      <c r="C78" s="664">
        <f>$B$55</f>
        <v>0</v>
      </c>
      <c r="D78" s="664">
        <f>$B$55</f>
        <v>0</v>
      </c>
      <c r="E78" s="664">
        <f>$B$55</f>
        <v>0</v>
      </c>
      <c r="F78" s="664">
        <f>$B$55</f>
        <v>0</v>
      </c>
      <c r="G78" s="2880">
        <f>$B$55</f>
        <v>0</v>
      </c>
    </row>
    <row r="79" spans="1:7">
      <c r="A79" s="2882" t="str">
        <f>A57</f>
        <v>Imobilizado Intangível</v>
      </c>
      <c r="B79" s="2883">
        <f>+'Bal. Inicial Previo'!D10</f>
        <v>0</v>
      </c>
      <c r="C79" s="2883">
        <f>$B$63</f>
        <v>0</v>
      </c>
      <c r="D79" s="664">
        <f>$B$63</f>
        <v>0</v>
      </c>
      <c r="E79" s="664">
        <f>$B$63</f>
        <v>0</v>
      </c>
      <c r="F79" s="664">
        <f>$B$63</f>
        <v>0</v>
      </c>
      <c r="G79" s="2880">
        <f>$B$63</f>
        <v>0</v>
      </c>
    </row>
    <row r="80" spans="1:7" ht="16.5" thickBot="1">
      <c r="A80" s="2884" t="s">
        <v>1097</v>
      </c>
      <c r="B80" s="2885">
        <f t="shared" ref="B80:G80" si="0">SUM(B71:B79)</f>
        <v>0</v>
      </c>
      <c r="C80" s="2885">
        <f t="shared" si="0"/>
        <v>0</v>
      </c>
      <c r="D80" s="2886">
        <f t="shared" si="0"/>
        <v>0</v>
      </c>
      <c r="E80" s="2886">
        <f t="shared" si="0"/>
        <v>0</v>
      </c>
      <c r="F80" s="2886">
        <f t="shared" si="0"/>
        <v>0</v>
      </c>
      <c r="G80" s="2885">
        <f t="shared" si="0"/>
        <v>0</v>
      </c>
    </row>
    <row r="81" spans="1:7" ht="16.5" thickBot="1">
      <c r="A81" s="2887"/>
      <c r="C81" s="1"/>
      <c r="G81" s="2888"/>
    </row>
    <row r="82" spans="1:7" ht="16.5" thickBot="1">
      <c r="A82" s="1656" t="s">
        <v>1098</v>
      </c>
      <c r="B82" s="2889">
        <f>+'Bal. Inicial Previo'!D22-'Bal. Inicial Previo'!D31+'Bal. Inicial Previo'!D17</f>
        <v>0</v>
      </c>
      <c r="C82" s="2889">
        <f t="array" aca="1" ref="C82:G82" ca="1">'Investimentos AC'!B46:F46</f>
        <v>133.35</v>
      </c>
      <c r="D82" s="2890">
        <f ca="1"/>
        <v>0</v>
      </c>
      <c r="E82" s="2890">
        <f ca="1"/>
        <v>0</v>
      </c>
      <c r="F82" s="2890">
        <f ca="1"/>
        <v>0</v>
      </c>
      <c r="G82" s="2889">
        <f ca="1"/>
        <v>0</v>
      </c>
    </row>
    <row r="83" spans="1:7" ht="16.5" thickBot="1">
      <c r="A83" s="2887"/>
      <c r="C83" s="1"/>
      <c r="G83" s="2888"/>
    </row>
    <row r="84" spans="1:7" ht="16.5" thickBot="1">
      <c r="A84" s="1656" t="s">
        <v>1100</v>
      </c>
      <c r="B84" s="2891">
        <f>+'Bal. Inicial Previo'!D31</f>
        <v>0</v>
      </c>
      <c r="C84" s="2891">
        <f ca="1">'Investimentos AC'!B48</f>
        <v>1201.6500000000001</v>
      </c>
      <c r="D84" s="2892">
        <f ca="1">'Investimentos AC'!C48</f>
        <v>-15126.963843636366</v>
      </c>
      <c r="E84" s="2892">
        <f ca="1">'Investimentos AC'!D48</f>
        <v>-23005.309287336371</v>
      </c>
      <c r="F84" s="2892">
        <f ca="1">'Investimentos AC'!E48</f>
        <v>-30873.669101798463</v>
      </c>
      <c r="G84" s="2891">
        <f ca="1">'Investimentos AC'!F48</f>
        <v>-38711.768984771967</v>
      </c>
    </row>
    <row r="85" spans="1:7" ht="16.5" thickBot="1">
      <c r="A85" s="2887"/>
      <c r="C85" s="1"/>
      <c r="G85" s="2888"/>
    </row>
    <row r="86" spans="1:7" ht="16.5" thickBot="1">
      <c r="A86" s="1656" t="s">
        <v>1099</v>
      </c>
      <c r="B86" s="2891">
        <f>+B84+B82+B80</f>
        <v>0</v>
      </c>
      <c r="C86" s="2891">
        <f t="array" ref="C86:G86" ca="1">C80:G80+C82:G82+C84:G84</f>
        <v>1335</v>
      </c>
      <c r="D86" s="2892">
        <f ca="1"/>
        <v>-15126.963843636366</v>
      </c>
      <c r="E86" s="2892">
        <f ca="1"/>
        <v>-23005.309287336371</v>
      </c>
      <c r="F86" s="2892">
        <f ca="1"/>
        <v>-30873.669101798463</v>
      </c>
      <c r="G86" s="2891">
        <f ca="1"/>
        <v>-38711.768984771967</v>
      </c>
    </row>
  </sheetData>
  <sheetProtection sheet="1" objects="1" scenarios="1"/>
  <phoneticPr fontId="4" type="noConversion"/>
  <printOptions horizontalCentered="1"/>
  <pageMargins left="0.78740157480314965" right="0.56000000000000005" top="0.4" bottom="0.39" header="0" footer="0"/>
  <pageSetup paperSize="9" scale="81"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0">
    <tabColor indexed="43"/>
    <pageSetUpPr fitToPage="1"/>
  </sheetPr>
  <dimension ref="A1:O60"/>
  <sheetViews>
    <sheetView workbookViewId="0"/>
  </sheetViews>
  <sheetFormatPr baseColWidth="10" defaultColWidth="11" defaultRowHeight="12.75"/>
  <cols>
    <col min="1" max="1" width="29.25" style="88" customWidth="1"/>
    <col min="2" max="2" width="12" style="88" customWidth="1"/>
    <col min="3" max="3" width="11.875" style="88" customWidth="1"/>
    <col min="4" max="4" width="13.125" style="88" customWidth="1"/>
    <col min="5" max="5" width="13.5" style="88" customWidth="1"/>
    <col min="6" max="6" width="12" style="88" bestFit="1" customWidth="1"/>
    <col min="7" max="7" width="11.75" style="88" customWidth="1"/>
    <col min="8" max="8" width="12.25" style="88" bestFit="1" customWidth="1"/>
    <col min="9" max="9" width="11.75" style="88" bestFit="1" customWidth="1"/>
    <col min="10" max="10" width="12.125" style="88" customWidth="1"/>
    <col min="11" max="11" width="12.25" style="88" bestFit="1" customWidth="1"/>
    <col min="12" max="12" width="12" style="88" bestFit="1" customWidth="1"/>
    <col min="13" max="13" width="11.625" style="88" bestFit="1" customWidth="1"/>
    <col min="14" max="14" width="12" style="88" bestFit="1" customWidth="1"/>
    <col min="15" max="15" width="12.125" style="287" bestFit="1" customWidth="1"/>
    <col min="16" max="16384" width="11" style="88"/>
  </cols>
  <sheetData>
    <row r="1" spans="1:15" ht="22.5">
      <c r="A1" s="302" t="str">
        <f>'Tesorería 0'!A1</f>
        <v>Previsões de Cobranças e Pagamentos: Previsões de Tesouraria</v>
      </c>
      <c r="B1" s="283"/>
      <c r="E1" s="285"/>
      <c r="F1" s="2731" t="str">
        <f>Parametros!F$77</f>
        <v>Ano 4:  2030</v>
      </c>
      <c r="G1" s="304"/>
      <c r="H1" s="285"/>
      <c r="I1" s="168"/>
      <c r="J1" s="286"/>
      <c r="K1" s="168"/>
    </row>
    <row r="2" spans="1:15" ht="25.5">
      <c r="A2" s="303" t="str">
        <f>'Dados Básicos'!B9</f>
        <v>WWW, S.L.</v>
      </c>
      <c r="B2" s="288"/>
      <c r="D2" s="282"/>
      <c r="F2" s="285"/>
      <c r="G2" s="168"/>
      <c r="H2" s="168"/>
      <c r="I2" s="168"/>
      <c r="J2" s="168"/>
      <c r="K2" s="168"/>
    </row>
    <row r="3" spans="1:15" ht="15.75" thickBot="1">
      <c r="A3" s="36"/>
      <c r="B3" s="36"/>
    </row>
    <row r="4" spans="1:15" s="289" customFormat="1" ht="18" customHeight="1" thickBot="1">
      <c r="A4" s="322" t="s">
        <v>0</v>
      </c>
      <c r="B4" s="305"/>
      <c r="C4" s="306" t="str">
        <f t="array" ref="C4:N4">meses</f>
        <v>janeiro</v>
      </c>
      <c r="D4" s="306" t="str">
        <v>fevereiro</v>
      </c>
      <c r="E4" s="306" t="str">
        <v>março</v>
      </c>
      <c r="F4" s="306" t="str">
        <v>abril</v>
      </c>
      <c r="G4" s="306" t="str">
        <v>maio</v>
      </c>
      <c r="H4" s="306" t="str">
        <v>junho</v>
      </c>
      <c r="I4" s="306" t="str">
        <v>julho</v>
      </c>
      <c r="J4" s="306" t="str">
        <v>agosto</v>
      </c>
      <c r="K4" s="306" t="str">
        <v>setembro</v>
      </c>
      <c r="L4" s="306" t="str">
        <v>outubro</v>
      </c>
      <c r="M4" s="306" t="str">
        <v>novembro</v>
      </c>
      <c r="N4" s="310" t="str">
        <v>dezembro</v>
      </c>
      <c r="O4" s="311" t="s">
        <v>3</v>
      </c>
    </row>
    <row r="5" spans="1:15" s="289" customFormat="1" ht="18" customHeight="1" thickBot="1">
      <c r="A5" s="309" t="str">
        <f t="array" ref="A5:A11">'Resumo Tesourarias'!A4:A10</f>
        <v>COBRANÇAS</v>
      </c>
      <c r="B5" s="290"/>
      <c r="C5" s="290"/>
      <c r="D5" s="290"/>
      <c r="E5" s="290"/>
      <c r="F5" s="290"/>
      <c r="G5" s="290"/>
      <c r="H5" s="290"/>
      <c r="I5" s="290"/>
      <c r="J5" s="290"/>
      <c r="K5" s="290"/>
      <c r="L5" s="290"/>
      <c r="M5" s="290"/>
      <c r="O5" s="312"/>
    </row>
    <row r="6" spans="1:15" ht="21" customHeight="1">
      <c r="A6" s="1190" t="str">
        <v>Cobranças de vendas</v>
      </c>
      <c r="B6" s="326"/>
      <c r="C6" s="1220">
        <f t="array" aca="1" ref="C6:N6" ca="1">'Receitas e pagamentos 4'!B28:M28</f>
        <v>1577.0404343958</v>
      </c>
      <c r="D6" s="1220">
        <f ca="1"/>
        <v>1577.0404343958</v>
      </c>
      <c r="E6" s="1220">
        <f ca="1"/>
        <v>1577.0404343958</v>
      </c>
      <c r="F6" s="1220">
        <f ca="1"/>
        <v>1577.0404343958</v>
      </c>
      <c r="G6" s="1220">
        <f ca="1"/>
        <v>1577.0404343958</v>
      </c>
      <c r="H6" s="1220">
        <f ca="1"/>
        <v>1577.0404343958</v>
      </c>
      <c r="I6" s="1220">
        <f ca="1"/>
        <v>1577.0404343958</v>
      </c>
      <c r="J6" s="1220">
        <f ca="1"/>
        <v>1577.0404343958</v>
      </c>
      <c r="K6" s="1220">
        <f ca="1"/>
        <v>1577.0404343958</v>
      </c>
      <c r="L6" s="1220">
        <f ca="1"/>
        <v>1577.0404343958</v>
      </c>
      <c r="M6" s="1220">
        <f ca="1"/>
        <v>1577.0404343958</v>
      </c>
      <c r="N6" s="1221">
        <f ca="1"/>
        <v>1577.0404343958</v>
      </c>
      <c r="O6" s="1222">
        <f t="shared" ref="O6:O11" ca="1" si="0">SUM(C6:N6)</f>
        <v>18924.485212749601</v>
      </c>
    </row>
    <row r="7" spans="1:15" ht="21" customHeight="1">
      <c r="A7" s="1189" t="str">
        <v>Cobranças pendentes / Cobranças atrasadas</v>
      </c>
      <c r="B7" s="291"/>
      <c r="C7" s="1224">
        <f t="array" aca="1" ref="C7:N7" ca="1">+recmorosos*'Receitas e pagamentos 3'!$S$31/12
+Finançamento!$H$19*Parametros!B57:M57</f>
        <v>0</v>
      </c>
      <c r="D7" s="1224">
        <f ca="1"/>
        <v>0</v>
      </c>
      <c r="E7" s="1224">
        <f ca="1"/>
        <v>0</v>
      </c>
      <c r="F7" s="1224">
        <f ca="1"/>
        <v>0</v>
      </c>
      <c r="G7" s="1224">
        <f ca="1"/>
        <v>0</v>
      </c>
      <c r="H7" s="1224">
        <f ca="1"/>
        <v>0</v>
      </c>
      <c r="I7" s="1224">
        <f ca="1"/>
        <v>0</v>
      </c>
      <c r="J7" s="1224">
        <f ca="1"/>
        <v>0</v>
      </c>
      <c r="K7" s="1224">
        <f ca="1"/>
        <v>0</v>
      </c>
      <c r="L7" s="1224">
        <f ca="1"/>
        <v>0</v>
      </c>
      <c r="M7" s="1224">
        <f ca="1"/>
        <v>0</v>
      </c>
      <c r="N7" s="1225">
        <f ca="1"/>
        <v>0</v>
      </c>
      <c r="O7" s="1226">
        <f t="shared" ca="1" si="0"/>
        <v>0</v>
      </c>
    </row>
    <row r="8" spans="1:15" ht="21" customHeight="1">
      <c r="A8" s="1189" t="str">
        <v>Outras entradas</v>
      </c>
      <c r="B8" s="327"/>
      <c r="C8" s="1223">
        <v>0</v>
      </c>
      <c r="D8" s="1224">
        <v>0</v>
      </c>
      <c r="E8" s="1224">
        <v>0</v>
      </c>
      <c r="F8" s="1224">
        <v>0</v>
      </c>
      <c r="G8" s="1224">
        <v>0</v>
      </c>
      <c r="H8" s="1224">
        <v>0</v>
      </c>
      <c r="I8" s="1224">
        <v>0</v>
      </c>
      <c r="J8" s="1224">
        <f ca="1">IF('IRS Singulares'!N26&lt;0,-'IRS Singulares'!N26*'IRS Singulares'!N20,0)</f>
        <v>0</v>
      </c>
      <c r="K8" s="1224">
        <v>0</v>
      </c>
      <c r="L8" s="1224">
        <v>0</v>
      </c>
      <c r="M8" s="1224">
        <v>0</v>
      </c>
      <c r="N8" s="1225">
        <f ca="1">IF('IRC Coletivas'!$J$23&lt;0,-'IRC Coletivas'!$J$23,0)</f>
        <v>0</v>
      </c>
      <c r="O8" s="1226">
        <f t="shared" ca="1" si="0"/>
        <v>0</v>
      </c>
    </row>
    <row r="9" spans="1:15" ht="21" customHeight="1">
      <c r="A9" s="1189" t="str">
        <v>Devoluções de IVA</v>
      </c>
      <c r="B9" s="327"/>
      <c r="C9" s="1224">
        <f t="array" ref="C9:N9">'IVA 4'!C26:N26</f>
        <v>0</v>
      </c>
      <c r="D9" s="1224">
        <v>0</v>
      </c>
      <c r="E9" s="1224">
        <v>0</v>
      </c>
      <c r="F9" s="1224">
        <v>0</v>
      </c>
      <c r="G9" s="1224">
        <v>0</v>
      </c>
      <c r="H9" s="1224">
        <f ca="1"/>
        <v>0</v>
      </c>
      <c r="I9" s="1224">
        <v>0</v>
      </c>
      <c r="J9" s="1224">
        <v>0</v>
      </c>
      <c r="K9" s="1224">
        <v>0</v>
      </c>
      <c r="L9" s="1224">
        <v>0</v>
      </c>
      <c r="M9" s="1224">
        <v>0</v>
      </c>
      <c r="N9" s="1225">
        <v>0</v>
      </c>
      <c r="O9" s="1226">
        <f t="shared" ca="1" si="0"/>
        <v>0</v>
      </c>
    </row>
    <row r="10" spans="1:15" ht="21" customHeight="1">
      <c r="A10" s="1189" t="str">
        <v>Receitas financeiras</v>
      </c>
      <c r="B10" s="327"/>
      <c r="C10" s="1224">
        <f t="array" ref="C10:N10" ca="1">'Despesas Financeiras'!C107:N107</f>
        <v>0</v>
      </c>
      <c r="D10" s="1224">
        <f ca="1"/>
        <v>0</v>
      </c>
      <c r="E10" s="1224">
        <f ca="1"/>
        <v>0</v>
      </c>
      <c r="F10" s="1224">
        <f ca="1"/>
        <v>0</v>
      </c>
      <c r="G10" s="1224">
        <f ca="1"/>
        <v>0</v>
      </c>
      <c r="H10" s="1224">
        <f ca="1"/>
        <v>0</v>
      </c>
      <c r="I10" s="1224">
        <f ca="1"/>
        <v>0</v>
      </c>
      <c r="J10" s="1224">
        <f ca="1"/>
        <v>0</v>
      </c>
      <c r="K10" s="1224">
        <f ca="1"/>
        <v>0</v>
      </c>
      <c r="L10" s="1224">
        <f ca="1"/>
        <v>0</v>
      </c>
      <c r="M10" s="1224">
        <f ca="1"/>
        <v>0</v>
      </c>
      <c r="N10" s="1225">
        <f ca="1"/>
        <v>0</v>
      </c>
      <c r="O10" s="1226">
        <f t="shared" ca="1" si="0"/>
        <v>0</v>
      </c>
    </row>
    <row r="11" spans="1:15" s="287" customFormat="1" ht="21" customHeight="1" thickBot="1">
      <c r="A11" s="325" t="str">
        <v>Total COBRANÇAS</v>
      </c>
      <c r="B11" s="292"/>
      <c r="C11" s="1227">
        <f t="shared" ref="C11:N11" ca="1" si="1">SUM(C6:C10)</f>
        <v>1577.0404343958</v>
      </c>
      <c r="D11" s="1227">
        <f t="shared" ca="1" si="1"/>
        <v>1577.0404343958</v>
      </c>
      <c r="E11" s="1227">
        <f t="shared" ca="1" si="1"/>
        <v>1577.0404343958</v>
      </c>
      <c r="F11" s="1227">
        <f t="shared" ca="1" si="1"/>
        <v>1577.0404343958</v>
      </c>
      <c r="G11" s="1227">
        <f t="shared" ca="1" si="1"/>
        <v>1577.0404343958</v>
      </c>
      <c r="H11" s="1227">
        <f t="shared" ca="1" si="1"/>
        <v>1577.0404343958</v>
      </c>
      <c r="I11" s="1227">
        <f t="shared" ca="1" si="1"/>
        <v>1577.0404343958</v>
      </c>
      <c r="J11" s="1227">
        <f t="shared" ca="1" si="1"/>
        <v>1577.0404343958</v>
      </c>
      <c r="K11" s="1227">
        <f t="shared" ca="1" si="1"/>
        <v>1577.0404343958</v>
      </c>
      <c r="L11" s="1227">
        <f t="shared" ca="1" si="1"/>
        <v>1577.0404343958</v>
      </c>
      <c r="M11" s="1227">
        <f t="shared" ca="1" si="1"/>
        <v>1577.0404343958</v>
      </c>
      <c r="N11" s="1228">
        <f t="shared" ca="1" si="1"/>
        <v>1577.0404343958</v>
      </c>
      <c r="O11" s="1229">
        <f t="shared" ca="1" si="0"/>
        <v>18924.485212749601</v>
      </c>
    </row>
    <row r="12" spans="1:15" s="287" customFormat="1" ht="9.75" customHeight="1">
      <c r="A12" s="307"/>
      <c r="B12" s="293"/>
      <c r="C12" s="293"/>
      <c r="D12" s="293"/>
      <c r="E12" s="293"/>
      <c r="F12" s="293"/>
      <c r="G12" s="293"/>
      <c r="H12" s="293"/>
      <c r="I12" s="293"/>
      <c r="J12" s="293"/>
      <c r="K12" s="293"/>
      <c r="L12" s="293"/>
      <c r="M12" s="293"/>
      <c r="N12" s="293"/>
      <c r="O12" s="313"/>
    </row>
    <row r="13" spans="1:15" s="287" customFormat="1" ht="21" customHeight="1" thickBot="1">
      <c r="A13" s="309" t="str">
        <f t="array" ref="A13:A17">'Resumo Tesourarias'!A12:A16</f>
        <v>PAGAMENTOS</v>
      </c>
      <c r="B13" s="294"/>
      <c r="C13" s="294"/>
      <c r="D13" s="294"/>
      <c r="E13" s="294"/>
      <c r="F13" s="294"/>
      <c r="G13" s="294"/>
      <c r="H13" s="294"/>
      <c r="I13" s="294"/>
      <c r="J13" s="294"/>
      <c r="K13" s="294"/>
      <c r="L13" s="294"/>
      <c r="M13" s="294"/>
      <c r="N13" s="294"/>
      <c r="O13" s="314"/>
    </row>
    <row r="14" spans="1:15" s="301" customFormat="1" ht="21" customHeight="1">
      <c r="A14" s="1214" t="str">
        <v>Pagamentos de Gastos Fixos ( IVA incl.)</v>
      </c>
      <c r="B14" s="1208"/>
      <c r="C14" s="1230">
        <f ca="1">'G.F. 4'!B58+'G.F. 4'!B60</f>
        <v>1756.5626553715722</v>
      </c>
      <c r="D14" s="1230">
        <f ca="1">'G.F. 4'!C58+'G.F. 4'!C60</f>
        <v>1756.5626553715722</v>
      </c>
      <c r="E14" s="1230">
        <f ca="1">'G.F. 4'!D58+'G.F. 4'!D60</f>
        <v>1756.5626553715722</v>
      </c>
      <c r="F14" s="1230">
        <f ca="1">'G.F. 4'!E58+'G.F. 4'!E60</f>
        <v>1779.8522191043223</v>
      </c>
      <c r="G14" s="1230">
        <f ca="1">'G.F. 4'!F58+'G.F. 4'!F60</f>
        <v>1779.8522191043223</v>
      </c>
      <c r="H14" s="1230">
        <f ca="1">'G.F. 4'!G58+'G.F. 4'!G60</f>
        <v>1779.8522191043223</v>
      </c>
      <c r="I14" s="1230">
        <f ca="1">'G.F. 4'!H58+'G.F. 4'!H60</f>
        <v>1779.8522191043223</v>
      </c>
      <c r="J14" s="1230">
        <f ca="1">'G.F. 4'!I58+'G.F. 4'!I60</f>
        <v>1779.8522191043223</v>
      </c>
      <c r="K14" s="1230">
        <f ca="1">'G.F. 4'!J58+'G.F. 4'!J60</f>
        <v>1779.8522191043223</v>
      </c>
      <c r="L14" s="1230">
        <f ca="1">'G.F. 4'!K58+'G.F. 4'!K60</f>
        <v>1779.8522191043223</v>
      </c>
      <c r="M14" s="1230">
        <f ca="1">'G.F. 4'!L58+'G.F. 4'!L60</f>
        <v>1779.8522191043223</v>
      </c>
      <c r="N14" s="1231">
        <f ca="1">'G.F. 4'!M58+'G.F. 4'!M60</f>
        <v>1779.8522191043223</v>
      </c>
      <c r="O14" s="1232">
        <f ca="1">SUM(C14:N14)</f>
        <v>21288.357938053621</v>
      </c>
    </row>
    <row r="15" spans="1:15" s="300" customFormat="1" ht="21" customHeight="1">
      <c r="A15" s="1215" t="str">
        <v>Pagamento de compras e Custos Variables  ( IVA incl.)</v>
      </c>
      <c r="B15" s="1209"/>
      <c r="C15" s="1233">
        <f t="array" aca="1" ref="C15:N15" ca="1">'Receitas e pagamentos 4'!B55:M55</f>
        <v>220.785660815412</v>
      </c>
      <c r="D15" s="1233">
        <f ca="1"/>
        <v>220.785660815412</v>
      </c>
      <c r="E15" s="1233">
        <f ca="1"/>
        <v>220.785660815412</v>
      </c>
      <c r="F15" s="1233">
        <f ca="1"/>
        <v>220.785660815412</v>
      </c>
      <c r="G15" s="1233">
        <f ca="1"/>
        <v>220.785660815412</v>
      </c>
      <c r="H15" s="1233">
        <f ca="1"/>
        <v>220.785660815412</v>
      </c>
      <c r="I15" s="1233">
        <f ca="1"/>
        <v>220.785660815412</v>
      </c>
      <c r="J15" s="1233">
        <f ca="1"/>
        <v>220.785660815412</v>
      </c>
      <c r="K15" s="1233">
        <f ca="1"/>
        <v>220.785660815412</v>
      </c>
      <c r="L15" s="1233">
        <f ca="1"/>
        <v>220.785660815412</v>
      </c>
      <c r="M15" s="1233">
        <f ca="1"/>
        <v>220.785660815412</v>
      </c>
      <c r="N15" s="1234">
        <f ca="1"/>
        <v>220.785660815412</v>
      </c>
      <c r="O15" s="1235">
        <f ca="1">SUM(C15:N15)</f>
        <v>2649.4279297849439</v>
      </c>
    </row>
    <row r="16" spans="1:15" s="300" customFormat="1" ht="21" customHeight="1">
      <c r="A16" s="1215" t="str">
        <v>Pagamentos de Gastos Financieros</v>
      </c>
      <c r="B16" s="1209"/>
      <c r="C16" s="1233">
        <f t="array" ref="C16:N16" ca="1">'Despesas Financeiras'!C79:N79+'Despesas Financeiras'!C75:N75*Parametros!$F$33*0</f>
        <v>15.770404343958001</v>
      </c>
      <c r="D16" s="1233">
        <f ca="1"/>
        <v>15.770404343958001</v>
      </c>
      <c r="E16" s="1233">
        <f ca="1"/>
        <v>15.770404343958001</v>
      </c>
      <c r="F16" s="1233">
        <f ca="1"/>
        <v>15.770404343958001</v>
      </c>
      <c r="G16" s="1233">
        <f ca="1"/>
        <v>15.770404343958001</v>
      </c>
      <c r="H16" s="1233">
        <f ca="1"/>
        <v>15.770404343958001</v>
      </c>
      <c r="I16" s="1233">
        <f ca="1"/>
        <v>15.770404343958001</v>
      </c>
      <c r="J16" s="1233">
        <f ca="1"/>
        <v>15.770404343958001</v>
      </c>
      <c r="K16" s="1233">
        <f ca="1"/>
        <v>15.770404343958001</v>
      </c>
      <c r="L16" s="1233">
        <f ca="1"/>
        <v>15.770404343958001</v>
      </c>
      <c r="M16" s="1233">
        <f ca="1"/>
        <v>15.770404343958001</v>
      </c>
      <c r="N16" s="1234">
        <f ca="1"/>
        <v>15.770404343958001</v>
      </c>
      <c r="O16" s="1235">
        <f ca="1">SUM(C16:N16)</f>
        <v>189.24485212749605</v>
      </c>
    </row>
    <row r="17" spans="1:15" s="300" customFormat="1" ht="21" customHeight="1">
      <c r="A17" s="1215" t="str">
        <v>Pagamentos de IVA de cuotas de Leasing / Renting</v>
      </c>
      <c r="B17" s="1209"/>
      <c r="C17" s="1233">
        <f t="array" ref="C17:N17">+Leasing!B56:M56+Renting!B52:M56</f>
        <v>0</v>
      </c>
      <c r="D17" s="1233">
        <v>0</v>
      </c>
      <c r="E17" s="1233">
        <v>0</v>
      </c>
      <c r="F17" s="1233">
        <v>0</v>
      </c>
      <c r="G17" s="1233">
        <v>0</v>
      </c>
      <c r="H17" s="1233">
        <v>0</v>
      </c>
      <c r="I17" s="1233">
        <v>0</v>
      </c>
      <c r="J17" s="1233">
        <v>0</v>
      </c>
      <c r="K17" s="1233">
        <v>0</v>
      </c>
      <c r="L17" s="1233">
        <v>0</v>
      </c>
      <c r="M17" s="1233">
        <v>0</v>
      </c>
      <c r="N17" s="1234">
        <v>0</v>
      </c>
      <c r="O17" s="1235">
        <f>SUM(C17:N17)</f>
        <v>0</v>
      </c>
    </row>
    <row r="18" spans="1:15" s="300" customFormat="1" ht="9.75" customHeight="1">
      <c r="A18" s="1216"/>
      <c r="C18" s="1775"/>
      <c r="D18" s="1776"/>
      <c r="E18" s="1777"/>
      <c r="F18" s="1776"/>
      <c r="G18" s="1776"/>
      <c r="H18" s="1776"/>
      <c r="I18" s="1776"/>
      <c r="J18" s="1776"/>
      <c r="K18" s="1776"/>
      <c r="L18" s="1776"/>
      <c r="M18" s="1776"/>
      <c r="N18" s="1778"/>
      <c r="O18" s="1779"/>
    </row>
    <row r="19" spans="1:15" s="300" customFormat="1" ht="21" customHeight="1">
      <c r="A19" s="1218" t="s">
        <v>91</v>
      </c>
      <c r="B19" s="1210"/>
      <c r="C19" s="1236"/>
      <c r="D19" s="1237"/>
      <c r="E19" s="1238"/>
      <c r="F19" s="1237"/>
      <c r="G19" s="1237"/>
      <c r="H19" s="1237"/>
      <c r="I19" s="1237"/>
      <c r="J19" s="1237"/>
      <c r="K19" s="1237"/>
      <c r="L19" s="1237"/>
      <c r="M19" s="1237"/>
      <c r="N19" s="1239"/>
      <c r="O19" s="1240"/>
    </row>
    <row r="20" spans="1:15" s="300" customFormat="1" ht="21" customHeight="1">
      <c r="A20" s="1215" t="str">
        <f t="array" ref="A20:A25">'Resumo Tesourarias'!A17:A22</f>
        <v>Devolução de principal de empréstimos / Leasing</v>
      </c>
      <c r="B20" s="1209"/>
      <c r="C20" s="1233">
        <f t="array" ref="C20:N20">Empréstimos!B56:M56+Leasing!B55:M55</f>
        <v>0</v>
      </c>
      <c r="D20" s="1233">
        <v>0</v>
      </c>
      <c r="E20" s="1233">
        <v>0</v>
      </c>
      <c r="F20" s="1233">
        <v>0</v>
      </c>
      <c r="G20" s="1233">
        <v>0</v>
      </c>
      <c r="H20" s="1233">
        <v>0</v>
      </c>
      <c r="I20" s="1233">
        <v>0</v>
      </c>
      <c r="J20" s="1233">
        <v>0</v>
      </c>
      <c r="K20" s="1233">
        <v>0</v>
      </c>
      <c r="L20" s="1233">
        <v>0</v>
      </c>
      <c r="M20" s="1233">
        <v>0</v>
      </c>
      <c r="N20" s="1234">
        <v>0</v>
      </c>
      <c r="O20" s="1235">
        <f>SUM(C20:N20)</f>
        <v>0</v>
      </c>
    </row>
    <row r="21" spans="1:15" s="300" customFormat="1" ht="21" customHeight="1">
      <c r="A21" s="1215" t="str">
        <v>Outras saidas da caixa</v>
      </c>
      <c r="B21" s="1209"/>
      <c r="C21" s="1233">
        <v>0</v>
      </c>
      <c r="D21" s="1233">
        <v>0</v>
      </c>
      <c r="E21" s="1233">
        <v>0</v>
      </c>
      <c r="F21" s="1233">
        <v>0</v>
      </c>
      <c r="G21" s="1233">
        <v>0</v>
      </c>
      <c r="H21" s="1233">
        <v>0</v>
      </c>
      <c r="I21" s="1233">
        <v>0</v>
      </c>
      <c r="J21" s="1233">
        <v>0</v>
      </c>
      <c r="K21" s="1233">
        <v>0</v>
      </c>
      <c r="L21" s="1233">
        <v>0</v>
      </c>
      <c r="M21" s="1233">
        <v>0</v>
      </c>
      <c r="N21" s="1234">
        <v>0</v>
      </c>
      <c r="O21" s="1235">
        <f>SUM(C21:N21)</f>
        <v>0</v>
      </c>
    </row>
    <row r="22" spans="1:15" s="300" customFormat="1" ht="21" customHeight="1">
      <c r="A22" s="1215" t="str">
        <v>Liquidações de IVA</v>
      </c>
      <c r="B22" s="1209"/>
      <c r="C22" s="1233">
        <f t="array" ref="C22:N22" ca="1">'IVA 4'!C24:N24</f>
        <v>620.9457589566</v>
      </c>
      <c r="D22" s="1233">
        <v>0</v>
      </c>
      <c r="E22" s="1233">
        <v>0</v>
      </c>
      <c r="F22" s="1233">
        <f ca="1"/>
        <v>671.53620560014804</v>
      </c>
      <c r="G22" s="1233">
        <v>0</v>
      </c>
      <c r="H22" s="1233">
        <v>0</v>
      </c>
      <c r="I22" s="1233">
        <f ca="1"/>
        <v>671.53620560014804</v>
      </c>
      <c r="J22" s="1233">
        <v>0</v>
      </c>
      <c r="K22" s="1233">
        <v>0</v>
      </c>
      <c r="L22" s="1233">
        <f ca="1"/>
        <v>671.53620560014804</v>
      </c>
      <c r="M22" s="1233">
        <v>0</v>
      </c>
      <c r="N22" s="1234">
        <v>0</v>
      </c>
      <c r="O22" s="1235">
        <f ca="1">SUM(C22:N22)</f>
        <v>2635.5543757570445</v>
      </c>
    </row>
    <row r="23" spans="1:15" s="300" customFormat="1" ht="21" customHeight="1">
      <c r="A23" s="1215" t="str">
        <v>Otros Pagamentos ( I.R.C. / I.R.S. )</v>
      </c>
      <c r="B23" s="1209"/>
      <c r="C23" s="1233">
        <f ca="1">'Ret IRS'!N40</f>
        <v>0</v>
      </c>
      <c r="D23" s="1233"/>
      <c r="E23" s="1233"/>
      <c r="F23" s="1233">
        <f ca="1">'IRC Coletivas'!M18+'Ret IRS'!E49</f>
        <v>0</v>
      </c>
      <c r="G23" s="1233"/>
      <c r="H23" s="1233">
        <f ca="1">IF('IRS Singulares'!N26&lt;0,0,'IRS Singulares'!N26*'IRS Singulares'!N20)</f>
        <v>0</v>
      </c>
      <c r="I23" s="1233">
        <f ca="1">IF('IRC Coletivas'!J23&gt;0,'IRC Coletivas'!J23,0)+'Ret IRS'!H49
+'IRC Coletivas'!$J$32/2</f>
        <v>0</v>
      </c>
      <c r="J23" s="1233"/>
      <c r="K23" s="1233"/>
      <c r="L23" s="1233">
        <f ca="1">'IRC Coletivas'!M19+'Ret IRS'!K49</f>
        <v>0</v>
      </c>
      <c r="M23" s="1233"/>
      <c r="N23" s="1234">
        <f ca="1">'IRC Coletivas'!M20
+'IRC Coletivas'!$J$32/2</f>
        <v>0</v>
      </c>
      <c r="O23" s="1235">
        <f ca="1">SUM(C23:N23)</f>
        <v>0</v>
      </c>
    </row>
    <row r="24" spans="1:15" s="300" customFormat="1" ht="21" customHeight="1">
      <c r="A24" s="1215" t="str">
        <v>Outros pagamentos a creedores L/P</v>
      </c>
      <c r="B24" s="1209"/>
      <c r="C24" s="1233">
        <f t="array" ref="C24:N24">'Otros cobros y pagos'!B104:M104</f>
        <v>0</v>
      </c>
      <c r="D24" s="1233">
        <v>0</v>
      </c>
      <c r="E24" s="1233">
        <v>0</v>
      </c>
      <c r="F24" s="1233">
        <v>0</v>
      </c>
      <c r="G24" s="1233">
        <v>0</v>
      </c>
      <c r="H24" s="1233">
        <v>0</v>
      </c>
      <c r="I24" s="1233">
        <v>0</v>
      </c>
      <c r="J24" s="1233">
        <v>0</v>
      </c>
      <c r="K24" s="1233">
        <v>0</v>
      </c>
      <c r="L24" s="1233">
        <v>0</v>
      </c>
      <c r="M24" s="1233">
        <v>0</v>
      </c>
      <c r="N24" s="1234">
        <v>0</v>
      </c>
      <c r="O24" s="1235">
        <f>SUM(C24:N24)</f>
        <v>0</v>
      </c>
    </row>
    <row r="25" spans="1:15" s="301" customFormat="1" ht="21" customHeight="1" thickBot="1">
      <c r="A25" s="1219" t="str">
        <v>Total PAGAMENTOS</v>
      </c>
      <c r="B25" s="1213"/>
      <c r="C25" s="1241">
        <f t="shared" ref="C25:N25" ca="1" si="2">SUM(C14:C24)</f>
        <v>2614.0644794875425</v>
      </c>
      <c r="D25" s="1241">
        <f t="shared" ca="1" si="2"/>
        <v>1993.1187205309423</v>
      </c>
      <c r="E25" s="1241">
        <f t="shared" ca="1" si="2"/>
        <v>1993.1187205309423</v>
      </c>
      <c r="F25" s="1241">
        <f t="shared" ca="1" si="2"/>
        <v>2687.9444898638403</v>
      </c>
      <c r="G25" s="1241">
        <f t="shared" ca="1" si="2"/>
        <v>2016.4082842636924</v>
      </c>
      <c r="H25" s="1241">
        <f t="shared" ca="1" si="2"/>
        <v>2016.4082842636924</v>
      </c>
      <c r="I25" s="1241">
        <f t="shared" ca="1" si="2"/>
        <v>2687.9444898638403</v>
      </c>
      <c r="J25" s="1241">
        <f t="shared" ca="1" si="2"/>
        <v>2016.4082842636924</v>
      </c>
      <c r="K25" s="1241">
        <f t="shared" ca="1" si="2"/>
        <v>2016.4082842636924</v>
      </c>
      <c r="L25" s="1241">
        <f t="shared" ca="1" si="2"/>
        <v>2687.9444898638403</v>
      </c>
      <c r="M25" s="1241">
        <f t="shared" ca="1" si="2"/>
        <v>2016.4082842636924</v>
      </c>
      <c r="N25" s="1242">
        <f t="shared" ca="1" si="2"/>
        <v>2016.4082842636924</v>
      </c>
      <c r="O25" s="1243">
        <f ca="1">SUM(O14:O24)</f>
        <v>26762.585095723105</v>
      </c>
    </row>
    <row r="26" spans="1:15" s="287" customFormat="1" ht="21" customHeight="1">
      <c r="A26" s="307"/>
      <c r="B26" s="331"/>
      <c r="C26" s="296"/>
      <c r="D26" s="296"/>
      <c r="E26" s="296"/>
      <c r="F26" s="296"/>
      <c r="G26" s="296"/>
      <c r="H26" s="296"/>
      <c r="I26" s="296"/>
      <c r="J26" s="296"/>
      <c r="K26" s="296"/>
      <c r="L26" s="296"/>
      <c r="M26" s="296"/>
      <c r="O26" s="315"/>
    </row>
    <row r="27" spans="1:15" s="287" customFormat="1" ht="21" customHeight="1" thickBot="1">
      <c r="A27" s="307"/>
      <c r="B27" s="295"/>
      <c r="C27" s="296"/>
      <c r="D27" s="296"/>
      <c r="E27" s="296"/>
      <c r="F27" s="296"/>
      <c r="G27" s="296"/>
      <c r="H27" s="296"/>
      <c r="I27" s="296"/>
      <c r="J27" s="296"/>
      <c r="K27" s="296"/>
      <c r="L27" s="296"/>
      <c r="M27" s="296"/>
      <c r="O27" s="315"/>
    </row>
    <row r="28" spans="1:15" s="289" customFormat="1" ht="18" customHeight="1" thickBot="1">
      <c r="A28" s="328" t="str">
        <f t="array" ref="A28:A31">'Tesorería 0'!A28:A31</f>
        <v>Resumo de tesouraria</v>
      </c>
      <c r="B28" s="305"/>
      <c r="C28" s="306" t="str">
        <f t="array" ref="C28:N28">meses</f>
        <v>janeiro</v>
      </c>
      <c r="D28" s="306" t="str">
        <v>fevereiro</v>
      </c>
      <c r="E28" s="306" t="str">
        <v>março</v>
      </c>
      <c r="F28" s="306" t="str">
        <v>abril</v>
      </c>
      <c r="G28" s="306" t="str">
        <v>maio</v>
      </c>
      <c r="H28" s="306" t="str">
        <v>junho</v>
      </c>
      <c r="I28" s="306" t="str">
        <v>julho</v>
      </c>
      <c r="J28" s="306" t="str">
        <v>agosto</v>
      </c>
      <c r="K28" s="306" t="str">
        <v>setembro</v>
      </c>
      <c r="L28" s="306" t="str">
        <v>outubro</v>
      </c>
      <c r="M28" s="306" t="str">
        <v>novembro</v>
      </c>
      <c r="N28" s="310" t="str">
        <v>dezembro</v>
      </c>
      <c r="O28" s="311" t="str">
        <f>O4</f>
        <v>Total</v>
      </c>
    </row>
    <row r="29" spans="1:15" s="287" customFormat="1" ht="21" customHeight="1" thickBot="1">
      <c r="A29" s="329" t="str">
        <v>Previsões de cobranças por meses</v>
      </c>
      <c r="B29" s="297"/>
      <c r="C29" s="630">
        <f t="array" ref="C29:N29" ca="1">C11:N11</f>
        <v>1577.0404343958</v>
      </c>
      <c r="D29" s="630">
        <f ca="1"/>
        <v>1577.0404343958</v>
      </c>
      <c r="E29" s="630">
        <f ca="1"/>
        <v>1577.0404343958</v>
      </c>
      <c r="F29" s="630">
        <f ca="1"/>
        <v>1577.0404343958</v>
      </c>
      <c r="G29" s="630">
        <f ca="1"/>
        <v>1577.0404343958</v>
      </c>
      <c r="H29" s="630">
        <f ca="1"/>
        <v>1577.0404343958</v>
      </c>
      <c r="I29" s="630">
        <f ca="1"/>
        <v>1577.0404343958</v>
      </c>
      <c r="J29" s="630">
        <f ca="1"/>
        <v>1577.0404343958</v>
      </c>
      <c r="K29" s="630">
        <f ca="1"/>
        <v>1577.0404343958</v>
      </c>
      <c r="L29" s="630">
        <f ca="1"/>
        <v>1577.0404343958</v>
      </c>
      <c r="M29" s="630">
        <f ca="1"/>
        <v>1577.0404343958</v>
      </c>
      <c r="N29" s="631">
        <f ca="1"/>
        <v>1577.0404343958</v>
      </c>
      <c r="O29" s="632">
        <f ca="1">SUM(C29:N29)</f>
        <v>18924.485212749601</v>
      </c>
    </row>
    <row r="30" spans="1:15" s="287" customFormat="1" ht="21" customHeight="1" thickBot="1">
      <c r="A30" s="329" t="str">
        <v>Previsões de pagamentos por meses</v>
      </c>
      <c r="B30" s="292"/>
      <c r="C30" s="633">
        <f t="array" ref="C30:N30" ca="1">C25:N25</f>
        <v>2614.0644794875425</v>
      </c>
      <c r="D30" s="633">
        <f ca="1"/>
        <v>1993.1187205309423</v>
      </c>
      <c r="E30" s="633">
        <f ca="1"/>
        <v>1993.1187205309423</v>
      </c>
      <c r="F30" s="633">
        <f ca="1"/>
        <v>2687.9444898638403</v>
      </c>
      <c r="G30" s="633">
        <f ca="1"/>
        <v>2016.4082842636924</v>
      </c>
      <c r="H30" s="633">
        <f ca="1"/>
        <v>2016.4082842636924</v>
      </c>
      <c r="I30" s="633">
        <f ca="1"/>
        <v>2687.9444898638403</v>
      </c>
      <c r="J30" s="633">
        <f ca="1"/>
        <v>2016.4082842636924</v>
      </c>
      <c r="K30" s="633">
        <f ca="1"/>
        <v>2016.4082842636924</v>
      </c>
      <c r="L30" s="633">
        <f ca="1"/>
        <v>2687.9444898638403</v>
      </c>
      <c r="M30" s="633">
        <f ca="1"/>
        <v>2016.4082842636924</v>
      </c>
      <c r="N30" s="634">
        <f ca="1"/>
        <v>2016.4082842636924</v>
      </c>
      <c r="O30" s="632">
        <f ca="1">SUM(C30:N30)</f>
        <v>26762.585095723101</v>
      </c>
    </row>
    <row r="31" spans="1:15" s="287" customFormat="1" ht="21" customHeight="1" thickBot="1">
      <c r="A31" s="330" t="str">
        <v>Tesourarias mensuais previstas</v>
      </c>
      <c r="B31" s="297"/>
      <c r="C31" s="635">
        <f t="array" ref="C31:N31" ca="1">C29:N29-C30:N30</f>
        <v>-1037.0240450917424</v>
      </c>
      <c r="D31" s="635">
        <f ca="1"/>
        <v>-416.07828613514221</v>
      </c>
      <c r="E31" s="635">
        <f ca="1"/>
        <v>-416.07828613514221</v>
      </c>
      <c r="F31" s="635">
        <f ca="1"/>
        <v>-1110.9040554680403</v>
      </c>
      <c r="G31" s="635">
        <f ca="1"/>
        <v>-439.36784986789235</v>
      </c>
      <c r="H31" s="635">
        <f ca="1"/>
        <v>-439.36784986789235</v>
      </c>
      <c r="I31" s="635">
        <f ca="1"/>
        <v>-1110.9040554680403</v>
      </c>
      <c r="J31" s="635">
        <f ca="1"/>
        <v>-439.36784986789235</v>
      </c>
      <c r="K31" s="635">
        <f ca="1"/>
        <v>-439.36784986789235</v>
      </c>
      <c r="L31" s="635">
        <f ca="1"/>
        <v>-1110.9040554680403</v>
      </c>
      <c r="M31" s="635">
        <f ca="1"/>
        <v>-439.36784986789235</v>
      </c>
      <c r="N31" s="636">
        <f ca="1"/>
        <v>-439.36784986789235</v>
      </c>
      <c r="O31" s="637">
        <f ca="1">O29-O30</f>
        <v>-7838.0998829734999</v>
      </c>
    </row>
    <row r="32" spans="1:15" s="287" customFormat="1" ht="21" customHeight="1" thickBot="1">
      <c r="A32" s="332"/>
      <c r="B32" s="297"/>
      <c r="C32" s="298"/>
      <c r="D32" s="298"/>
      <c r="E32" s="298"/>
      <c r="F32" s="298"/>
      <c r="G32" s="298"/>
      <c r="H32" s="298"/>
      <c r="I32" s="298"/>
      <c r="J32" s="298"/>
      <c r="K32" s="298"/>
      <c r="L32" s="298"/>
      <c r="M32" s="298"/>
      <c r="N32" s="638"/>
      <c r="O32" s="639"/>
    </row>
    <row r="33" spans="1:15" s="301" customFormat="1" ht="21" customHeight="1" thickBot="1">
      <c r="A33" s="1205" t="str">
        <f>'Tesorería 0'!A33</f>
        <v>Disposto Apólice Crédito</v>
      </c>
      <c r="B33" s="1191">
        <f ca="1">'Tesorería 3'!N33</f>
        <v>0</v>
      </c>
      <c r="C33" s="1192">
        <f ca="1">IF(B35+C31-B33&gt;tesoreriasec,0,MIN(B33-B35-C31+tesoreriasec,Finançamento!$H$49))</f>
        <v>0</v>
      </c>
      <c r="D33" s="1193">
        <f ca="1">IF(C35+D31-C33&gt;tesoreriasec,0,MIN(C33-C35-D31+tesoreriasec,Finançamento!$H$49))</f>
        <v>0</v>
      </c>
      <c r="E33" s="1193">
        <f ca="1">IF(D35+E31-D33&gt;tesoreriasec,0,MIN(D33-D35-E31+tesoreriasec,Finançamento!$H$49))</f>
        <v>0</v>
      </c>
      <c r="F33" s="1193">
        <f ca="1">IF(E35+F31-E33&gt;tesoreriasec,0,MIN(E33-E35-F31+tesoreriasec,Finançamento!$H$49))</f>
        <v>0</v>
      </c>
      <c r="G33" s="1193">
        <f ca="1">IF(F35+G31-F33&gt;tesoreriasec,0,MIN(F33-F35-G31+tesoreriasec,Finançamento!$H$49))</f>
        <v>0</v>
      </c>
      <c r="H33" s="1193">
        <f ca="1">IF(G35+H31-G33&gt;tesoreriasec,0,MIN(G33-G35-H31+tesoreriasec,Finançamento!$H$49))</f>
        <v>0</v>
      </c>
      <c r="I33" s="1193">
        <f ca="1">IF(H35+I31-H33&gt;tesoreriasec,0,MIN(H33-H35-I31+tesoreriasec,Finançamento!$H$49))</f>
        <v>0</v>
      </c>
      <c r="J33" s="1193">
        <f ca="1">IF(I35+J31-I33&gt;tesoreriasec,0,MIN(I33-I35-J31+tesoreriasec,Finançamento!$H$49))</f>
        <v>0</v>
      </c>
      <c r="K33" s="1193">
        <f ca="1">IF(J35+K31-J33&gt;tesoreriasec,0,MIN(J33-J35-K31+tesoreriasec,Finançamento!$H$49))</f>
        <v>0</v>
      </c>
      <c r="L33" s="1193">
        <f ca="1">IF(K35+L31-K33&gt;tesoreriasec,0,MIN(K33-K35-L31+tesoreriasec,Finançamento!$H$49))</f>
        <v>0</v>
      </c>
      <c r="M33" s="1193">
        <f ca="1">IF(L35+M31-L33&gt;tesoreriasec,0,MIN(L33-L35-M31+tesoreriasec,Finançamento!$H$49))</f>
        <v>0</v>
      </c>
      <c r="N33" s="1194">
        <f ca="1">IF(M35+N31-M33&gt;tesoreriasec,0,MIN(M33-M35-N31+tesoreriasec,Finançamento!$H$49))</f>
        <v>0</v>
      </c>
      <c r="O33" s="1195"/>
    </row>
    <row r="34" spans="1:15" s="301" customFormat="1" ht="21" customHeight="1" thickBot="1">
      <c r="A34" s="1206"/>
      <c r="B34" s="1196"/>
      <c r="C34" s="1197"/>
      <c r="D34" s="1197"/>
      <c r="E34" s="1197"/>
      <c r="F34" s="1197"/>
      <c r="G34" s="1197"/>
      <c r="H34" s="1197"/>
      <c r="I34" s="1197"/>
      <c r="J34" s="1197"/>
      <c r="K34" s="1197"/>
      <c r="L34" s="1197"/>
      <c r="M34" s="1197"/>
      <c r="O34" s="1198"/>
    </row>
    <row r="35" spans="1:15" s="301" customFormat="1" ht="21" customHeight="1" thickBot="1">
      <c r="A35" s="1205" t="str">
        <f>'Tesorería 0'!A35</f>
        <v>Tesouraria acumulada</v>
      </c>
      <c r="B35" s="1199">
        <f ca="1">'Tesorería 3'!N35-(Finançamento!H9-Finançamento!H25+Finançamento!H19)</f>
        <v>-30873.669101798463</v>
      </c>
      <c r="C35" s="1200">
        <f t="array" ref="C35:N35" ca="1">B35:M35+C31:N31+C33:N33-B33:M33</f>
        <v>-31910.693146890204</v>
      </c>
      <c r="D35" s="1201">
        <f ca="1"/>
        <v>-32326.771433025348</v>
      </c>
      <c r="E35" s="1201">
        <f ca="1"/>
        <v>-32742.849719160491</v>
      </c>
      <c r="F35" s="1201">
        <f ca="1"/>
        <v>-33853.753774628531</v>
      </c>
      <c r="G35" s="1201">
        <f ca="1"/>
        <v>-34293.121624496423</v>
      </c>
      <c r="H35" s="1201">
        <f ca="1"/>
        <v>-34732.489474364316</v>
      </c>
      <c r="I35" s="1201">
        <f ca="1"/>
        <v>-35843.393529832356</v>
      </c>
      <c r="J35" s="1201">
        <f ca="1"/>
        <v>-36282.761379700249</v>
      </c>
      <c r="K35" s="1201">
        <f ca="1"/>
        <v>-36722.129229568141</v>
      </c>
      <c r="L35" s="1201">
        <f ca="1"/>
        <v>-37833.033285036181</v>
      </c>
      <c r="M35" s="1201">
        <f ca="1"/>
        <v>-38272.401134904074</v>
      </c>
      <c r="N35" s="1202">
        <f ca="1"/>
        <v>-38711.768984771967</v>
      </c>
      <c r="O35" s="1203"/>
    </row>
    <row r="36" spans="1:15" ht="18.75" customHeight="1">
      <c r="A36" s="5"/>
      <c r="B36" s="5"/>
    </row>
    <row r="37" spans="1:15" ht="18.75" customHeight="1">
      <c r="A37" s="5"/>
      <c r="B37" s="5"/>
    </row>
    <row r="38" spans="1:15" ht="18.75" customHeight="1">
      <c r="A38" s="320"/>
      <c r="B38" s="321"/>
      <c r="C38" s="318" t="str">
        <f t="array" ref="C38:D38">'Tesorería 0'!C38:D38</f>
        <v>Montante</v>
      </c>
      <c r="D38" s="319" t="str">
        <v>mes</v>
      </c>
    </row>
    <row r="39" spans="1:15" s="300" customFormat="1" ht="21" customHeight="1">
      <c r="A39" s="299"/>
      <c r="B39" s="317" t="str">
        <f t="array" ref="B39:B41">'Tesorería 0'!B39:B41</f>
        <v>Máximo descoberto no ano</v>
      </c>
      <c r="C39" s="1720">
        <f ca="1">MAX(C33:N33)*0-MIN(C35:N35,0)</f>
        <v>38711.768984771967</v>
      </c>
      <c r="D39" s="1187" t="str">
        <f ca="1">IF(C39&lt;&gt;0,INDEX(C4:N4,1,MATCH(-C39,C35:N35,0)),"")</f>
        <v>dezembro</v>
      </c>
      <c r="O39" s="301"/>
    </row>
    <row r="40" spans="1:15" s="300" customFormat="1" ht="18.75" customHeight="1">
      <c r="A40" s="299"/>
      <c r="B40" s="317" t="str">
        <v>Fluxo de caixa do periodo  (Cash Flow)</v>
      </c>
      <c r="C40" s="1721">
        <f ca="1">N35-B35+B33-N33</f>
        <v>-7838.0998829735036</v>
      </c>
      <c r="D40" s="1186"/>
      <c r="O40" s="301"/>
    </row>
    <row r="41" spans="1:15" s="300" customFormat="1" ht="21" customHeight="1">
      <c r="A41" s="299"/>
      <c r="B41" s="317" t="str">
        <v>Máxima tesouraria mensual</v>
      </c>
      <c r="C41" s="1722">
        <f ca="1">MAX(C35:N35)</f>
        <v>-31910.693146890204</v>
      </c>
      <c r="D41" s="1187" t="str">
        <f ca="1">INDEX(C4:N4,1,MATCH(C41,C35:N35,0))</f>
        <v>janeiro</v>
      </c>
      <c r="O41" s="301"/>
    </row>
    <row r="42" spans="1:15" ht="18" customHeight="1">
      <c r="A42" s="5"/>
      <c r="B42" s="5"/>
    </row>
    <row r="43" spans="1:15">
      <c r="A43" s="5"/>
      <c r="B43" s="5"/>
    </row>
    <row r="44" spans="1:15" ht="15">
      <c r="A44" s="36"/>
      <c r="B44" s="36"/>
    </row>
    <row r="45" spans="1:15" ht="15">
      <c r="A45" s="36"/>
      <c r="B45" s="36"/>
    </row>
    <row r="46" spans="1:15" ht="15">
      <c r="A46" s="36"/>
      <c r="B46" s="36"/>
    </row>
    <row r="47" spans="1:15" ht="15">
      <c r="A47" s="36"/>
      <c r="B47" s="36"/>
    </row>
    <row r="48" spans="1:15" ht="15">
      <c r="A48" s="36"/>
      <c r="B48" s="36"/>
    </row>
    <row r="49" spans="1:2" ht="15">
      <c r="A49" s="36"/>
      <c r="B49" s="36"/>
    </row>
    <row r="50" spans="1:2" ht="15">
      <c r="A50" s="36"/>
      <c r="B50" s="36"/>
    </row>
    <row r="51" spans="1:2" ht="15">
      <c r="A51" s="36"/>
      <c r="B51" s="36"/>
    </row>
    <row r="52" spans="1:2" ht="15">
      <c r="A52" s="36"/>
      <c r="B52" s="36"/>
    </row>
    <row r="53" spans="1:2" ht="15">
      <c r="A53" s="36"/>
      <c r="B53" s="36"/>
    </row>
    <row r="54" spans="1:2" ht="15">
      <c r="A54" s="36"/>
      <c r="B54" s="36"/>
    </row>
    <row r="55" spans="1:2" ht="15">
      <c r="A55" s="36"/>
      <c r="B55" s="36"/>
    </row>
    <row r="56" spans="1:2" ht="15">
      <c r="A56" s="36"/>
      <c r="B56" s="36"/>
    </row>
    <row r="57" spans="1:2" ht="15">
      <c r="A57" s="36"/>
      <c r="B57" s="36"/>
    </row>
    <row r="58" spans="1:2" ht="15">
      <c r="A58" s="36"/>
      <c r="B58" s="36"/>
    </row>
    <row r="59" spans="1:2" ht="15">
      <c r="A59" s="36"/>
      <c r="B59" s="36"/>
    </row>
    <row r="60" spans="1:2" ht="15">
      <c r="A60" s="36"/>
      <c r="B60" s="36"/>
    </row>
  </sheetData>
  <sheetProtection sheet="1" objects="1" scenarios="1"/>
  <phoneticPr fontId="4"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6">
    <tabColor indexed="45"/>
    <pageSetUpPr fitToPage="1"/>
  </sheetPr>
  <dimension ref="A1:P106"/>
  <sheetViews>
    <sheetView workbookViewId="0"/>
  </sheetViews>
  <sheetFormatPr baseColWidth="10" defaultColWidth="11" defaultRowHeight="12.75"/>
  <cols>
    <col min="1" max="1" width="27.625" style="287" customWidth="1"/>
    <col min="2" max="2" width="11.5" style="289" customWidth="1"/>
    <col min="3" max="3" width="10.5" style="88" customWidth="1"/>
    <col min="4" max="4" width="9.75" style="88" customWidth="1"/>
    <col min="5" max="5" width="9.875" style="88" customWidth="1"/>
    <col min="6" max="6" width="9.625" style="88" customWidth="1"/>
    <col min="7" max="7" width="10.25" style="88" customWidth="1"/>
    <col min="8" max="9" width="8.75" style="88" customWidth="1"/>
    <col min="10" max="10" width="10.625" style="88" customWidth="1"/>
    <col min="11" max="11" width="10.125" style="88" customWidth="1"/>
    <col min="12" max="12" width="10.5" style="88" customWidth="1"/>
    <col min="13" max="13" width="9.75" style="88" customWidth="1"/>
    <col min="14" max="14" width="9.375" style="88" customWidth="1"/>
    <col min="15" max="15" width="9.5" style="287" customWidth="1"/>
    <col min="16" max="16384" width="11" style="88"/>
  </cols>
  <sheetData>
    <row r="1" spans="1:15" ht="25.5">
      <c r="A1" s="964" t="s">
        <v>922</v>
      </c>
      <c r="B1" s="557"/>
      <c r="F1" s="287"/>
      <c r="G1" s="287"/>
      <c r="H1" s="559"/>
      <c r="M1" s="1350"/>
    </row>
    <row r="2" spans="1:15" s="554" customFormat="1" ht="32.25">
      <c r="A2" s="171" t="str">
        <f>'Dados Básicos'!B9</f>
        <v>WWW, S.L.</v>
      </c>
      <c r="B2" s="557"/>
      <c r="D2" s="558"/>
      <c r="E2" s="285"/>
      <c r="G2" s="1800" t="s">
        <v>174</v>
      </c>
      <c r="O2" s="561"/>
    </row>
    <row r="4" spans="1:15" s="561" customFormat="1" ht="16.149999999999999" customHeight="1">
      <c r="A4" s="25"/>
    </row>
    <row r="5" spans="1:15" ht="19.5">
      <c r="A5" s="1357" t="s">
        <v>921</v>
      </c>
      <c r="C5" s="2732" t="str">
        <f>Parametros!B$77</f>
        <v>Ano 0:  2026</v>
      </c>
      <c r="E5" s="561"/>
      <c r="F5" s="561"/>
      <c r="H5" s="561"/>
      <c r="I5" s="561"/>
      <c r="J5" s="561"/>
      <c r="K5" s="561"/>
      <c r="L5" s="561"/>
      <c r="M5" s="561"/>
      <c r="N5" s="561"/>
    </row>
    <row r="6" spans="1:15" ht="13.5" thickBot="1">
      <c r="A6" s="88"/>
      <c r="B6" s="88"/>
      <c r="O6" s="88"/>
    </row>
    <row r="7" spans="1:15" s="1064" customFormat="1" ht="26.25" customHeight="1" thickBot="1">
      <c r="A7" s="174" t="str">
        <f>CONCATENATE("Otros cobros  ",C5)</f>
        <v>Otros cobros  Ano 0:  2026</v>
      </c>
      <c r="B7" s="1352" t="str">
        <f t="array" ref="B7:N7">'Estimações Vendas'!B5:N5</f>
        <v>janeiro 
2026</v>
      </c>
      <c r="C7" s="1352" t="str">
        <v>fevereiro 
2026</v>
      </c>
      <c r="D7" s="1352" t="str">
        <v>março 
2026</v>
      </c>
      <c r="E7" s="1352" t="str">
        <v>abril 
2026</v>
      </c>
      <c r="F7" s="1352" t="str">
        <v>maio 
2026</v>
      </c>
      <c r="G7" s="1352" t="str">
        <v>junho 
2026</v>
      </c>
      <c r="H7" s="1352" t="str">
        <v>julho 
2026</v>
      </c>
      <c r="I7" s="1352" t="str">
        <v>agosto 
2026</v>
      </c>
      <c r="J7" s="1352" t="str">
        <v>setembro 
2026</v>
      </c>
      <c r="K7" s="1352" t="str">
        <v>outubro 
2026</v>
      </c>
      <c r="L7" s="1352" t="str">
        <v>novembro 
2026</v>
      </c>
      <c r="M7" s="1352" t="str">
        <v>dezembro 
2026</v>
      </c>
      <c r="N7" s="1352" t="str">
        <v>Totais  
2026</v>
      </c>
    </row>
    <row r="8" spans="1:15" s="554" customFormat="1" ht="16.149999999999999" customHeight="1">
      <c r="A8" s="1353" t="s">
        <v>925</v>
      </c>
      <c r="B8" s="1358">
        <v>0</v>
      </c>
      <c r="C8" s="1358">
        <v>0</v>
      </c>
      <c r="D8" s="1358">
        <v>0</v>
      </c>
      <c r="E8" s="1358">
        <v>0</v>
      </c>
      <c r="F8" s="1358">
        <v>0</v>
      </c>
      <c r="G8" s="1358">
        <v>0</v>
      </c>
      <c r="H8" s="1358">
        <v>0</v>
      </c>
      <c r="I8" s="1358">
        <v>0</v>
      </c>
      <c r="J8" s="1358">
        <v>0</v>
      </c>
      <c r="K8" s="1358">
        <v>0</v>
      </c>
      <c r="L8" s="1358">
        <v>0</v>
      </c>
      <c r="M8" s="1358">
        <v>0</v>
      </c>
      <c r="N8" s="1358">
        <f>SUM(B8:M8)</f>
        <v>0</v>
      </c>
    </row>
    <row r="9" spans="1:15" s="554" customFormat="1" ht="16.149999999999999" customHeight="1">
      <c r="A9" s="1354" t="s">
        <v>538</v>
      </c>
      <c r="B9" s="1359"/>
      <c r="C9" s="1359"/>
      <c r="D9" s="1359"/>
      <c r="E9" s="1359"/>
      <c r="F9" s="1359"/>
      <c r="G9" s="1359"/>
      <c r="H9" s="1359"/>
      <c r="I9" s="1359"/>
      <c r="J9" s="1359"/>
      <c r="K9" s="1359"/>
      <c r="L9" s="1359"/>
      <c r="M9" s="1359"/>
      <c r="N9" s="1359">
        <f>SUM(B9:M9)</f>
        <v>0</v>
      </c>
    </row>
    <row r="10" spans="1:15" s="554" customFormat="1" ht="16.149999999999999" customHeight="1">
      <c r="A10" s="1354" t="s">
        <v>924</v>
      </c>
      <c r="B10" s="1359"/>
      <c r="C10" s="1359"/>
      <c r="D10" s="1359"/>
      <c r="E10" s="1359"/>
      <c r="F10" s="1359"/>
      <c r="G10" s="1359"/>
      <c r="H10" s="1359"/>
      <c r="I10" s="1359"/>
      <c r="J10" s="1359"/>
      <c r="K10" s="1359"/>
      <c r="L10" s="1359"/>
      <c r="M10" s="1793">
        <f>IF(AND(isoc&lt;&gt;0,'Investimentos AC'!G22&gt;'Finançamento Inicial'!B29),'Investimentos AC'!G22-'Finançamento Inicial'!B29,0)*0</f>
        <v>0</v>
      </c>
      <c r="N10" s="1359">
        <f>SUM(B10:M10)</f>
        <v>0</v>
      </c>
    </row>
    <row r="11" spans="1:15" s="554" customFormat="1" ht="16.149999999999999" customHeight="1">
      <c r="A11" s="1354" t="s">
        <v>734</v>
      </c>
      <c r="B11" s="1799">
        <f>'Investimentos AC'!$G$24*IF(OR(mes0&gt;COLUMN(B11)-1,COLUMN(B11)-mes0&gt;6),0,INDEX('Pol. Cobranças e Pagamentos'!$C$19:$H$19,1,COLUMN(B11)-mes0))*0</f>
        <v>0</v>
      </c>
      <c r="C11" s="1799">
        <f>'Investimentos AC'!$G$24*IF(OR(mes0&gt;COLUMN(C11)-1,COLUMN(C11)-mes0&gt;6),0,INDEX('Pol. Cobranças e Pagamentos'!$C$19:$H$19,1,COLUMN(C11)-mes0))*0</f>
        <v>0</v>
      </c>
      <c r="D11" s="1799">
        <f>'Investimentos AC'!$G$24*IF(OR(mes0&gt;COLUMN(D11)-1,COLUMN(D11)-mes0&gt;6),0,INDEX('Pol. Cobranças e Pagamentos'!$C$19:$H$19,1,COLUMN(D11)-mes0))*0</f>
        <v>0</v>
      </c>
      <c r="E11" s="1799">
        <f>'Investimentos AC'!$G$24*IF(OR(mes0&gt;COLUMN(E11)-1,COLUMN(E11)-mes0&gt;6),0,INDEX('Pol. Cobranças e Pagamentos'!$C$19:$H$19,1,COLUMN(E11)-mes0))*0</f>
        <v>0</v>
      </c>
      <c r="F11" s="1799">
        <f>'Investimentos AC'!$G$24*IF(OR(mes0&gt;COLUMN(F11)-1,COLUMN(F11)-mes0&gt;6),0,INDEX('Pol. Cobranças e Pagamentos'!$C$19:$H$19,1,COLUMN(F11)-mes0))*0</f>
        <v>0</v>
      </c>
      <c r="G11" s="1799">
        <f>'Investimentos AC'!$G$24*IF(OR(mes0&gt;COLUMN(G11)-1,COLUMN(G11)-mes0&gt;6),0,INDEX('Pol. Cobranças e Pagamentos'!$C$19:$H$19,1,COLUMN(G11)-mes0))*0</f>
        <v>0</v>
      </c>
      <c r="H11" s="1799">
        <f>'Investimentos AC'!$G$24*IF(OR(mes0&gt;COLUMN(H11)-1,COLUMN(H11)-mes0&gt;6),0,INDEX('Pol. Cobranças e Pagamentos'!$C$19:$H$19,1,COLUMN(H11)-mes0))*0</f>
        <v>0</v>
      </c>
      <c r="I11" s="1799">
        <f>'Investimentos AC'!$G$24*IF(OR(mes0&gt;COLUMN(I11)-1,COLUMN(I11)-mes0&gt;6),0,INDEX('Pol. Cobranças e Pagamentos'!$C$19:$H$19,1,COLUMN(I11)-mes0))*0</f>
        <v>0</v>
      </c>
      <c r="J11" s="1799">
        <f>'Investimentos AC'!$G$24*IF(OR(mes0&gt;COLUMN(J11)-1,COLUMN(J11)-mes0&gt;6),0,INDEX('Pol. Cobranças e Pagamentos'!$C$19:$H$19,1,COLUMN(J11)-mes0))*0</f>
        <v>0</v>
      </c>
      <c r="K11" s="1799">
        <f>'Investimentos AC'!$G$24*IF(OR(mes0&gt;COLUMN(K11)-1,COLUMN(K11)-mes0&gt;6),0,INDEX('Pol. Cobranças e Pagamentos'!$C$19:$H$19,1,COLUMN(K11)-mes0))*0</f>
        <v>0</v>
      </c>
      <c r="L11" s="1799">
        <f>'Investimentos AC'!$G$24*IF(OR(mes0&gt;COLUMN(L11)-1,COLUMN(L11)-mes0&gt;6),0,INDEX('Pol. Cobranças e Pagamentos'!$C$19:$H$19,1,COLUMN(L11)-mes0))*0</f>
        <v>0</v>
      </c>
      <c r="M11" s="1799">
        <f>'Investimentos AC'!$G$24*IF(OR(mes0&gt;COLUMN(M11)-1,COLUMN(M11)-mes0&gt;6),0,INDEX('Pol. Cobranças e Pagamentos'!$C$19:$H$19,1,COLUMN(M11)-mes0))*0</f>
        <v>0</v>
      </c>
      <c r="N11" s="1794">
        <f>SUM(B11:M11)</f>
        <v>0</v>
      </c>
    </row>
    <row r="12" spans="1:15" s="561" customFormat="1" ht="16.149999999999999" customHeight="1" thickBot="1">
      <c r="A12" s="1355" t="s">
        <v>3</v>
      </c>
      <c r="B12" s="1797">
        <f t="shared" ref="B12:M12" si="0">SUM(B8:B11)</f>
        <v>0</v>
      </c>
      <c r="C12" s="1797">
        <f t="shared" si="0"/>
        <v>0</v>
      </c>
      <c r="D12" s="1797">
        <f t="shared" si="0"/>
        <v>0</v>
      </c>
      <c r="E12" s="1797">
        <f t="shared" si="0"/>
        <v>0</v>
      </c>
      <c r="F12" s="1797">
        <f t="shared" si="0"/>
        <v>0</v>
      </c>
      <c r="G12" s="1797">
        <f t="shared" si="0"/>
        <v>0</v>
      </c>
      <c r="H12" s="1797">
        <f t="shared" si="0"/>
        <v>0</v>
      </c>
      <c r="I12" s="1797">
        <f t="shared" si="0"/>
        <v>0</v>
      </c>
      <c r="J12" s="1797">
        <f t="shared" si="0"/>
        <v>0</v>
      </c>
      <c r="K12" s="1797">
        <f t="shared" si="0"/>
        <v>0</v>
      </c>
      <c r="L12" s="1797">
        <f t="shared" si="0"/>
        <v>0</v>
      </c>
      <c r="M12" s="1797">
        <f t="shared" si="0"/>
        <v>0</v>
      </c>
      <c r="N12" s="1356">
        <f>SUM(B12:M12)</f>
        <v>0</v>
      </c>
    </row>
    <row r="13" spans="1:15" s="561" customFormat="1" ht="13.5" customHeight="1">
      <c r="B13" s="1072"/>
    </row>
    <row r="14" spans="1:15" s="561" customFormat="1" ht="13.5" customHeight="1">
      <c r="B14" s="1072"/>
    </row>
    <row r="15" spans="1:15" ht="19.5">
      <c r="A15" s="1357" t="str">
        <f>A5</f>
        <v>Outras Cobranças da empresa</v>
      </c>
      <c r="C15" s="2732" t="str">
        <f>Parametros!C$77</f>
        <v>Ano 1:  2027</v>
      </c>
      <c r="E15" s="561"/>
      <c r="F15" s="561"/>
      <c r="H15" s="561"/>
      <c r="I15" s="561"/>
      <c r="J15" s="561"/>
      <c r="K15" s="561"/>
      <c r="L15" s="561"/>
      <c r="M15" s="561"/>
      <c r="N15" s="561"/>
    </row>
    <row r="16" spans="1:15" s="554" customFormat="1" ht="13.5" customHeight="1" thickBot="1">
      <c r="A16" s="561"/>
      <c r="B16" s="1064"/>
      <c r="O16" s="561"/>
    </row>
    <row r="17" spans="1:16" ht="26.25" customHeight="1" thickBot="1">
      <c r="A17" s="174" t="str">
        <f>CONCATENATE("Otros cobros  ",C15)</f>
        <v>Otros cobros  Ano 1:  2027</v>
      </c>
      <c r="B17" s="1352" t="str">
        <f t="array" ref="B17:N17">'Estimações Vendas'!B18:N18</f>
        <v>janeiro 
2027</v>
      </c>
      <c r="C17" s="1352" t="str">
        <v>fevereiro 
2027</v>
      </c>
      <c r="D17" s="1352" t="str">
        <v>março 
2027</v>
      </c>
      <c r="E17" s="1352" t="str">
        <v>abril 
2027</v>
      </c>
      <c r="F17" s="1352" t="str">
        <v>maio 
2027</v>
      </c>
      <c r="G17" s="1352" t="str">
        <v>junho 
2027</v>
      </c>
      <c r="H17" s="1352" t="str">
        <v>julho 
2027</v>
      </c>
      <c r="I17" s="1352" t="str">
        <v>agosto 
2027</v>
      </c>
      <c r="J17" s="1352" t="str">
        <v>setembro 
2027</v>
      </c>
      <c r="K17" s="1352" t="str">
        <v>outubro 
2027</v>
      </c>
      <c r="L17" s="1352" t="str">
        <v>novembro 
2027</v>
      </c>
      <c r="M17" s="1352" t="str">
        <v>dezembro 
2027</v>
      </c>
      <c r="N17" s="1352" t="str">
        <v>Totais  
2027</v>
      </c>
      <c r="O17" s="561"/>
    </row>
    <row r="18" spans="1:16">
      <c r="A18" s="1353" t="str">
        <f t="array" ref="A18:A21">$A$8:$A$11</f>
        <v>Capital realizado</v>
      </c>
      <c r="B18" s="1358">
        <v>0</v>
      </c>
      <c r="C18" s="1358">
        <v>0</v>
      </c>
      <c r="D18" s="1358">
        <v>0</v>
      </c>
      <c r="E18" s="1358">
        <v>0</v>
      </c>
      <c r="F18" s="1358">
        <v>0</v>
      </c>
      <c r="G18" s="1358">
        <v>0</v>
      </c>
      <c r="H18" s="1358">
        <v>0</v>
      </c>
      <c r="I18" s="1358">
        <v>0</v>
      </c>
      <c r="J18" s="1358">
        <v>0</v>
      </c>
      <c r="K18" s="1358">
        <v>0</v>
      </c>
      <c r="L18" s="1358">
        <v>0</v>
      </c>
      <c r="M18" s="1358">
        <v>0</v>
      </c>
      <c r="N18" s="1358">
        <f>SUM(B18:M18)</f>
        <v>0</v>
      </c>
      <c r="O18" s="561"/>
    </row>
    <row r="19" spans="1:16">
      <c r="A19" s="1354" t="str">
        <v>Subvenções</v>
      </c>
      <c r="B19" s="1359"/>
      <c r="C19" s="1359"/>
      <c r="D19" s="1359"/>
      <c r="E19" s="1359"/>
      <c r="F19" s="1359"/>
      <c r="G19" s="1359"/>
      <c r="H19" s="1359"/>
      <c r="I19" s="1359"/>
      <c r="J19" s="1359"/>
      <c r="K19" s="1359"/>
      <c r="L19" s="1359"/>
      <c r="M19" s="1359"/>
      <c r="N19" s="1359">
        <f>SUM(B19:M19)</f>
        <v>0</v>
      </c>
      <c r="O19" s="561"/>
    </row>
    <row r="20" spans="1:16">
      <c r="A20" s="1354" t="str">
        <v>Outras cobranças atípicas</v>
      </c>
      <c r="B20" s="1359"/>
      <c r="C20" s="1359"/>
      <c r="D20" s="1359"/>
      <c r="E20" s="1359"/>
      <c r="F20" s="1359"/>
      <c r="G20" s="1359"/>
      <c r="H20" s="1359"/>
      <c r="I20" s="1359"/>
      <c r="J20" s="1359"/>
      <c r="K20" s="1359"/>
      <c r="L20" s="1359"/>
      <c r="M20" s="1793">
        <f ca="1">IF('IRC Coletivas'!$B$23&lt;0,-'IRC Coletivas'!$B$23,0)*0</f>
        <v>0</v>
      </c>
      <c r="N20" s="1359">
        <f ca="1">SUM(B20:M20)</f>
        <v>0</v>
      </c>
      <c r="O20" s="561"/>
    </row>
    <row r="21" spans="1:16">
      <c r="A21" s="1354" t="str">
        <v>Cobranças de clientes</v>
      </c>
      <c r="B21" s="1799">
        <f ca="1">'Investimentos AC'!$G$24*IF(OR(mes0&lt;=7,COLUMN(B11)&gt;mes0-6),0,INDEX('Pol. Cobranças e Pagamentos'!$C$19:$H$19,1,COLUMN(B11)-mes0+12))*0
+recmorosos*'Receitas e pagamentos 0'!$S$31/12*0</f>
        <v>0</v>
      </c>
      <c r="C21" s="1799">
        <f ca="1">'Investimentos AC'!$G$24*IF(OR(mes0&lt;=7,COLUMN(C11)&gt;mes0-6),0,INDEX('Pol. Cobranças e Pagamentos'!$C$19:$H$19,1,COLUMN(C11)-mes0+12))*0
+recmorosos*'Receitas e pagamentos 0'!$S$31/12*0</f>
        <v>0</v>
      </c>
      <c r="D21" s="1799">
        <f ca="1">'Investimentos AC'!$G$24*IF(OR(mes0&lt;=7,COLUMN(D11)&gt;mes0-6),0,INDEX('Pol. Cobranças e Pagamentos'!$C$19:$H$19,1,COLUMN(D11)-mes0+12))*0
+recmorosos*'Receitas e pagamentos 0'!$S$31/12*0</f>
        <v>0</v>
      </c>
      <c r="E21" s="1799">
        <f ca="1">'Investimentos AC'!$G$24*IF(OR(mes0&lt;=7,COLUMN(E11)&gt;mes0-6),0,INDEX('Pol. Cobranças e Pagamentos'!$C$19:$H$19,1,COLUMN(E11)-mes0+12))*0
+recmorosos*'Receitas e pagamentos 0'!$S$31/12*0</f>
        <v>0</v>
      </c>
      <c r="F21" s="1799">
        <f ca="1">'Investimentos AC'!$G$24*IF(OR(mes0&lt;=7,COLUMN(F11)&gt;mes0-6),0,INDEX('Pol. Cobranças e Pagamentos'!$C$19:$H$19,1,COLUMN(F11)-mes0+12))*0
+recmorosos*'Receitas e pagamentos 0'!$S$31/12*0</f>
        <v>0</v>
      </c>
      <c r="G21" s="1799">
        <f ca="1">'Investimentos AC'!$G$24*IF(OR(mes0&lt;=7,COLUMN(G11)&gt;mes0-6),0,INDEX('Pol. Cobranças e Pagamentos'!$C$19:$H$19,1,COLUMN(G11)-mes0+12))*0
+recmorosos*'Receitas e pagamentos 0'!$S$31/12*0</f>
        <v>0</v>
      </c>
      <c r="H21" s="1799">
        <f ca="1">'Investimentos AC'!$G$24*IF(OR(mes0&lt;=7,COLUMN(H11)&gt;mes0-6),0,INDEX('Pol. Cobranças e Pagamentos'!$C$19:$H$19,1,COLUMN(H11)-mes0+12))*0
+recmorosos*'Receitas e pagamentos 0'!$S$31/12*0</f>
        <v>0</v>
      </c>
      <c r="I21" s="1799">
        <f ca="1">'Investimentos AC'!$G$24*IF(OR(mes0&lt;=7,COLUMN(I11)&gt;mes0-6),0,INDEX('Pol. Cobranças e Pagamentos'!$C$19:$H$19,1,COLUMN(I11)-mes0+12))*0
+recmorosos*'Receitas e pagamentos 0'!$S$31/12*0</f>
        <v>0</v>
      </c>
      <c r="J21" s="1799">
        <f ca="1">'Investimentos AC'!$G$24*IF(OR(mes0&lt;=7,COLUMN(J11)&gt;mes0-6),0,INDEX('Pol. Cobranças e Pagamentos'!$C$19:$H$19,1,COLUMN(J11)-mes0+12))*0
+recmorosos*'Receitas e pagamentos 0'!$S$31/12*0</f>
        <v>0</v>
      </c>
      <c r="K21" s="1799">
        <f ca="1">'Investimentos AC'!$G$24*IF(OR(mes0&lt;=7,COLUMN(K11)&gt;mes0-6),0,INDEX('Pol. Cobranças e Pagamentos'!$C$19:$H$19,1,COLUMN(K11)-mes0+12))*0
+recmorosos*'Receitas e pagamentos 0'!$S$31/12*0</f>
        <v>0</v>
      </c>
      <c r="L21" s="1799">
        <f ca="1">'Investimentos AC'!$G$24*IF(OR(mes0&lt;=7,COLUMN(L11)&gt;mes0-6),0,INDEX('Pol. Cobranças e Pagamentos'!$C$19:$H$19,1,COLUMN(L11)-mes0+12))*0
+recmorosos*'Receitas e pagamentos 0'!$S$31/12*0</f>
        <v>0</v>
      </c>
      <c r="M21" s="1799">
        <f ca="1">'Investimentos AC'!$G$24*IF(OR(mes0&lt;=7,COLUMN(M11)&gt;mes0-6),0,INDEX('Pol. Cobranças e Pagamentos'!$C$19:$H$19,1,COLUMN(M11)-mes0+12))*0
+recmorosos*'Receitas e pagamentos 0'!$S$31/12*0</f>
        <v>0</v>
      </c>
      <c r="N21" s="1359">
        <f ca="1">SUM(B21:M21)</f>
        <v>0</v>
      </c>
      <c r="O21" s="561"/>
    </row>
    <row r="22" spans="1:16" ht="13.5" thickBot="1">
      <c r="A22" s="1355" t="s">
        <v>3</v>
      </c>
      <c r="B22" s="1356">
        <f t="shared" ref="B22:M22" ca="1" si="1">SUM(B18:B21)</f>
        <v>0</v>
      </c>
      <c r="C22" s="1356">
        <f t="shared" ca="1" si="1"/>
        <v>0</v>
      </c>
      <c r="D22" s="1356">
        <f t="shared" ca="1" si="1"/>
        <v>0</v>
      </c>
      <c r="E22" s="1356">
        <f t="shared" ca="1" si="1"/>
        <v>0</v>
      </c>
      <c r="F22" s="1356">
        <f t="shared" ca="1" si="1"/>
        <v>0</v>
      </c>
      <c r="G22" s="1356">
        <f t="shared" ca="1" si="1"/>
        <v>0</v>
      </c>
      <c r="H22" s="1356">
        <f t="shared" ca="1" si="1"/>
        <v>0</v>
      </c>
      <c r="I22" s="1356">
        <f t="shared" ca="1" si="1"/>
        <v>0</v>
      </c>
      <c r="J22" s="1356">
        <f t="shared" ca="1" si="1"/>
        <v>0</v>
      </c>
      <c r="K22" s="1356">
        <f t="shared" ca="1" si="1"/>
        <v>0</v>
      </c>
      <c r="L22" s="1356">
        <f t="shared" ca="1" si="1"/>
        <v>0</v>
      </c>
      <c r="M22" s="1356">
        <f t="shared" ca="1" si="1"/>
        <v>0</v>
      </c>
      <c r="N22" s="1356">
        <f ca="1">SUM(B22:M22)</f>
        <v>0</v>
      </c>
      <c r="O22" s="561"/>
    </row>
    <row r="23" spans="1:16">
      <c r="C23" s="1351"/>
      <c r="D23" s="561"/>
      <c r="E23" s="561"/>
      <c r="F23" s="561"/>
      <c r="G23" s="561"/>
      <c r="H23" s="561"/>
      <c r="I23" s="561"/>
      <c r="J23" s="561"/>
      <c r="K23" s="561"/>
      <c r="L23" s="561"/>
      <c r="M23" s="561"/>
      <c r="N23" s="561"/>
      <c r="O23" s="561"/>
      <c r="P23" s="561"/>
    </row>
    <row r="24" spans="1:16">
      <c r="C24" s="1351"/>
      <c r="D24" s="561"/>
      <c r="E24" s="561"/>
      <c r="F24" s="561"/>
      <c r="G24" s="561"/>
      <c r="H24" s="561"/>
      <c r="I24" s="561"/>
      <c r="J24" s="561"/>
      <c r="K24" s="561"/>
      <c r="L24" s="561"/>
      <c r="M24" s="561"/>
      <c r="N24" s="561"/>
      <c r="O24" s="561"/>
      <c r="P24" s="561"/>
    </row>
    <row r="25" spans="1:16" ht="19.5">
      <c r="A25" s="1357" t="str">
        <f>A5</f>
        <v>Outras Cobranças da empresa</v>
      </c>
      <c r="C25" s="2732" t="str">
        <f>Parametros!D$77</f>
        <v>Ano 2:  2028</v>
      </c>
      <c r="E25" s="561"/>
      <c r="F25" s="561"/>
      <c r="H25" s="561"/>
      <c r="I25" s="561"/>
      <c r="J25" s="561"/>
      <c r="K25" s="561"/>
      <c r="L25" s="561"/>
      <c r="M25" s="561"/>
      <c r="N25" s="561"/>
    </row>
    <row r="26" spans="1:16" ht="13.5" thickBot="1">
      <c r="C26" s="1351"/>
      <c r="D26" s="561"/>
      <c r="E26" s="561"/>
      <c r="F26" s="561"/>
      <c r="G26" s="561"/>
      <c r="H26" s="561"/>
      <c r="I26" s="561"/>
      <c r="J26" s="561"/>
      <c r="K26" s="561"/>
      <c r="L26" s="561"/>
      <c r="M26" s="561"/>
      <c r="N26" s="561"/>
      <c r="O26" s="561"/>
      <c r="P26" s="561"/>
    </row>
    <row r="27" spans="1:16" ht="27" customHeight="1" thickBot="1">
      <c r="A27" s="174" t="str">
        <f>CONCATENATE("Otros cobros  ",C25)</f>
        <v>Otros cobros  Ano 2:  2028</v>
      </c>
      <c r="B27" s="1352" t="str">
        <f t="array" ref="B27:N27">'Estimações Vendas'!B31:N31</f>
        <v>janeiro 
2028</v>
      </c>
      <c r="C27" s="1352" t="str">
        <v>fevereiro 
2028</v>
      </c>
      <c r="D27" s="1352" t="str">
        <v>março 
2028</v>
      </c>
      <c r="E27" s="1352" t="str">
        <v>abril 
2028</v>
      </c>
      <c r="F27" s="1352" t="str">
        <v>maio 
2028</v>
      </c>
      <c r="G27" s="1352" t="str">
        <v>junho 
2028</v>
      </c>
      <c r="H27" s="1352" t="str">
        <v>julho 
2028</v>
      </c>
      <c r="I27" s="1352" t="str">
        <v>agosto 
2028</v>
      </c>
      <c r="J27" s="1352" t="str">
        <v>setembro 
2028</v>
      </c>
      <c r="K27" s="1352" t="str">
        <v>outubro 
2028</v>
      </c>
      <c r="L27" s="1352" t="str">
        <v>novembro 
2028</v>
      </c>
      <c r="M27" s="1352" t="str">
        <v>dezembro 
2028</v>
      </c>
      <c r="N27" s="1352" t="str">
        <v>Totais  
2028</v>
      </c>
      <c r="O27" s="561"/>
    </row>
    <row r="28" spans="1:16">
      <c r="A28" s="1353" t="str">
        <f t="array" ref="A28:A31">$A$8:$A$11</f>
        <v>Capital realizado</v>
      </c>
      <c r="B28" s="1358"/>
      <c r="C28" s="1358"/>
      <c r="D28" s="1358"/>
      <c r="E28" s="1358"/>
      <c r="F28" s="1358"/>
      <c r="G28" s="1358"/>
      <c r="H28" s="1358"/>
      <c r="I28" s="1358"/>
      <c r="J28" s="1358"/>
      <c r="K28" s="1358"/>
      <c r="L28" s="1358"/>
      <c r="M28" s="1358"/>
      <c r="N28" s="1358">
        <f>SUM(B28:M28)</f>
        <v>0</v>
      </c>
      <c r="O28" s="561"/>
    </row>
    <row r="29" spans="1:16">
      <c r="A29" s="1354" t="str">
        <v>Subvenções</v>
      </c>
      <c r="B29" s="1359"/>
      <c r="C29" s="1359"/>
      <c r="D29" s="1359"/>
      <c r="E29" s="1359"/>
      <c r="F29" s="1359"/>
      <c r="G29" s="1359"/>
      <c r="H29" s="1359"/>
      <c r="I29" s="1359"/>
      <c r="J29" s="1359"/>
      <c r="K29" s="1359"/>
      <c r="L29" s="1359"/>
      <c r="M29" s="1359"/>
      <c r="N29" s="1359">
        <f>SUM(B29:M29)</f>
        <v>0</v>
      </c>
      <c r="O29" s="561"/>
    </row>
    <row r="30" spans="1:16">
      <c r="A30" s="1354" t="str">
        <v>Outras cobranças atípicas</v>
      </c>
      <c r="B30" s="1359"/>
      <c r="C30" s="1359"/>
      <c r="D30" s="1359"/>
      <c r="E30" s="1359"/>
      <c r="F30" s="1359"/>
      <c r="G30" s="1359"/>
      <c r="H30" s="1359"/>
      <c r="I30" s="1359"/>
      <c r="J30" s="1359"/>
      <c r="K30" s="1359"/>
      <c r="L30" s="1359"/>
      <c r="M30" s="1796">
        <f ca="1">IF('IRC Coletivas'!$D$23&lt;0,-'IRC Coletivas'!$D$23,0)*0</f>
        <v>0</v>
      </c>
      <c r="N30" s="1359">
        <f ca="1">SUM(B30:M30)</f>
        <v>0</v>
      </c>
      <c r="O30" s="561"/>
    </row>
    <row r="31" spans="1:16">
      <c r="A31" s="1354" t="str">
        <v>Cobranças de clientes</v>
      </c>
      <c r="B31" s="1799">
        <f ca="1">+recmorosos*'Receitas e pagamentos 1'!$S$31/12*0</f>
        <v>0</v>
      </c>
      <c r="C31" s="1799">
        <f ca="1">+recmorosos*'Receitas e pagamentos 1'!$S$31/12*0</f>
        <v>0</v>
      </c>
      <c r="D31" s="1799">
        <f ca="1">+recmorosos*'Receitas e pagamentos 1'!$S$31/12*0</f>
        <v>0</v>
      </c>
      <c r="E31" s="1799">
        <f ca="1">+recmorosos*'Receitas e pagamentos 1'!$S$31/12*0</f>
        <v>0</v>
      </c>
      <c r="F31" s="1799">
        <f ca="1">+recmorosos*'Receitas e pagamentos 1'!$S$31/12*0</f>
        <v>0</v>
      </c>
      <c r="G31" s="1799">
        <f ca="1">+recmorosos*'Receitas e pagamentos 1'!$S$31/12*0</f>
        <v>0</v>
      </c>
      <c r="H31" s="1799">
        <f ca="1">+recmorosos*'Receitas e pagamentos 1'!$S$31/12*0</f>
        <v>0</v>
      </c>
      <c r="I31" s="1799">
        <f ca="1">+recmorosos*'Receitas e pagamentos 1'!$S$31/12*0</f>
        <v>0</v>
      </c>
      <c r="J31" s="1799">
        <f ca="1">+recmorosos*'Receitas e pagamentos 1'!$S$31/12*0</f>
        <v>0</v>
      </c>
      <c r="K31" s="1799">
        <f ca="1">+recmorosos*'Receitas e pagamentos 1'!$S$31/12*0</f>
        <v>0</v>
      </c>
      <c r="L31" s="1799">
        <f ca="1">+recmorosos*'Receitas e pagamentos 1'!$S$31/12*0</f>
        <v>0</v>
      </c>
      <c r="M31" s="1799">
        <f ca="1">+recmorosos*'Receitas e pagamentos 1'!$S$31/12*0</f>
        <v>0</v>
      </c>
      <c r="N31" s="1359">
        <f ca="1">SUM(B31:M31)</f>
        <v>0</v>
      </c>
      <c r="O31" s="561"/>
    </row>
    <row r="32" spans="1:16" ht="13.5" thickBot="1">
      <c r="A32" s="1355" t="s">
        <v>3</v>
      </c>
      <c r="B32" s="1356">
        <f t="shared" ref="B32:M32" ca="1" si="2">SUM(B28:B31)</f>
        <v>0</v>
      </c>
      <c r="C32" s="1356">
        <f t="shared" ca="1" si="2"/>
        <v>0</v>
      </c>
      <c r="D32" s="1356">
        <f t="shared" ca="1" si="2"/>
        <v>0</v>
      </c>
      <c r="E32" s="1356">
        <f t="shared" ca="1" si="2"/>
        <v>0</v>
      </c>
      <c r="F32" s="1356">
        <f t="shared" ca="1" si="2"/>
        <v>0</v>
      </c>
      <c r="G32" s="1356">
        <f t="shared" ca="1" si="2"/>
        <v>0</v>
      </c>
      <c r="H32" s="1356">
        <f t="shared" ca="1" si="2"/>
        <v>0</v>
      </c>
      <c r="I32" s="1356">
        <f t="shared" ca="1" si="2"/>
        <v>0</v>
      </c>
      <c r="J32" s="1356">
        <f t="shared" ca="1" si="2"/>
        <v>0</v>
      </c>
      <c r="K32" s="1356">
        <f t="shared" ca="1" si="2"/>
        <v>0</v>
      </c>
      <c r="L32" s="1356">
        <f t="shared" ca="1" si="2"/>
        <v>0</v>
      </c>
      <c r="M32" s="1356">
        <f t="shared" ca="1" si="2"/>
        <v>0</v>
      </c>
      <c r="N32" s="1356">
        <f ca="1">SUM(B32:M32)</f>
        <v>0</v>
      </c>
      <c r="O32" s="561"/>
    </row>
    <row r="33" spans="1:16">
      <c r="C33" s="1351"/>
      <c r="D33" s="561"/>
      <c r="E33" s="561"/>
      <c r="F33" s="561"/>
      <c r="G33" s="561"/>
      <c r="H33" s="561"/>
      <c r="I33" s="561"/>
      <c r="J33" s="561"/>
      <c r="K33" s="561"/>
      <c r="L33" s="561"/>
      <c r="M33" s="561"/>
      <c r="N33" s="561"/>
      <c r="O33" s="561"/>
      <c r="P33" s="561"/>
    </row>
    <row r="34" spans="1:16">
      <c r="C34" s="1351"/>
      <c r="D34" s="561"/>
      <c r="E34" s="561"/>
      <c r="F34" s="561"/>
      <c r="G34" s="561"/>
      <c r="H34" s="561"/>
      <c r="I34" s="561"/>
      <c r="J34" s="561"/>
      <c r="K34" s="561"/>
      <c r="L34" s="561"/>
      <c r="M34" s="561"/>
      <c r="N34" s="561"/>
      <c r="O34" s="561"/>
      <c r="P34" s="561"/>
    </row>
    <row r="35" spans="1:16" ht="19.5">
      <c r="A35" s="1357" t="str">
        <f>A15</f>
        <v>Outras Cobranças da empresa</v>
      </c>
      <c r="C35" s="2732" t="str">
        <f>Parametros!E$77</f>
        <v>Ano 3:  2029</v>
      </c>
      <c r="E35" s="561"/>
      <c r="F35" s="561"/>
      <c r="H35" s="561"/>
      <c r="I35" s="561"/>
      <c r="J35" s="561"/>
      <c r="K35" s="561"/>
      <c r="L35" s="561"/>
      <c r="M35" s="561"/>
      <c r="N35" s="561"/>
    </row>
    <row r="36" spans="1:16" ht="13.5" thickBot="1">
      <c r="C36" s="1351"/>
      <c r="D36" s="561"/>
      <c r="E36" s="561"/>
      <c r="F36" s="561"/>
      <c r="G36" s="561"/>
      <c r="H36" s="561"/>
      <c r="I36" s="561"/>
      <c r="J36" s="561"/>
      <c r="K36" s="561"/>
      <c r="L36" s="561"/>
      <c r="M36" s="561"/>
      <c r="N36" s="561"/>
      <c r="O36" s="561"/>
      <c r="P36" s="561"/>
    </row>
    <row r="37" spans="1:16" ht="27" customHeight="1" thickBot="1">
      <c r="A37" s="174" t="str">
        <f>CONCATENATE("Otros cobros  ",C35)</f>
        <v>Otros cobros  Ano 3:  2029</v>
      </c>
      <c r="B37" s="1352" t="str">
        <f t="array" ref="B37:N37">'Estimações Vendas'!B44:N44</f>
        <v>janeiro 
2029</v>
      </c>
      <c r="C37" s="1352" t="str">
        <v>fevereiro 
2029</v>
      </c>
      <c r="D37" s="1352" t="str">
        <v>março 
2029</v>
      </c>
      <c r="E37" s="1352" t="str">
        <v>abril 
2029</v>
      </c>
      <c r="F37" s="1352" t="str">
        <v>maio 
2029</v>
      </c>
      <c r="G37" s="1352" t="str">
        <v>junho 
2029</v>
      </c>
      <c r="H37" s="1352" t="str">
        <v>julho 
2029</v>
      </c>
      <c r="I37" s="1352" t="str">
        <v>agosto 
2029</v>
      </c>
      <c r="J37" s="1352" t="str">
        <v>setembro 
2029</v>
      </c>
      <c r="K37" s="1352" t="str">
        <v>outubro 
2029</v>
      </c>
      <c r="L37" s="1352" t="str">
        <v>novembro 
2029</v>
      </c>
      <c r="M37" s="1352" t="str">
        <v>dezembro 
2029</v>
      </c>
      <c r="N37" s="1352" t="str">
        <v>Totais  
2029</v>
      </c>
      <c r="O37" s="561"/>
    </row>
    <row r="38" spans="1:16">
      <c r="A38" s="1353" t="str">
        <f>A8</f>
        <v>Capital realizado</v>
      </c>
      <c r="B38" s="1358"/>
      <c r="C38" s="1358"/>
      <c r="D38" s="1358"/>
      <c r="E38" s="1358"/>
      <c r="F38" s="1358"/>
      <c r="G38" s="1358"/>
      <c r="H38" s="1358"/>
      <c r="I38" s="1358"/>
      <c r="J38" s="1358"/>
      <c r="K38" s="1358"/>
      <c r="L38" s="1358"/>
      <c r="M38" s="1358"/>
      <c r="N38" s="1358">
        <f t="shared" ref="N38:N43" si="3">SUM(B38:M38)</f>
        <v>0</v>
      </c>
      <c r="O38" s="561"/>
    </row>
    <row r="39" spans="1:16">
      <c r="A39" s="1354" t="s">
        <v>27</v>
      </c>
      <c r="B39" s="1798">
        <f>+Finançamento!G17*0</f>
        <v>0</v>
      </c>
      <c r="C39" s="1359"/>
      <c r="D39" s="1359"/>
      <c r="E39" s="1359"/>
      <c r="F39" s="1359"/>
      <c r="G39" s="1359"/>
      <c r="H39" s="1359"/>
      <c r="I39" s="1359"/>
      <c r="J39" s="1359"/>
      <c r="K39" s="1359"/>
      <c r="L39" s="1359"/>
      <c r="M39" s="1359"/>
      <c r="N39" s="1359">
        <f t="shared" si="3"/>
        <v>0</v>
      </c>
      <c r="O39" s="561"/>
    </row>
    <row r="40" spans="1:16">
      <c r="A40" s="1354" t="str">
        <f t="array" ref="A40:A42">$A$9:$A$11</f>
        <v>Subvenções</v>
      </c>
      <c r="B40" s="1359"/>
      <c r="C40" s="1359"/>
      <c r="D40" s="1359"/>
      <c r="E40" s="1359"/>
      <c r="F40" s="1359"/>
      <c r="G40" s="1359"/>
      <c r="H40" s="1359"/>
      <c r="I40" s="1359"/>
      <c r="J40" s="1359"/>
      <c r="K40" s="1359"/>
      <c r="L40" s="1359"/>
      <c r="M40" s="1359"/>
      <c r="N40" s="1359">
        <f t="shared" si="3"/>
        <v>0</v>
      </c>
      <c r="O40" s="561"/>
    </row>
    <row r="41" spans="1:16">
      <c r="A41" s="1354" t="str">
        <v>Outras cobranças atípicas</v>
      </c>
      <c r="B41" s="1359"/>
      <c r="C41" s="1359"/>
      <c r="D41" s="1359"/>
      <c r="E41" s="1359"/>
      <c r="F41" s="1359"/>
      <c r="G41" s="1359"/>
      <c r="H41" s="1359"/>
      <c r="I41" s="1359"/>
      <c r="J41" s="1359"/>
      <c r="K41" s="1359"/>
      <c r="L41" s="1359"/>
      <c r="M41" s="1796">
        <f ca="1">IF('IRC Coletivas'!$G$23&lt;0,-'IRC Coletivas'!$G$23,0)*0</f>
        <v>0</v>
      </c>
      <c r="N41" s="1359">
        <f t="shared" ca="1" si="3"/>
        <v>0</v>
      </c>
      <c r="O41" s="561"/>
    </row>
    <row r="42" spans="1:16">
      <c r="A42" s="1354" t="str">
        <v>Cobranças de clientes</v>
      </c>
      <c r="B42" s="1799">
        <f ca="1">+recmorosos*'Receitas e pagamentos 2'!$S$31/12*0</f>
        <v>0</v>
      </c>
      <c r="C42" s="1799">
        <f ca="1">+recmorosos*'Receitas e pagamentos 2'!$S$31/12*0</f>
        <v>0</v>
      </c>
      <c r="D42" s="1799">
        <f ca="1">+recmorosos*'Receitas e pagamentos 2'!$S$31/12*0</f>
        <v>0</v>
      </c>
      <c r="E42" s="1799">
        <f ca="1">+recmorosos*'Receitas e pagamentos 2'!$S$31/12*0</f>
        <v>0</v>
      </c>
      <c r="F42" s="1799">
        <f ca="1">+recmorosos*'Receitas e pagamentos 2'!$S$31/12*0</f>
        <v>0</v>
      </c>
      <c r="G42" s="1799">
        <f ca="1">+recmorosos*'Receitas e pagamentos 2'!$S$31/12*0</f>
        <v>0</v>
      </c>
      <c r="H42" s="1799">
        <f ca="1">+recmorosos*'Receitas e pagamentos 2'!$S$31/12*0</f>
        <v>0</v>
      </c>
      <c r="I42" s="1799">
        <f ca="1">+recmorosos*'Receitas e pagamentos 2'!$S$31/12*0</f>
        <v>0</v>
      </c>
      <c r="J42" s="1799">
        <f ca="1">+recmorosos*'Receitas e pagamentos 2'!$S$31/12*0</f>
        <v>0</v>
      </c>
      <c r="K42" s="1799">
        <f ca="1">+recmorosos*'Receitas e pagamentos 2'!$S$31/12*0</f>
        <v>0</v>
      </c>
      <c r="L42" s="1799">
        <f ca="1">+recmorosos*'Receitas e pagamentos 2'!$S$31/12*0</f>
        <v>0</v>
      </c>
      <c r="M42" s="1799">
        <f ca="1">+recmorosos*'Receitas e pagamentos 2'!$S$31/12*0</f>
        <v>0</v>
      </c>
      <c r="N42" s="1359">
        <f t="shared" ca="1" si="3"/>
        <v>0</v>
      </c>
      <c r="O42" s="561"/>
    </row>
    <row r="43" spans="1:16" ht="13.5" thickBot="1">
      <c r="A43" s="1355" t="s">
        <v>3</v>
      </c>
      <c r="B43" s="1356">
        <f t="shared" ref="B43:M43" ca="1" si="4">SUM(B38:B42)</f>
        <v>0</v>
      </c>
      <c r="C43" s="1356">
        <f t="shared" ca="1" si="4"/>
        <v>0</v>
      </c>
      <c r="D43" s="1356">
        <f t="shared" ca="1" si="4"/>
        <v>0</v>
      </c>
      <c r="E43" s="1356">
        <f t="shared" ca="1" si="4"/>
        <v>0</v>
      </c>
      <c r="F43" s="1356">
        <f t="shared" ca="1" si="4"/>
        <v>0</v>
      </c>
      <c r="G43" s="1356">
        <f t="shared" ca="1" si="4"/>
        <v>0</v>
      </c>
      <c r="H43" s="1356">
        <f t="shared" ca="1" si="4"/>
        <v>0</v>
      </c>
      <c r="I43" s="1356">
        <f t="shared" ca="1" si="4"/>
        <v>0</v>
      </c>
      <c r="J43" s="1356">
        <f t="shared" ca="1" si="4"/>
        <v>0</v>
      </c>
      <c r="K43" s="1356">
        <f t="shared" ca="1" si="4"/>
        <v>0</v>
      </c>
      <c r="L43" s="1356">
        <f t="shared" ca="1" si="4"/>
        <v>0</v>
      </c>
      <c r="M43" s="1356">
        <f t="shared" ca="1" si="4"/>
        <v>0</v>
      </c>
      <c r="N43" s="1356">
        <f t="shared" ca="1" si="3"/>
        <v>0</v>
      </c>
      <c r="O43" s="561"/>
    </row>
    <row r="44" spans="1:16">
      <c r="C44" s="1351"/>
      <c r="D44" s="561"/>
      <c r="E44" s="561"/>
      <c r="F44" s="561"/>
      <c r="G44" s="561"/>
      <c r="H44" s="561"/>
      <c r="I44" s="561"/>
      <c r="J44" s="561"/>
      <c r="K44" s="561"/>
      <c r="L44" s="561"/>
      <c r="M44" s="561"/>
      <c r="N44" s="561"/>
      <c r="O44" s="561"/>
      <c r="P44" s="561"/>
    </row>
    <row r="45" spans="1:16">
      <c r="C45" s="1351"/>
      <c r="D45" s="561"/>
      <c r="E45" s="561"/>
      <c r="F45" s="561"/>
      <c r="G45" s="561"/>
      <c r="H45" s="561"/>
      <c r="I45" s="561"/>
      <c r="J45" s="561"/>
      <c r="K45" s="561"/>
      <c r="L45" s="561"/>
      <c r="M45" s="561"/>
      <c r="N45" s="561"/>
      <c r="O45" s="561"/>
      <c r="P45" s="561"/>
    </row>
    <row r="46" spans="1:16" ht="19.5">
      <c r="A46" s="1357" t="str">
        <f>A25</f>
        <v>Outras Cobranças da empresa</v>
      </c>
      <c r="C46" s="2732" t="str">
        <f>Parametros!F$77</f>
        <v>Ano 4:  2030</v>
      </c>
      <c r="E46" s="561"/>
      <c r="F46" s="561"/>
      <c r="H46" s="561"/>
      <c r="I46" s="561"/>
      <c r="J46" s="561"/>
      <c r="K46" s="561"/>
      <c r="L46" s="561"/>
      <c r="M46" s="561"/>
      <c r="N46" s="561"/>
    </row>
    <row r="47" spans="1:16" ht="13.5" thickBot="1">
      <c r="C47" s="1351"/>
      <c r="D47" s="561"/>
      <c r="E47" s="561"/>
      <c r="F47" s="561"/>
      <c r="G47" s="561"/>
      <c r="H47" s="561"/>
      <c r="I47" s="561"/>
      <c r="J47" s="561"/>
      <c r="K47" s="561"/>
      <c r="L47" s="561"/>
      <c r="M47" s="561"/>
      <c r="N47" s="561"/>
      <c r="O47" s="561"/>
      <c r="P47" s="561"/>
    </row>
    <row r="48" spans="1:16" ht="27" customHeight="1" thickBot="1">
      <c r="A48" s="174" t="str">
        <f>CONCATENATE("Otros cobros  ",C46)</f>
        <v>Otros cobros  Ano 4:  2030</v>
      </c>
      <c r="B48" s="1352" t="str">
        <f t="array" ref="B48:N48">'Estimações Vendas'!B57:N57</f>
        <v>janeiro 
2030</v>
      </c>
      <c r="C48" s="1352" t="str">
        <v>fevereiro 
2030</v>
      </c>
      <c r="D48" s="1352" t="str">
        <v>março 
2030</v>
      </c>
      <c r="E48" s="1352" t="str">
        <v>abril 
2030</v>
      </c>
      <c r="F48" s="1352" t="str">
        <v>maio 
2030</v>
      </c>
      <c r="G48" s="1352" t="str">
        <v>junho 
2030</v>
      </c>
      <c r="H48" s="1352" t="str">
        <v>julho 
2030</v>
      </c>
      <c r="I48" s="1352" t="str">
        <v>agosto 
2030</v>
      </c>
      <c r="J48" s="1352" t="str">
        <v>setembro 
2030</v>
      </c>
      <c r="K48" s="1352" t="str">
        <v>outubro 
2030</v>
      </c>
      <c r="L48" s="1352" t="str">
        <v>novembro 
2030</v>
      </c>
      <c r="M48" s="1352" t="str">
        <v>dezembro 
2030</v>
      </c>
      <c r="N48" s="1352" t="str">
        <v>Totais  
2030</v>
      </c>
      <c r="O48" s="561"/>
    </row>
    <row r="49" spans="1:16">
      <c r="A49" s="1353" t="str">
        <f t="array" ref="A49:A53">A38:A42</f>
        <v>Capital realizado</v>
      </c>
      <c r="B49" s="1358"/>
      <c r="C49" s="1358"/>
      <c r="D49" s="1358"/>
      <c r="E49" s="1358"/>
      <c r="F49" s="1358"/>
      <c r="G49" s="1358"/>
      <c r="H49" s="1358"/>
      <c r="I49" s="1358"/>
      <c r="J49" s="1358"/>
      <c r="K49" s="1358"/>
      <c r="L49" s="1358"/>
      <c r="M49" s="1358"/>
      <c r="N49" s="1358">
        <f t="shared" ref="N49:N54" si="5">SUM(B49:M49)</f>
        <v>0</v>
      </c>
      <c r="O49" s="561"/>
    </row>
    <row r="50" spans="1:16">
      <c r="A50" s="1354" t="str">
        <v>Créditos de los socios</v>
      </c>
      <c r="B50" s="1798">
        <f>+Finançamento!H17*0</f>
        <v>0</v>
      </c>
      <c r="C50" s="1359"/>
      <c r="D50" s="1359"/>
      <c r="E50" s="1359"/>
      <c r="F50" s="1359"/>
      <c r="G50" s="1359"/>
      <c r="H50" s="1359"/>
      <c r="I50" s="1359"/>
      <c r="J50" s="1359"/>
      <c r="K50" s="1359"/>
      <c r="L50" s="1359"/>
      <c r="M50" s="1359"/>
      <c r="N50" s="1359">
        <f t="shared" si="5"/>
        <v>0</v>
      </c>
      <c r="O50" s="561"/>
    </row>
    <row r="51" spans="1:16">
      <c r="A51" s="1354" t="str">
        <v>Subvenções</v>
      </c>
      <c r="B51" s="1359"/>
      <c r="C51" s="1359"/>
      <c r="D51" s="1359"/>
      <c r="E51" s="1359"/>
      <c r="F51" s="1359"/>
      <c r="G51" s="1359"/>
      <c r="H51" s="1359"/>
      <c r="I51" s="1359"/>
      <c r="J51" s="1359"/>
      <c r="K51" s="1359"/>
      <c r="L51" s="1359"/>
      <c r="M51" s="1359"/>
      <c r="N51" s="1359">
        <f t="shared" si="5"/>
        <v>0</v>
      </c>
      <c r="O51" s="561"/>
    </row>
    <row r="52" spans="1:16">
      <c r="A52" s="1354" t="str">
        <v>Outras cobranças atípicas</v>
      </c>
      <c r="B52" s="1359"/>
      <c r="C52" s="1359"/>
      <c r="D52" s="1359"/>
      <c r="E52" s="1359"/>
      <c r="F52" s="1359"/>
      <c r="G52" s="1359"/>
      <c r="H52" s="1359"/>
      <c r="I52" s="1359"/>
      <c r="J52" s="1359"/>
      <c r="K52" s="1359"/>
      <c r="L52" s="1359"/>
      <c r="M52" s="1796">
        <f ca="1">IF('IRC Coletivas'!$J$23&lt;0,-'IRC Coletivas'!$J$23,0)*0</f>
        <v>0</v>
      </c>
      <c r="N52" s="1359">
        <f t="shared" ca="1" si="5"/>
        <v>0</v>
      </c>
      <c r="O52" s="561"/>
    </row>
    <row r="53" spans="1:16">
      <c r="A53" s="1354" t="str">
        <v>Cobranças de clientes</v>
      </c>
      <c r="B53" s="1799">
        <f ca="1">+recmorosos*'Receitas e pagamentos 3'!$S$31/12*0</f>
        <v>0</v>
      </c>
      <c r="C53" s="1799">
        <f ca="1">+recmorosos*'Receitas e pagamentos 3'!$S$31/12*0</f>
        <v>0</v>
      </c>
      <c r="D53" s="1799">
        <f ca="1">+recmorosos*'Receitas e pagamentos 3'!$S$31/12*0</f>
        <v>0</v>
      </c>
      <c r="E53" s="1799">
        <f ca="1">+recmorosos*'Receitas e pagamentos 3'!$S$31/12*0</f>
        <v>0</v>
      </c>
      <c r="F53" s="1799">
        <f ca="1">+recmorosos*'Receitas e pagamentos 3'!$S$31/12*0</f>
        <v>0</v>
      </c>
      <c r="G53" s="1799">
        <f ca="1">+recmorosos*'Receitas e pagamentos 3'!$S$31/12*0</f>
        <v>0</v>
      </c>
      <c r="H53" s="1799">
        <f ca="1">+recmorosos*'Receitas e pagamentos 3'!$S$31/12*0</f>
        <v>0</v>
      </c>
      <c r="I53" s="1799">
        <f ca="1">+recmorosos*'Receitas e pagamentos 3'!$S$31/12*0</f>
        <v>0</v>
      </c>
      <c r="J53" s="1799">
        <f ca="1">+recmorosos*'Receitas e pagamentos 3'!$S$31/12*0</f>
        <v>0</v>
      </c>
      <c r="K53" s="1799">
        <f ca="1">+recmorosos*'Receitas e pagamentos 3'!$S$31/12*0</f>
        <v>0</v>
      </c>
      <c r="L53" s="1799">
        <f ca="1">+recmorosos*'Receitas e pagamentos 3'!$S$31/12*0</f>
        <v>0</v>
      </c>
      <c r="M53" s="1799">
        <f ca="1">+recmorosos*'Receitas e pagamentos 3'!$S$31/12*0</f>
        <v>0</v>
      </c>
      <c r="N53" s="1359">
        <f t="shared" ca="1" si="5"/>
        <v>0</v>
      </c>
      <c r="O53" s="561"/>
    </row>
    <row r="54" spans="1:16" ht="13.5" thickBot="1">
      <c r="A54" s="1355" t="s">
        <v>3</v>
      </c>
      <c r="B54" s="1356">
        <f t="shared" ref="B54:M54" ca="1" si="6">SUM(B49:B53)</f>
        <v>0</v>
      </c>
      <c r="C54" s="1356">
        <f t="shared" ca="1" si="6"/>
        <v>0</v>
      </c>
      <c r="D54" s="1356">
        <f t="shared" ca="1" si="6"/>
        <v>0</v>
      </c>
      <c r="E54" s="1356">
        <f t="shared" ca="1" si="6"/>
        <v>0</v>
      </c>
      <c r="F54" s="1356">
        <f t="shared" ca="1" si="6"/>
        <v>0</v>
      </c>
      <c r="G54" s="1356">
        <f t="shared" ca="1" si="6"/>
        <v>0</v>
      </c>
      <c r="H54" s="1356">
        <f t="shared" ca="1" si="6"/>
        <v>0</v>
      </c>
      <c r="I54" s="1356">
        <f t="shared" ca="1" si="6"/>
        <v>0</v>
      </c>
      <c r="J54" s="1356">
        <f t="shared" ca="1" si="6"/>
        <v>0</v>
      </c>
      <c r="K54" s="1356">
        <f t="shared" ca="1" si="6"/>
        <v>0</v>
      </c>
      <c r="L54" s="1356">
        <f t="shared" ca="1" si="6"/>
        <v>0</v>
      </c>
      <c r="M54" s="1356">
        <f t="shared" ca="1" si="6"/>
        <v>0</v>
      </c>
      <c r="N54" s="1356">
        <f t="shared" ca="1" si="5"/>
        <v>0</v>
      </c>
      <c r="O54" s="561"/>
    </row>
    <row r="55" spans="1:16">
      <c r="C55" s="1351"/>
      <c r="D55" s="561"/>
      <c r="E55" s="561"/>
      <c r="F55" s="561"/>
      <c r="G55" s="561"/>
      <c r="H55" s="561"/>
      <c r="I55" s="561"/>
      <c r="J55" s="561"/>
      <c r="K55" s="561"/>
      <c r="L55" s="561"/>
      <c r="M55" s="561"/>
      <c r="N55" s="561"/>
      <c r="O55" s="561"/>
      <c r="P55" s="561"/>
    </row>
    <row r="56" spans="1:16">
      <c r="C56" s="1351"/>
      <c r="D56" s="561"/>
      <c r="E56" s="561"/>
      <c r="F56" s="561"/>
      <c r="G56" s="561"/>
      <c r="H56" s="561"/>
      <c r="I56" s="561"/>
      <c r="J56" s="561"/>
      <c r="K56" s="561"/>
      <c r="L56" s="561"/>
      <c r="M56" s="561"/>
      <c r="N56" s="561"/>
      <c r="O56" s="561"/>
      <c r="P56" s="561"/>
    </row>
    <row r="57" spans="1:16">
      <c r="C57" s="1351"/>
      <c r="D57" s="561"/>
      <c r="E57" s="561"/>
      <c r="F57" s="561"/>
      <c r="G57" s="561"/>
      <c r="H57" s="561"/>
      <c r="I57" s="561"/>
      <c r="J57" s="561"/>
      <c r="K57" s="561"/>
      <c r="L57" s="561"/>
      <c r="M57" s="561"/>
      <c r="N57" s="561"/>
      <c r="O57" s="561"/>
      <c r="P57" s="561"/>
    </row>
    <row r="58" spans="1:16">
      <c r="C58" s="1351"/>
      <c r="D58" s="561"/>
      <c r="E58" s="561"/>
      <c r="F58" s="561"/>
      <c r="G58" s="561"/>
      <c r="H58" s="561"/>
      <c r="I58" s="561"/>
      <c r="J58" s="561"/>
      <c r="K58" s="561"/>
      <c r="L58" s="561"/>
      <c r="M58" s="561"/>
      <c r="N58" s="561"/>
      <c r="O58" s="561"/>
      <c r="P58" s="561"/>
    </row>
    <row r="59" spans="1:16" ht="19.5">
      <c r="A59" s="1357" t="s">
        <v>923</v>
      </c>
      <c r="C59" s="2732" t="str">
        <f>C5</f>
        <v>Ano 0:  2026</v>
      </c>
      <c r="E59" s="561"/>
      <c r="F59" s="561"/>
      <c r="H59" s="561"/>
      <c r="I59" s="561"/>
      <c r="J59" s="561"/>
      <c r="K59" s="561"/>
      <c r="L59" s="561"/>
      <c r="M59" s="561"/>
      <c r="N59" s="561"/>
    </row>
    <row r="60" spans="1:16" ht="13.5" thickBot="1">
      <c r="A60" s="561"/>
      <c r="B60" s="1064"/>
      <c r="C60" s="561"/>
      <c r="D60" s="561"/>
      <c r="E60" s="561"/>
      <c r="F60" s="561"/>
      <c r="G60" s="561"/>
      <c r="H60" s="561"/>
      <c r="I60" s="561"/>
      <c r="J60" s="561"/>
      <c r="K60" s="561"/>
      <c r="L60" s="561"/>
      <c r="M60" s="561"/>
      <c r="N60" s="561"/>
      <c r="O60" s="561"/>
      <c r="P60" s="561"/>
    </row>
    <row r="61" spans="1:16" ht="27.75" customHeight="1" thickBot="1">
      <c r="A61" s="174" t="str">
        <f>CONCATENATE("Otros pagos  ",C59)</f>
        <v>Otros pagos  Ano 0:  2026</v>
      </c>
      <c r="B61" s="1352" t="str">
        <f t="array" ref="B61:N61">B7:N7</f>
        <v>janeiro 
2026</v>
      </c>
      <c r="C61" s="1352" t="str">
        <v>fevereiro 
2026</v>
      </c>
      <c r="D61" s="1352" t="str">
        <v>março 
2026</v>
      </c>
      <c r="E61" s="1352" t="str">
        <v>abril 
2026</v>
      </c>
      <c r="F61" s="1352" t="str">
        <v>maio 
2026</v>
      </c>
      <c r="G61" s="1352" t="str">
        <v>junho 
2026</v>
      </c>
      <c r="H61" s="1352" t="str">
        <v>julho 
2026</v>
      </c>
      <c r="I61" s="1352" t="str">
        <v>agosto 
2026</v>
      </c>
      <c r="J61" s="1352" t="str">
        <v>setembro 
2026</v>
      </c>
      <c r="K61" s="1352" t="str">
        <v>outubro 
2026</v>
      </c>
      <c r="L61" s="1352" t="str">
        <v>novembro 
2026</v>
      </c>
      <c r="M61" s="1352" t="str">
        <v>dezembro 
2026</v>
      </c>
      <c r="N61" s="1352" t="str">
        <v>Totais  
2026</v>
      </c>
      <c r="O61" s="88"/>
    </row>
    <row r="62" spans="1:16">
      <c r="A62" s="1353" t="s">
        <v>927</v>
      </c>
      <c r="B62" s="1358"/>
      <c r="C62" s="1358"/>
      <c r="D62" s="1358"/>
      <c r="E62" s="1358"/>
      <c r="F62" s="1358"/>
      <c r="G62" s="1358"/>
      <c r="H62" s="1358"/>
      <c r="I62" s="1358"/>
      <c r="J62" s="1358"/>
      <c r="K62" s="1358"/>
      <c r="L62" s="1358"/>
      <c r="M62" s="1358"/>
      <c r="N62" s="1358">
        <f>SUM(B62:M62)</f>
        <v>0</v>
      </c>
      <c r="O62" s="88"/>
    </row>
    <row r="63" spans="1:16">
      <c r="A63" s="1354" t="s">
        <v>926</v>
      </c>
      <c r="B63" s="1359"/>
      <c r="C63" s="1359"/>
      <c r="D63" s="1359"/>
      <c r="E63" s="1359"/>
      <c r="F63" s="1359"/>
      <c r="G63" s="1359"/>
      <c r="H63" s="1359"/>
      <c r="I63" s="1359"/>
      <c r="J63" s="1359"/>
      <c r="K63" s="1359"/>
      <c r="L63" s="1359"/>
      <c r="M63" s="1359"/>
      <c r="N63" s="1359">
        <f>SUM(B63:M63)</f>
        <v>0</v>
      </c>
      <c r="O63" s="88"/>
    </row>
    <row r="64" spans="1:16">
      <c r="A64" s="1354" t="s">
        <v>929</v>
      </c>
      <c r="B64" s="1983">
        <v>0</v>
      </c>
      <c r="C64" s="1983"/>
      <c r="D64" s="1983"/>
      <c r="E64" s="1983"/>
      <c r="F64" s="1983"/>
      <c r="G64" s="1983"/>
      <c r="H64" s="1983"/>
      <c r="I64" s="1983"/>
      <c r="J64" s="1983"/>
      <c r="K64" s="1983"/>
      <c r="L64" s="1983"/>
      <c r="M64" s="1983"/>
      <c r="N64" s="1794">
        <f>SUM(B64:M64)</f>
        <v>0</v>
      </c>
      <c r="O64" s="88"/>
    </row>
    <row r="65" spans="1:15">
      <c r="A65" s="1354" t="s">
        <v>928</v>
      </c>
      <c r="B65" s="1793">
        <f>'Finançamento Inicial'!$B$27*IF(OR(mes0&gt;COLUMN(B11)-1,COLUMN(B11)-mes0&gt;6),0,INDEX('Pol. Cobranças e Pagamentos'!$C$67:$H$67,1,COLUMN(B11)-mes0))*0</f>
        <v>0</v>
      </c>
      <c r="C65" s="1793">
        <f>'Finançamento Inicial'!$B$27*IF(OR(mes0&gt;COLUMN(C11)-1,COLUMN(C11)-mes0&gt;6),0,INDEX('Pol. Cobranças e Pagamentos'!$C$67:$H$67,1,COLUMN(C11)-mes0))*0</f>
        <v>0</v>
      </c>
      <c r="D65" s="1793">
        <f>'Finançamento Inicial'!$B$27*IF(OR(mes0&gt;COLUMN(D11)-1,COLUMN(D11)-mes0&gt;6),0,INDEX('Pol. Cobranças e Pagamentos'!$C$67:$H$67,1,COLUMN(D11)-mes0))*0</f>
        <v>0</v>
      </c>
      <c r="E65" s="1793">
        <f>'Finançamento Inicial'!$B$27*IF(OR(mes0&gt;COLUMN(E11)-1,COLUMN(E11)-mes0&gt;6),0,INDEX('Pol. Cobranças e Pagamentos'!$C$67:$H$67,1,COLUMN(E11)-mes0))*0</f>
        <v>0</v>
      </c>
      <c r="F65" s="1793">
        <f>'Finançamento Inicial'!$B$27*IF(OR(mes0&gt;COLUMN(F11)-1,COLUMN(F11)-mes0&gt;6),0,INDEX('Pol. Cobranças e Pagamentos'!$C$67:$H$67,1,COLUMN(F11)-mes0))*0</f>
        <v>0</v>
      </c>
      <c r="G65" s="1793">
        <f>'Finançamento Inicial'!$B$27*IF(OR(mes0&gt;COLUMN(G11)-1,COLUMN(G11)-mes0&gt;6),0,INDEX('Pol. Cobranças e Pagamentos'!$C$67:$H$67,1,COLUMN(G11)-mes0))*0</f>
        <v>0</v>
      </c>
      <c r="H65" s="1793">
        <f>'Finançamento Inicial'!$B$27*IF(OR(mes0&gt;COLUMN(H11)-1,COLUMN(H11)-mes0&gt;6),0,INDEX('Pol. Cobranças e Pagamentos'!$C$67:$H$67,1,COLUMN(H11)-mes0))*0</f>
        <v>0</v>
      </c>
      <c r="I65" s="1793">
        <f>'Finançamento Inicial'!$B$27*IF(OR(mes0&gt;COLUMN(I11)-1,COLUMN(I11)-mes0&gt;6),0,INDEX('Pol. Cobranças e Pagamentos'!$C$67:$H$67,1,COLUMN(I11)-mes0))*0</f>
        <v>0</v>
      </c>
      <c r="J65" s="1793">
        <f>'Finançamento Inicial'!$B$27*IF(OR(mes0&gt;COLUMN(J11)-1,COLUMN(J11)-mes0&gt;6),0,INDEX('Pol. Cobranças e Pagamentos'!$C$67:$H$67,1,COLUMN(J11)-mes0))*0</f>
        <v>0</v>
      </c>
      <c r="K65" s="1793">
        <f>'Finançamento Inicial'!$B$27*IF(OR(mes0&gt;COLUMN(K11)-1,COLUMN(K11)-mes0&gt;6),0,INDEX('Pol. Cobranças e Pagamentos'!$C$67:$H$67,1,COLUMN(K11)-mes0))*0</f>
        <v>0</v>
      </c>
      <c r="L65" s="1793">
        <f>'Finançamento Inicial'!$B$27*IF(OR(mes0&gt;COLUMN(L11)-1,COLUMN(L11)-mes0&gt;6),0,INDEX('Pol. Cobranças e Pagamentos'!$C$67:$H$67,1,COLUMN(L11)-mes0))*0</f>
        <v>0</v>
      </c>
      <c r="M65" s="1793">
        <f>'Finançamento Inicial'!$B$27*IF(OR(mes0&gt;COLUMN(M11)-1,COLUMN(M11)-mes0&gt;6),0,INDEX('Pol. Cobranças e Pagamentos'!$C$67:$H$67,1,COLUMN(M11)-mes0))*0</f>
        <v>0</v>
      </c>
      <c r="N65" s="1794">
        <f>SUM(B65:M65)</f>
        <v>0</v>
      </c>
      <c r="O65" s="88"/>
    </row>
    <row r="66" spans="1:15" ht="13.5" thickBot="1">
      <c r="A66" s="1355" t="s">
        <v>3</v>
      </c>
      <c r="B66" s="1795">
        <f t="shared" ref="B66:M66" si="7">SUM(B62:B65)</f>
        <v>0</v>
      </c>
      <c r="C66" s="1795">
        <f t="shared" si="7"/>
        <v>0</v>
      </c>
      <c r="D66" s="1795">
        <f t="shared" si="7"/>
        <v>0</v>
      </c>
      <c r="E66" s="1795">
        <f t="shared" si="7"/>
        <v>0</v>
      </c>
      <c r="F66" s="1795">
        <f t="shared" si="7"/>
        <v>0</v>
      </c>
      <c r="G66" s="1795">
        <f t="shared" si="7"/>
        <v>0</v>
      </c>
      <c r="H66" s="1795">
        <f t="shared" si="7"/>
        <v>0</v>
      </c>
      <c r="I66" s="1795">
        <f t="shared" si="7"/>
        <v>0</v>
      </c>
      <c r="J66" s="1795">
        <f t="shared" si="7"/>
        <v>0</v>
      </c>
      <c r="K66" s="1795">
        <f t="shared" si="7"/>
        <v>0</v>
      </c>
      <c r="L66" s="1795">
        <f t="shared" si="7"/>
        <v>0</v>
      </c>
      <c r="M66" s="1795">
        <f t="shared" si="7"/>
        <v>0</v>
      </c>
      <c r="N66" s="1356">
        <f>SUM(B66:M66)</f>
        <v>0</v>
      </c>
      <c r="O66" s="88"/>
    </row>
    <row r="67" spans="1:15">
      <c r="A67" s="561"/>
      <c r="B67" s="1064"/>
      <c r="C67" s="554"/>
      <c r="D67" s="554"/>
      <c r="E67" s="554"/>
      <c r="F67" s="554"/>
      <c r="G67" s="554"/>
      <c r="H67" s="554"/>
      <c r="I67" s="554"/>
      <c r="J67" s="554"/>
      <c r="K67" s="554"/>
      <c r="L67" s="554"/>
      <c r="M67" s="554"/>
      <c r="O67" s="88"/>
    </row>
    <row r="68" spans="1:15">
      <c r="O68" s="88"/>
    </row>
    <row r="69" spans="1:15" ht="19.5">
      <c r="A69" s="1357" t="str">
        <f>A59</f>
        <v>Outros Pagamentos da empresa</v>
      </c>
      <c r="C69" s="2732" t="str">
        <f>C15</f>
        <v>Ano 1:  2027</v>
      </c>
      <c r="E69" s="561"/>
      <c r="F69" s="561"/>
      <c r="H69" s="561"/>
      <c r="I69" s="561"/>
      <c r="J69" s="561"/>
      <c r="K69" s="561"/>
      <c r="L69" s="561"/>
      <c r="M69" s="561"/>
      <c r="N69" s="561"/>
    </row>
    <row r="70" spans="1:15" ht="13.5" thickBot="1">
      <c r="A70" s="561"/>
      <c r="B70" s="1064"/>
      <c r="C70" s="561"/>
      <c r="D70" s="561"/>
      <c r="E70" s="561"/>
      <c r="F70" s="561"/>
      <c r="G70" s="561"/>
      <c r="H70" s="561"/>
      <c r="I70" s="561"/>
      <c r="J70" s="561"/>
      <c r="K70" s="561"/>
      <c r="L70" s="561"/>
      <c r="M70" s="561"/>
      <c r="N70" s="561"/>
    </row>
    <row r="71" spans="1:15" ht="27" customHeight="1" thickBot="1">
      <c r="A71" s="174" t="str">
        <f>CONCATENATE("Otros pagos  ",C69)</f>
        <v>Otros pagos  Ano 1:  2027</v>
      </c>
      <c r="B71" s="1352" t="str">
        <f t="array" ref="B71:N71">B17:N17</f>
        <v>janeiro 
2027</v>
      </c>
      <c r="C71" s="1352" t="str">
        <v>fevereiro 
2027</v>
      </c>
      <c r="D71" s="1352" t="str">
        <v>março 
2027</v>
      </c>
      <c r="E71" s="1352" t="str">
        <v>abril 
2027</v>
      </c>
      <c r="F71" s="1352" t="str">
        <v>maio 
2027</v>
      </c>
      <c r="G71" s="1352" t="str">
        <v>junho 
2027</v>
      </c>
      <c r="H71" s="1352" t="str">
        <v>julho 
2027</v>
      </c>
      <c r="I71" s="1352" t="str">
        <v>agosto 
2027</v>
      </c>
      <c r="J71" s="1352" t="str">
        <v>setembro 
2027</v>
      </c>
      <c r="K71" s="1352" t="str">
        <v>outubro 
2027</v>
      </c>
      <c r="L71" s="1352" t="str">
        <v>novembro 
2027</v>
      </c>
      <c r="M71" s="1352" t="str">
        <v>dezembro 
2027</v>
      </c>
      <c r="N71" s="1352" t="str">
        <v>Totais  
2027</v>
      </c>
    </row>
    <row r="72" spans="1:15">
      <c r="A72" s="1353" t="str">
        <f t="array" ref="A72:A75">$A$62:$A$65</f>
        <v>Pagamentos de investimentos</v>
      </c>
      <c r="B72" s="1358"/>
      <c r="C72" s="1358"/>
      <c r="D72" s="1358"/>
      <c r="E72" s="1358"/>
      <c r="F72" s="1358"/>
      <c r="G72" s="1358"/>
      <c r="H72" s="1358"/>
      <c r="I72" s="1358"/>
      <c r="J72" s="1358"/>
      <c r="K72" s="1358"/>
      <c r="L72" s="1358"/>
      <c r="M72" s="1358"/>
      <c r="N72" s="1358">
        <f>SUM(B72:M72)</f>
        <v>0</v>
      </c>
    </row>
    <row r="73" spans="1:15">
      <c r="A73" s="1354" t="str">
        <v>Pagamento de dividendos</v>
      </c>
      <c r="B73" s="1359"/>
      <c r="C73" s="1359"/>
      <c r="D73" s="1359"/>
      <c r="E73" s="1359"/>
      <c r="F73" s="1359"/>
      <c r="G73" s="1359"/>
      <c r="H73" s="1793">
        <f ca="1">'IRC Coletivas'!$B$32/2*0</f>
        <v>0</v>
      </c>
      <c r="I73" s="1359"/>
      <c r="J73" s="1359"/>
      <c r="K73" s="1359"/>
      <c r="L73" s="1359"/>
      <c r="M73" s="1793">
        <f ca="1">'IRC Coletivas'!$B$32/2*0</f>
        <v>0</v>
      </c>
      <c r="N73" s="1359">
        <f ca="1">SUM(B73:M73)</f>
        <v>0</v>
      </c>
    </row>
    <row r="74" spans="1:15">
      <c r="A74" s="1354" t="str">
        <v>Devoluções outros creedores LP</v>
      </c>
      <c r="B74" s="1983"/>
      <c r="C74" s="1983"/>
      <c r="D74" s="1983"/>
      <c r="E74" s="1983"/>
      <c r="F74" s="1983"/>
      <c r="G74" s="1983"/>
      <c r="H74" s="1983"/>
      <c r="I74" s="1983"/>
      <c r="J74" s="1983"/>
      <c r="K74" s="1983"/>
      <c r="L74" s="1983"/>
      <c r="M74" s="1983"/>
      <c r="N74" s="1794">
        <f>SUM(B74:M74)</f>
        <v>0</v>
      </c>
    </row>
    <row r="75" spans="1:15">
      <c r="A75" s="1354" t="str">
        <v>Pagamentos pend. Fornecedores</v>
      </c>
      <c r="B75" s="1793">
        <f>'Finançamento Inicial'!$B$27*IF(OR(mes0&lt;=7,COLUMN(B11)&gt;mes0-6),0,INDEX('Pol. Cobranças e Pagamentos'!$C$67:$H$67,1,COLUMN(B11)-mes0+12))*0</f>
        <v>0</v>
      </c>
      <c r="C75" s="1793">
        <f>'Finançamento Inicial'!$B$27*IF(OR(mes0&lt;=7,COLUMN(C11)&gt;mes0-6),0,INDEX('Pol. Cobranças e Pagamentos'!$C$67:$H$67,1,COLUMN(C11)-mes0+12))*0</f>
        <v>0</v>
      </c>
      <c r="D75" s="1793">
        <f>'Finançamento Inicial'!$B$27*IF(OR(mes0&lt;=7,COLUMN(D11)&gt;mes0-6),0,INDEX('Pol. Cobranças e Pagamentos'!$C$67:$H$67,1,COLUMN(D11)-mes0+12))*0</f>
        <v>0</v>
      </c>
      <c r="E75" s="1793">
        <f>'Finançamento Inicial'!$B$27*IF(OR(mes0&lt;=7,COLUMN(E11)&gt;mes0-6),0,INDEX('Pol. Cobranças e Pagamentos'!$C$67:$H$67,1,COLUMN(E11)-mes0+12))*0</f>
        <v>0</v>
      </c>
      <c r="F75" s="1793">
        <f>'Finançamento Inicial'!$B$27*IF(OR(mes0&lt;=7,COLUMN(F11)&gt;mes0-6),0,INDEX('Pol. Cobranças e Pagamentos'!$C$67:$H$67,1,COLUMN(F11)-mes0+12))*0</f>
        <v>0</v>
      </c>
      <c r="G75" s="1793">
        <f>'Finançamento Inicial'!$B$27*IF(OR(mes0&lt;=7,COLUMN(G11)&gt;mes0-6),0,INDEX('Pol. Cobranças e Pagamentos'!$C$67:$H$67,1,COLUMN(G11)-mes0+12))*0</f>
        <v>0</v>
      </c>
      <c r="H75" s="1793">
        <f>'Finançamento Inicial'!$B$27*IF(OR(mes0&lt;=7,COLUMN(H11)&gt;mes0-6),0,INDEX('Pol. Cobranças e Pagamentos'!$C$67:$H$67,1,COLUMN(H11)-mes0+12))*0</f>
        <v>0</v>
      </c>
      <c r="I75" s="1793">
        <f>'Finançamento Inicial'!$B$27*IF(OR(mes0&lt;=7,COLUMN(I11)&gt;mes0-6),0,INDEX('Pol. Cobranças e Pagamentos'!$C$67:$H$67,1,COLUMN(I11)-mes0+12))*0</f>
        <v>0</v>
      </c>
      <c r="J75" s="1793">
        <f>'Finançamento Inicial'!$B$27*IF(OR(mes0&lt;=7,COLUMN(J11)&gt;mes0-6),0,INDEX('Pol. Cobranças e Pagamentos'!$C$67:$H$67,1,COLUMN(J11)-mes0+12))*0</f>
        <v>0</v>
      </c>
      <c r="K75" s="1793">
        <f>'Finançamento Inicial'!$B$27*IF(OR(mes0&lt;=7,COLUMN(K11)&gt;mes0-6),0,INDEX('Pol. Cobranças e Pagamentos'!$C$67:$H$67,1,COLUMN(K11)-mes0+12))*0</f>
        <v>0</v>
      </c>
      <c r="L75" s="1793">
        <f>'Finançamento Inicial'!$B$27*IF(OR(mes0&lt;=7,COLUMN(L11)&gt;mes0-6),0,INDEX('Pol. Cobranças e Pagamentos'!$C$67:$H$67,1,COLUMN(L11)-mes0+12))*0</f>
        <v>0</v>
      </c>
      <c r="M75" s="1793">
        <f>'Finançamento Inicial'!$B$27*IF(OR(mes0&lt;=7,COLUMN(M11)&gt;mes0-6),0,INDEX('Pol. Cobranças e Pagamentos'!$C$67:$H$67,1,COLUMN(M11)-mes0+12))*0</f>
        <v>0</v>
      </c>
      <c r="N75" s="1359">
        <f>SUM(B75:M75)</f>
        <v>0</v>
      </c>
    </row>
    <row r="76" spans="1:15" ht="13.5" thickBot="1">
      <c r="A76" s="1355" t="s">
        <v>3</v>
      </c>
      <c r="B76" s="1797">
        <f t="shared" ref="B76:M76" si="8">SUM(B72:B75)</f>
        <v>0</v>
      </c>
      <c r="C76" s="1797">
        <f t="shared" si="8"/>
        <v>0</v>
      </c>
      <c r="D76" s="1797">
        <f t="shared" si="8"/>
        <v>0</v>
      </c>
      <c r="E76" s="1797">
        <f t="shared" si="8"/>
        <v>0</v>
      </c>
      <c r="F76" s="1797">
        <f t="shared" si="8"/>
        <v>0</v>
      </c>
      <c r="G76" s="1797">
        <f t="shared" si="8"/>
        <v>0</v>
      </c>
      <c r="H76" s="1797">
        <f t="shared" ca="1" si="8"/>
        <v>0</v>
      </c>
      <c r="I76" s="1797">
        <f t="shared" si="8"/>
        <v>0</v>
      </c>
      <c r="J76" s="1797">
        <f t="shared" si="8"/>
        <v>0</v>
      </c>
      <c r="K76" s="1797">
        <f t="shared" si="8"/>
        <v>0</v>
      </c>
      <c r="L76" s="1797">
        <f t="shared" si="8"/>
        <v>0</v>
      </c>
      <c r="M76" s="1797">
        <f t="shared" ca="1" si="8"/>
        <v>0</v>
      </c>
      <c r="N76" s="1356">
        <f ca="1">SUM(B76:M76)</f>
        <v>0</v>
      </c>
    </row>
    <row r="79" spans="1:15" ht="19.5">
      <c r="A79" s="1357" t="str">
        <f>A59</f>
        <v>Outros Pagamentos da empresa</v>
      </c>
      <c r="C79" s="2732" t="str">
        <f>C25</f>
        <v>Ano 2:  2028</v>
      </c>
      <c r="E79" s="561"/>
      <c r="F79" s="561"/>
      <c r="H79" s="561"/>
      <c r="I79" s="561"/>
      <c r="J79" s="561"/>
      <c r="K79" s="561"/>
      <c r="L79" s="561"/>
      <c r="M79" s="561"/>
      <c r="N79" s="561"/>
    </row>
    <row r="80" spans="1:15" ht="13.5" thickBot="1">
      <c r="A80" s="561"/>
      <c r="B80" s="1064"/>
      <c r="C80" s="561"/>
      <c r="D80" s="561"/>
      <c r="E80" s="561"/>
      <c r="F80" s="561"/>
      <c r="G80" s="561"/>
      <c r="H80" s="561"/>
      <c r="I80" s="561"/>
      <c r="J80" s="561"/>
      <c r="K80" s="561"/>
      <c r="L80" s="561"/>
      <c r="M80" s="561"/>
      <c r="N80" s="561"/>
    </row>
    <row r="81" spans="1:14" ht="29.25" customHeight="1" thickBot="1">
      <c r="A81" s="174" t="str">
        <f>CONCATENATE("Otros pagos  ",C79)</f>
        <v>Otros pagos  Ano 2:  2028</v>
      </c>
      <c r="B81" s="1352" t="str">
        <f t="array" ref="B81:N81">B27:N27</f>
        <v>janeiro 
2028</v>
      </c>
      <c r="C81" s="1352" t="str">
        <v>fevereiro 
2028</v>
      </c>
      <c r="D81" s="1352" t="str">
        <v>março 
2028</v>
      </c>
      <c r="E81" s="1352" t="str">
        <v>abril 
2028</v>
      </c>
      <c r="F81" s="1352" t="str">
        <v>maio 
2028</v>
      </c>
      <c r="G81" s="1352" t="str">
        <v>junho 
2028</v>
      </c>
      <c r="H81" s="1352" t="str">
        <v>julho 
2028</v>
      </c>
      <c r="I81" s="1352" t="str">
        <v>agosto 
2028</v>
      </c>
      <c r="J81" s="1352" t="str">
        <v>setembro 
2028</v>
      </c>
      <c r="K81" s="1352" t="str">
        <v>outubro 
2028</v>
      </c>
      <c r="L81" s="1352" t="str">
        <v>novembro 
2028</v>
      </c>
      <c r="M81" s="1352" t="str">
        <v>dezembro 
2028</v>
      </c>
      <c r="N81" s="1352" t="str">
        <v>Totais  
2028</v>
      </c>
    </row>
    <row r="82" spans="1:14">
      <c r="A82" s="1353" t="str">
        <f t="array" ref="A82:A85">$A$62:$A$65</f>
        <v>Pagamentos de investimentos</v>
      </c>
      <c r="B82" s="1358"/>
      <c r="C82" s="1358"/>
      <c r="D82" s="1358"/>
      <c r="E82" s="1358"/>
      <c r="F82" s="1358"/>
      <c r="G82" s="1358"/>
      <c r="H82" s="1358"/>
      <c r="I82" s="1358"/>
      <c r="J82" s="1358"/>
      <c r="K82" s="1358"/>
      <c r="L82" s="1358"/>
      <c r="M82" s="1358"/>
      <c r="N82" s="1358">
        <f>SUM(B82:M82)</f>
        <v>0</v>
      </c>
    </row>
    <row r="83" spans="1:14">
      <c r="A83" s="1354" t="str">
        <v>Pagamento de dividendos</v>
      </c>
      <c r="B83" s="1359"/>
      <c r="C83" s="1359"/>
      <c r="D83" s="1359"/>
      <c r="E83" s="1359"/>
      <c r="F83" s="1359"/>
      <c r="G83" s="1359"/>
      <c r="H83" s="1793">
        <f ca="1">'IRC Coletivas'!$D$32/2*0</f>
        <v>0</v>
      </c>
      <c r="I83" s="1359"/>
      <c r="J83" s="1359"/>
      <c r="K83" s="1359"/>
      <c r="L83" s="1359"/>
      <c r="M83" s="1796">
        <f ca="1">'IRC Coletivas'!$D$32/2*0</f>
        <v>0</v>
      </c>
      <c r="N83" s="1359">
        <f ca="1">SUM(B83:M83)</f>
        <v>0</v>
      </c>
    </row>
    <row r="84" spans="1:14">
      <c r="A84" s="1354" t="str">
        <v>Devoluções outros creedores LP</v>
      </c>
      <c r="B84" s="1983"/>
      <c r="C84" s="1983"/>
      <c r="D84" s="1983"/>
      <c r="E84" s="1983"/>
      <c r="F84" s="1983"/>
      <c r="G84" s="1983"/>
      <c r="H84" s="1983"/>
      <c r="I84" s="1983"/>
      <c r="J84" s="1983"/>
      <c r="K84" s="1983"/>
      <c r="L84" s="1983"/>
      <c r="M84" s="1983"/>
      <c r="N84" s="1794">
        <f>SUM(B84:M84)</f>
        <v>0</v>
      </c>
    </row>
    <row r="85" spans="1:14">
      <c r="A85" s="1354" t="str">
        <v>Pagamentos pend. Fornecedores</v>
      </c>
      <c r="B85" s="1359"/>
      <c r="C85" s="1359"/>
      <c r="D85" s="1359"/>
      <c r="E85" s="1359"/>
      <c r="F85" s="1359"/>
      <c r="G85" s="1359"/>
      <c r="H85" s="1359"/>
      <c r="I85" s="1359"/>
      <c r="J85" s="1359"/>
      <c r="K85" s="1359"/>
      <c r="L85" s="1359"/>
      <c r="M85" s="1359"/>
      <c r="N85" s="1359">
        <f>SUM(B85:M85)</f>
        <v>0</v>
      </c>
    </row>
    <row r="86" spans="1:14" ht="13.5" thickBot="1">
      <c r="A86" s="1355" t="s">
        <v>3</v>
      </c>
      <c r="B86" s="1797">
        <f t="shared" ref="B86:M86" si="9">SUM(B82:B85)</f>
        <v>0</v>
      </c>
      <c r="C86" s="1797">
        <f t="shared" si="9"/>
        <v>0</v>
      </c>
      <c r="D86" s="1797">
        <f t="shared" si="9"/>
        <v>0</v>
      </c>
      <c r="E86" s="1797">
        <f t="shared" si="9"/>
        <v>0</v>
      </c>
      <c r="F86" s="1797">
        <f t="shared" si="9"/>
        <v>0</v>
      </c>
      <c r="G86" s="1797">
        <f t="shared" si="9"/>
        <v>0</v>
      </c>
      <c r="H86" s="1797">
        <f t="shared" ca="1" si="9"/>
        <v>0</v>
      </c>
      <c r="I86" s="1797">
        <f t="shared" si="9"/>
        <v>0</v>
      </c>
      <c r="J86" s="1797">
        <f t="shared" si="9"/>
        <v>0</v>
      </c>
      <c r="K86" s="1797">
        <f t="shared" si="9"/>
        <v>0</v>
      </c>
      <c r="L86" s="1797">
        <f t="shared" si="9"/>
        <v>0</v>
      </c>
      <c r="M86" s="1797">
        <f t="shared" ca="1" si="9"/>
        <v>0</v>
      </c>
      <c r="N86" s="1356">
        <f ca="1">SUM(B86:M86)</f>
        <v>0</v>
      </c>
    </row>
    <row r="89" spans="1:14" ht="19.5">
      <c r="A89" s="1357" t="str">
        <f>A69</f>
        <v>Outros Pagamentos da empresa</v>
      </c>
      <c r="C89" s="2732" t="str">
        <f>C35</f>
        <v>Ano 3:  2029</v>
      </c>
      <c r="E89" s="561"/>
      <c r="F89" s="561"/>
      <c r="H89" s="561"/>
      <c r="I89" s="561"/>
      <c r="J89" s="561"/>
      <c r="K89" s="561"/>
      <c r="L89" s="561"/>
      <c r="M89" s="561"/>
      <c r="N89" s="561"/>
    </row>
    <row r="90" spans="1:14" ht="13.5" thickBot="1">
      <c r="A90" s="561"/>
      <c r="B90" s="1064"/>
      <c r="C90" s="561"/>
      <c r="D90" s="561"/>
      <c r="E90" s="561"/>
      <c r="F90" s="561"/>
      <c r="G90" s="561"/>
      <c r="H90" s="561"/>
      <c r="I90" s="561"/>
      <c r="J90" s="561"/>
      <c r="K90" s="561"/>
      <c r="L90" s="561"/>
      <c r="M90" s="561"/>
      <c r="N90" s="561"/>
    </row>
    <row r="91" spans="1:14" ht="29.25" customHeight="1" thickBot="1">
      <c r="A91" s="174" t="str">
        <f>CONCATENATE("Otros pagos  ",C89)</f>
        <v>Otros pagos  Ano 3:  2029</v>
      </c>
      <c r="B91" s="1352" t="str">
        <f t="array" ref="B91:N91">B37:N37</f>
        <v>janeiro 
2029</v>
      </c>
      <c r="C91" s="1352" t="str">
        <v>fevereiro 
2029</v>
      </c>
      <c r="D91" s="1352" t="str">
        <v>março 
2029</v>
      </c>
      <c r="E91" s="1352" t="str">
        <v>abril 
2029</v>
      </c>
      <c r="F91" s="1352" t="str">
        <v>maio 
2029</v>
      </c>
      <c r="G91" s="1352" t="str">
        <v>junho 
2029</v>
      </c>
      <c r="H91" s="1352" t="str">
        <v>julho 
2029</v>
      </c>
      <c r="I91" s="1352" t="str">
        <v>agosto 
2029</v>
      </c>
      <c r="J91" s="1352" t="str">
        <v>setembro 
2029</v>
      </c>
      <c r="K91" s="1352" t="str">
        <v>outubro 
2029</v>
      </c>
      <c r="L91" s="1352" t="str">
        <v>novembro 
2029</v>
      </c>
      <c r="M91" s="1352" t="str">
        <v>dezembro 
2029</v>
      </c>
      <c r="N91" s="1352" t="str">
        <v>Totais  
2029</v>
      </c>
    </row>
    <row r="92" spans="1:14">
      <c r="A92" s="1353" t="str">
        <f t="array" ref="A92:A95">$A$62:$A$65</f>
        <v>Pagamentos de investimentos</v>
      </c>
      <c r="B92" s="1358"/>
      <c r="C92" s="1358"/>
      <c r="D92" s="1358"/>
      <c r="E92" s="1358"/>
      <c r="F92" s="1358"/>
      <c r="G92" s="1358"/>
      <c r="H92" s="1358"/>
      <c r="I92" s="1358"/>
      <c r="J92" s="1358"/>
      <c r="K92" s="1358"/>
      <c r="L92" s="1358"/>
      <c r="M92" s="1358"/>
      <c r="N92" s="1358">
        <f>SUM(B92:M92)</f>
        <v>0</v>
      </c>
    </row>
    <row r="93" spans="1:14">
      <c r="A93" s="1354" t="str">
        <v>Pagamento de dividendos</v>
      </c>
      <c r="B93" s="1359"/>
      <c r="C93" s="1359"/>
      <c r="D93" s="1359"/>
      <c r="E93" s="1359"/>
      <c r="F93" s="1359"/>
      <c r="G93" s="1359"/>
      <c r="H93" s="1796">
        <f ca="1">'IRC Coletivas'!$G$32/2*0</f>
        <v>0</v>
      </c>
      <c r="I93" s="1359"/>
      <c r="J93" s="1359"/>
      <c r="K93" s="1359"/>
      <c r="L93" s="1359"/>
      <c r="M93" s="1796">
        <f ca="1">'IRC Coletivas'!$G$32/2*0</f>
        <v>0</v>
      </c>
      <c r="N93" s="1359">
        <f ca="1">SUM(B93:M93)</f>
        <v>0</v>
      </c>
    </row>
    <row r="94" spans="1:14">
      <c r="A94" s="1354" t="str">
        <v>Devoluções outros creedores LP</v>
      </c>
      <c r="B94" s="1983"/>
      <c r="C94" s="1983"/>
      <c r="D94" s="1983"/>
      <c r="E94" s="1983"/>
      <c r="F94" s="1983"/>
      <c r="G94" s="1983"/>
      <c r="H94" s="1983"/>
      <c r="I94" s="1983"/>
      <c r="J94" s="1983"/>
      <c r="K94" s="1983"/>
      <c r="L94" s="1983"/>
      <c r="M94" s="1983"/>
      <c r="N94" s="1794">
        <f>SUM(B94:M94)</f>
        <v>0</v>
      </c>
    </row>
    <row r="95" spans="1:14">
      <c r="A95" s="1354" t="str">
        <v>Pagamentos pend. Fornecedores</v>
      </c>
      <c r="B95" s="1359"/>
      <c r="C95" s="1359"/>
      <c r="D95" s="1359"/>
      <c r="E95" s="1359"/>
      <c r="F95" s="1359"/>
      <c r="G95" s="1359"/>
      <c r="H95" s="1359"/>
      <c r="I95" s="1359"/>
      <c r="J95" s="1359"/>
      <c r="K95" s="1359"/>
      <c r="L95" s="1359"/>
      <c r="M95" s="1359"/>
      <c r="N95" s="1359">
        <f>SUM(B95:M95)</f>
        <v>0</v>
      </c>
    </row>
    <row r="96" spans="1:14" ht="13.5" thickBot="1">
      <c r="A96" s="1355" t="s">
        <v>3</v>
      </c>
      <c r="B96" s="1797">
        <f t="shared" ref="B96:M96" si="10">SUM(B92:B95)</f>
        <v>0</v>
      </c>
      <c r="C96" s="1797">
        <f t="shared" si="10"/>
        <v>0</v>
      </c>
      <c r="D96" s="1797">
        <f t="shared" si="10"/>
        <v>0</v>
      </c>
      <c r="E96" s="1797">
        <f t="shared" si="10"/>
        <v>0</v>
      </c>
      <c r="F96" s="1797">
        <f t="shared" si="10"/>
        <v>0</v>
      </c>
      <c r="G96" s="1797">
        <f t="shared" si="10"/>
        <v>0</v>
      </c>
      <c r="H96" s="1797">
        <f t="shared" ca="1" si="10"/>
        <v>0</v>
      </c>
      <c r="I96" s="1797">
        <f t="shared" si="10"/>
        <v>0</v>
      </c>
      <c r="J96" s="1797">
        <f t="shared" si="10"/>
        <v>0</v>
      </c>
      <c r="K96" s="1797">
        <f t="shared" si="10"/>
        <v>0</v>
      </c>
      <c r="L96" s="1797">
        <f t="shared" si="10"/>
        <v>0</v>
      </c>
      <c r="M96" s="1797">
        <f t="shared" ca="1" si="10"/>
        <v>0</v>
      </c>
      <c r="N96" s="1356">
        <f ca="1">SUM(B96:M96)</f>
        <v>0</v>
      </c>
    </row>
    <row r="99" spans="1:14" ht="19.5">
      <c r="A99" s="1357" t="str">
        <f>A79</f>
        <v>Outros Pagamentos da empresa</v>
      </c>
      <c r="C99" s="2732" t="str">
        <f>C46</f>
        <v>Ano 4:  2030</v>
      </c>
      <c r="E99" s="561"/>
      <c r="F99" s="561"/>
      <c r="H99" s="561"/>
      <c r="I99" s="561"/>
      <c r="J99" s="561"/>
      <c r="K99" s="561"/>
      <c r="L99" s="561"/>
      <c r="M99" s="561"/>
      <c r="N99" s="561"/>
    </row>
    <row r="100" spans="1:14" ht="13.5" thickBot="1">
      <c r="A100" s="561"/>
      <c r="B100" s="1064"/>
      <c r="C100" s="561"/>
      <c r="D100" s="561"/>
      <c r="E100" s="561"/>
      <c r="F100" s="561"/>
      <c r="G100" s="561"/>
      <c r="H100" s="561"/>
      <c r="I100" s="561"/>
      <c r="J100" s="561"/>
      <c r="K100" s="561"/>
      <c r="L100" s="561"/>
      <c r="M100" s="561"/>
      <c r="N100" s="561"/>
    </row>
    <row r="101" spans="1:14" ht="29.25" customHeight="1" thickBot="1">
      <c r="A101" s="174" t="str">
        <f>CONCATENATE("Otros pagos  ",C99)</f>
        <v>Otros pagos  Ano 4:  2030</v>
      </c>
      <c r="B101" s="1352" t="str">
        <f t="array" ref="B101:N101">B48:N48</f>
        <v>janeiro 
2030</v>
      </c>
      <c r="C101" s="1352" t="str">
        <v>fevereiro 
2030</v>
      </c>
      <c r="D101" s="1352" t="str">
        <v>março 
2030</v>
      </c>
      <c r="E101" s="1352" t="str">
        <v>abril 
2030</v>
      </c>
      <c r="F101" s="1352" t="str">
        <v>maio 
2030</v>
      </c>
      <c r="G101" s="1352" t="str">
        <v>junho 
2030</v>
      </c>
      <c r="H101" s="1352" t="str">
        <v>julho 
2030</v>
      </c>
      <c r="I101" s="1352" t="str">
        <v>agosto 
2030</v>
      </c>
      <c r="J101" s="1352" t="str">
        <v>setembro 
2030</v>
      </c>
      <c r="K101" s="1352" t="str">
        <v>outubro 
2030</v>
      </c>
      <c r="L101" s="1352" t="str">
        <v>novembro 
2030</v>
      </c>
      <c r="M101" s="1352" t="str">
        <v>dezembro 
2030</v>
      </c>
      <c r="N101" s="1352" t="str">
        <v>Totais  
2030</v>
      </c>
    </row>
    <row r="102" spans="1:14">
      <c r="A102" s="1353" t="str">
        <f t="array" ref="A102:A105">$A$62:$A$65</f>
        <v>Pagamentos de investimentos</v>
      </c>
      <c r="B102" s="1358"/>
      <c r="C102" s="1358"/>
      <c r="D102" s="1358"/>
      <c r="E102" s="1358"/>
      <c r="F102" s="1358"/>
      <c r="G102" s="1358"/>
      <c r="H102" s="1358"/>
      <c r="I102" s="1358"/>
      <c r="J102" s="1358"/>
      <c r="K102" s="1358"/>
      <c r="L102" s="1358"/>
      <c r="M102" s="1358"/>
      <c r="N102" s="1358">
        <f>SUM(B102:M102)</f>
        <v>0</v>
      </c>
    </row>
    <row r="103" spans="1:14">
      <c r="A103" s="1354" t="str">
        <v>Pagamento de dividendos</v>
      </c>
      <c r="B103" s="1359"/>
      <c r="C103" s="1359"/>
      <c r="D103" s="1359"/>
      <c r="E103" s="1359"/>
      <c r="F103" s="1359"/>
      <c r="G103" s="1359"/>
      <c r="H103" s="1796">
        <f ca="1">'IRC Coletivas'!$J$32/2*0</f>
        <v>0</v>
      </c>
      <c r="I103" s="1359"/>
      <c r="J103" s="1359"/>
      <c r="K103" s="1359"/>
      <c r="L103" s="1359"/>
      <c r="M103" s="1796">
        <f ca="1">'IRC Coletivas'!$J$32/2*0</f>
        <v>0</v>
      </c>
      <c r="N103" s="1359">
        <f ca="1">SUM(B103:M103)</f>
        <v>0</v>
      </c>
    </row>
    <row r="104" spans="1:14">
      <c r="A104" s="1354" t="str">
        <v>Devoluções outros creedores LP</v>
      </c>
      <c r="B104" s="1983"/>
      <c r="C104" s="1983"/>
      <c r="D104" s="1983"/>
      <c r="E104" s="1983"/>
      <c r="F104" s="1983"/>
      <c r="G104" s="1983"/>
      <c r="H104" s="1983"/>
      <c r="I104" s="1983"/>
      <c r="J104" s="1983"/>
      <c r="K104" s="1983"/>
      <c r="L104" s="1983"/>
      <c r="M104" s="1983"/>
      <c r="N104" s="1794">
        <f>SUM(B104:M104)</f>
        <v>0</v>
      </c>
    </row>
    <row r="105" spans="1:14">
      <c r="A105" s="1354" t="str">
        <v>Pagamentos pend. Fornecedores</v>
      </c>
      <c r="B105" s="1359"/>
      <c r="C105" s="1359"/>
      <c r="D105" s="1359"/>
      <c r="E105" s="1359"/>
      <c r="F105" s="1359"/>
      <c r="G105" s="1359"/>
      <c r="H105" s="1359"/>
      <c r="I105" s="1359"/>
      <c r="J105" s="1359"/>
      <c r="K105" s="1359"/>
      <c r="L105" s="1359"/>
      <c r="M105" s="1359"/>
      <c r="N105" s="1359">
        <f>SUM(B105:M105)</f>
        <v>0</v>
      </c>
    </row>
    <row r="106" spans="1:14" ht="13.5" thickBot="1">
      <c r="A106" s="1355" t="s">
        <v>3</v>
      </c>
      <c r="B106" s="1797">
        <f t="shared" ref="B106:M106" si="11">SUM(B102:B105)</f>
        <v>0</v>
      </c>
      <c r="C106" s="1797">
        <f t="shared" si="11"/>
        <v>0</v>
      </c>
      <c r="D106" s="1797">
        <f t="shared" si="11"/>
        <v>0</v>
      </c>
      <c r="E106" s="1797">
        <f t="shared" si="11"/>
        <v>0</v>
      </c>
      <c r="F106" s="1797">
        <f t="shared" si="11"/>
        <v>0</v>
      </c>
      <c r="G106" s="1797">
        <f t="shared" si="11"/>
        <v>0</v>
      </c>
      <c r="H106" s="1797">
        <f t="shared" ca="1" si="11"/>
        <v>0</v>
      </c>
      <c r="I106" s="1797">
        <f t="shared" si="11"/>
        <v>0</v>
      </c>
      <c r="J106" s="1797">
        <f t="shared" si="11"/>
        <v>0</v>
      </c>
      <c r="K106" s="1797">
        <f t="shared" si="11"/>
        <v>0</v>
      </c>
      <c r="L106" s="1797">
        <f t="shared" si="11"/>
        <v>0</v>
      </c>
      <c r="M106" s="1797">
        <f t="shared" ca="1" si="11"/>
        <v>0</v>
      </c>
      <c r="N106" s="1356">
        <f ca="1">SUM(B106:M106)</f>
        <v>0</v>
      </c>
    </row>
  </sheetData>
  <sheetProtection sheet="1" objects="1" scenarios="1"/>
  <phoneticPr fontId="4" type="noConversion"/>
  <printOptions horizontalCentered="1" verticalCentered="1"/>
  <pageMargins left="0.39370078740157483" right="0.39370078740157483" top="0.59055118110236227" bottom="0.59055118110236227" header="0.31496062992125984" footer="0.31496062992125984"/>
  <pageSetup paperSize="9" scale="60" fitToHeight="2" orientation="landscape" horizontalDpi="300" verticalDpi="300" r:id="rId1"/>
  <headerFooter alignWithMargins="0">
    <oddFooter>&amp;C&amp;"Tahoma,Normal"&amp;10&amp;A</oddFooter>
  </headerFooter>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61">
    <tabColor indexed="61"/>
    <pageSetUpPr fitToPage="1"/>
  </sheetPr>
  <dimension ref="A1:BI78"/>
  <sheetViews>
    <sheetView workbookViewId="0"/>
  </sheetViews>
  <sheetFormatPr baseColWidth="10" defaultColWidth="11" defaultRowHeight="12.75"/>
  <cols>
    <col min="1" max="1" width="27" style="88" customWidth="1"/>
    <col min="2" max="2" width="12.375" style="88" customWidth="1"/>
    <col min="3" max="3" width="12.125" style="88" customWidth="1"/>
    <col min="4" max="4" width="11.125" style="88" customWidth="1"/>
    <col min="5" max="5" width="12.5" style="88" customWidth="1"/>
    <col min="6" max="6" width="11" style="88"/>
    <col min="7" max="7" width="11.75" style="88" customWidth="1"/>
    <col min="8" max="16384" width="11" style="88"/>
  </cols>
  <sheetData>
    <row r="1" spans="1:7" ht="22.5">
      <c r="A1" s="333" t="s">
        <v>895</v>
      </c>
      <c r="B1" s="283"/>
      <c r="C1" s="284"/>
      <c r="E1" s="285"/>
      <c r="F1" s="168"/>
      <c r="G1" s="286"/>
    </row>
    <row r="2" spans="1:7" ht="25.5">
      <c r="A2" s="334" t="str">
        <f>'Dados Básicos'!B9</f>
        <v>WWW, S.L.</v>
      </c>
      <c r="B2" s="288"/>
      <c r="D2" s="282"/>
      <c r="F2" s="285"/>
      <c r="G2" s="168"/>
    </row>
    <row r="3" spans="1:7" ht="15.75" thickBot="1">
      <c r="A3" s="36"/>
      <c r="B3" s="36"/>
    </row>
    <row r="4" spans="1:7" s="289" customFormat="1" ht="31.5" customHeight="1" thickBot="1">
      <c r="A4" s="2498" t="s">
        <v>896</v>
      </c>
      <c r="B4" s="2130"/>
      <c r="C4" s="2131" t="str">
        <f t="array" ref="C4:G4">anni</f>
        <v>Ano 0:  2026</v>
      </c>
      <c r="D4" s="2132" t="str">
        <v>Ano 1:  2027</v>
      </c>
      <c r="E4" s="2131" t="str">
        <v>Ano 2:  2028</v>
      </c>
      <c r="F4" s="2132" t="str">
        <v>Ano 3:  2029</v>
      </c>
      <c r="G4" s="2131" t="str">
        <v>Ano 4:  2030</v>
      </c>
    </row>
    <row r="5" spans="1:7" s="300" customFormat="1" ht="21" customHeight="1">
      <c r="A5" s="1246" t="s">
        <v>900</v>
      </c>
      <c r="B5" s="1244"/>
      <c r="C5" s="1248">
        <f t="array" ref="C5:C9" ca="1">'Tesorería 0'!$O6:$O10</f>
        <v>8712</v>
      </c>
      <c r="D5" s="1249">
        <f t="array" ref="D5:D9" ca="1">'Tesorería 1'!$O6:$O10</f>
        <v>14955.599999999997</v>
      </c>
      <c r="E5" s="1248">
        <f t="array" ref="E5:E9" ca="1">'Tesorería 2'!$O6:$O10</f>
        <v>16174.481399999995</v>
      </c>
      <c r="F5" s="1249">
        <f t="array" ref="F5:F9" ca="1">'Tesorería 3'!$O6:$O10</f>
        <v>17500.634832119995</v>
      </c>
      <c r="G5" s="1248">
        <f t="array" ref="G5:G9" ca="1">'Tesorería 4'!$O6:$O10</f>
        <v>18924.485212749601</v>
      </c>
    </row>
    <row r="6" spans="1:7" s="300" customFormat="1" ht="21" customHeight="1">
      <c r="A6" s="2082" t="s">
        <v>899</v>
      </c>
      <c r="B6" s="1210"/>
      <c r="C6" s="1252">
        <v>0</v>
      </c>
      <c r="D6" s="1253">
        <f ca="1"/>
        <v>0</v>
      </c>
      <c r="E6" s="1252">
        <f ca="1"/>
        <v>0</v>
      </c>
      <c r="F6" s="1253">
        <f ca="1"/>
        <v>0</v>
      </c>
      <c r="G6" s="1252">
        <f ca="1"/>
        <v>0</v>
      </c>
    </row>
    <row r="7" spans="1:7" s="300" customFormat="1" ht="21" customHeight="1">
      <c r="A7" s="1247" t="s">
        <v>897</v>
      </c>
      <c r="B7" s="1245"/>
      <c r="C7" s="1252">
        <v>0</v>
      </c>
      <c r="D7" s="1253">
        <f ca="1"/>
        <v>0</v>
      </c>
      <c r="E7" s="1252">
        <f ca="1"/>
        <v>0</v>
      </c>
      <c r="F7" s="1253">
        <f ca="1"/>
        <v>0</v>
      </c>
      <c r="G7" s="1252">
        <f ca="1"/>
        <v>0</v>
      </c>
    </row>
    <row r="8" spans="1:7" s="300" customFormat="1" ht="21" customHeight="1">
      <c r="A8" s="1247" t="str">
        <f>"Devoluções de "&amp;'Dados Básicos'!$A$28</f>
        <v>Devoluções de IVA</v>
      </c>
      <c r="B8" s="1245"/>
      <c r="C8" s="1250">
        <v>0</v>
      </c>
      <c r="D8" s="1251">
        <f ca="1"/>
        <v>0</v>
      </c>
      <c r="E8" s="1250">
        <f ca="1"/>
        <v>0</v>
      </c>
      <c r="F8" s="1251">
        <f ca="1"/>
        <v>0</v>
      </c>
      <c r="G8" s="1250">
        <f ca="1"/>
        <v>0</v>
      </c>
    </row>
    <row r="9" spans="1:7" s="300" customFormat="1" ht="21" customHeight="1">
      <c r="A9" s="1247" t="s">
        <v>898</v>
      </c>
      <c r="B9" s="1245"/>
      <c r="C9" s="1250">
        <f ca="1"/>
        <v>0</v>
      </c>
      <c r="D9" s="1251">
        <f ca="1"/>
        <v>0</v>
      </c>
      <c r="E9" s="1250">
        <f ca="1"/>
        <v>0</v>
      </c>
      <c r="F9" s="1251">
        <f ca="1"/>
        <v>0</v>
      </c>
      <c r="G9" s="1250">
        <f ca="1"/>
        <v>0</v>
      </c>
    </row>
    <row r="10" spans="1:7" s="301" customFormat="1" ht="18.75" customHeight="1" thickBot="1">
      <c r="A10" s="1212" t="s">
        <v>902</v>
      </c>
      <c r="B10" s="1254"/>
      <c r="C10" s="1255">
        <f ca="1">SUM(C5:C9)</f>
        <v>8712</v>
      </c>
      <c r="D10" s="1256">
        <f ca="1">SUM(D5:D9)</f>
        <v>14955.599999999997</v>
      </c>
      <c r="E10" s="1255">
        <f ca="1">SUM(E5:E9)</f>
        <v>16174.481399999995</v>
      </c>
      <c r="F10" s="1256">
        <f ca="1">SUM(F5:F9)</f>
        <v>17500.634832119995</v>
      </c>
      <c r="G10" s="1255">
        <f ca="1">SUM(G5:G9)</f>
        <v>18924.485212749601</v>
      </c>
    </row>
    <row r="11" spans="1:7" s="287" customFormat="1" ht="14.25" customHeight="1" thickBot="1">
      <c r="A11" s="339"/>
      <c r="B11" s="293"/>
      <c r="C11" s="293"/>
      <c r="D11" s="293"/>
      <c r="E11" s="293"/>
      <c r="F11" s="293"/>
      <c r="G11" s="308"/>
    </row>
    <row r="12" spans="1:7" s="287" customFormat="1" ht="31.5" customHeight="1" thickBot="1">
      <c r="A12" s="2498" t="s">
        <v>901</v>
      </c>
      <c r="B12" s="2130"/>
      <c r="C12" s="2131" t="str">
        <f t="array" ref="C12:G12">anni</f>
        <v>Ano 0:  2026</v>
      </c>
      <c r="D12" s="2132" t="str">
        <v>Ano 1:  2027</v>
      </c>
      <c r="E12" s="2131" t="str">
        <v>Ano 2:  2028</v>
      </c>
      <c r="F12" s="2132" t="str">
        <v>Ano 3:  2029</v>
      </c>
      <c r="G12" s="2131" t="str">
        <v>Ano 4:  2030</v>
      </c>
    </row>
    <row r="13" spans="1:7" s="301" customFormat="1" ht="21" customHeight="1">
      <c r="A13" s="1246" t="str">
        <f>"Pagamentos de Gastos Fixos ( "&amp;'Dados Básicos'!$A$28&amp;" incl.)"</f>
        <v>Pagamentos de Gastos Fixos ( IVA incl.)</v>
      </c>
      <c r="B13" s="1244"/>
      <c r="C13" s="1248">
        <f t="array" ref="C13:C16" ca="1">'Tesorería 0'!$O14:$O17</f>
        <v>16281.282545454547</v>
      </c>
      <c r="D13" s="1249">
        <f t="array" ref="D13:D16" ca="1">'Tesorería 1'!$O14:$O17</f>
        <v>18472.772738181811</v>
      </c>
      <c r="E13" s="1248">
        <f t="array" ref="E13:E16" ca="1">'Tesorería 2'!$O14:$O17</f>
        <v>19374.643290300002</v>
      </c>
      <c r="F13" s="1249">
        <f t="array" ref="F13:F16" ca="1">'Tesorería 3'!$O14:$O17</f>
        <v>20307.233537094296</v>
      </c>
      <c r="G13" s="1248">
        <f t="array" ref="G13:G16" ca="1">'Tesorería 4'!$O14:$O17</f>
        <v>21288.357938053621</v>
      </c>
    </row>
    <row r="14" spans="1:7" s="300" customFormat="1" ht="21" customHeight="1">
      <c r="A14" s="1247" t="str">
        <f>"Pagamento de compras e Custos Variables  ( "&amp;'Dados Básicos'!$A$28&amp;" incl.)"</f>
        <v>Pagamento de compras e Custos Variables  ( IVA incl.)</v>
      </c>
      <c r="B14" s="1245"/>
      <c r="C14" s="1250">
        <f ca="1"/>
        <v>1219.6800000000003</v>
      </c>
      <c r="D14" s="1251">
        <f ca="1"/>
        <v>2093.7840000000001</v>
      </c>
      <c r="E14" s="1250">
        <f ca="1"/>
        <v>2264.4273960000005</v>
      </c>
      <c r="F14" s="1251">
        <f ca="1"/>
        <v>2450.0888764967995</v>
      </c>
      <c r="G14" s="1250">
        <f ca="1"/>
        <v>2649.4279297849439</v>
      </c>
    </row>
    <row r="15" spans="1:7" s="300" customFormat="1" ht="21" customHeight="1">
      <c r="A15" s="1247" t="s">
        <v>903</v>
      </c>
      <c r="B15" s="1245"/>
      <c r="C15" s="1250">
        <f ca="1"/>
        <v>87.11999999999999</v>
      </c>
      <c r="D15" s="1251">
        <f ca="1"/>
        <v>149.55599999999995</v>
      </c>
      <c r="E15" s="1250">
        <f ca="1"/>
        <v>161.74481399999999</v>
      </c>
      <c r="F15" s="1251">
        <f ca="1"/>
        <v>175.00634832119999</v>
      </c>
      <c r="G15" s="1250">
        <f ca="1"/>
        <v>189.24485212749605</v>
      </c>
    </row>
    <row r="16" spans="1:7" s="300" customFormat="1" ht="21" customHeight="1">
      <c r="A16" s="1247" t="str">
        <f>"Pagamentos de "&amp;'Dados Básicos'!$A$28&amp;" de cuotas de Leasing / Renting"</f>
        <v>Pagamentos de IVA de cuotas de Leasing / Renting</v>
      </c>
      <c r="B16" s="1245"/>
      <c r="C16" s="1250">
        <v>0</v>
      </c>
      <c r="D16" s="1251">
        <v>0</v>
      </c>
      <c r="E16" s="1250">
        <v>0</v>
      </c>
      <c r="F16" s="1251">
        <v>0</v>
      </c>
      <c r="G16" s="1250">
        <v>0</v>
      </c>
    </row>
    <row r="17" spans="1:7" s="300" customFormat="1" ht="21" customHeight="1">
      <c r="A17" s="1247" t="s">
        <v>930</v>
      </c>
      <c r="B17" s="1245"/>
      <c r="C17" s="1250">
        <f t="array" ref="C17:C21">'Tesorería 0'!$O20:$O24</f>
        <v>0</v>
      </c>
      <c r="D17" s="1251">
        <f t="array" ref="D17:D21">'Tesorería 1'!$O20:$O24</f>
        <v>0</v>
      </c>
      <c r="E17" s="1250">
        <f t="array" ref="E17:E21">'Tesorería 2'!$O20:$O24</f>
        <v>0</v>
      </c>
      <c r="F17" s="1251">
        <f t="array" ref="F17:F21">'Tesorería 3'!$O20:$O24</f>
        <v>0</v>
      </c>
      <c r="G17" s="1250">
        <f t="array" ref="G17:G21">'Tesorería 4'!$O20:$O24</f>
        <v>0</v>
      </c>
    </row>
    <row r="18" spans="1:7" s="300" customFormat="1" ht="21" customHeight="1">
      <c r="A18" s="1247" t="s">
        <v>904</v>
      </c>
      <c r="B18" s="1245"/>
      <c r="C18" s="1250">
        <f ca="1"/>
        <v>0</v>
      </c>
      <c r="D18" s="1251">
        <v>0</v>
      </c>
      <c r="E18" s="1250">
        <v>0</v>
      </c>
      <c r="F18" s="1251">
        <v>0</v>
      </c>
      <c r="G18" s="1250">
        <v>0</v>
      </c>
    </row>
    <row r="19" spans="1:7" s="300" customFormat="1" ht="21" customHeight="1">
      <c r="A19" s="1247" t="str">
        <f>"Liquidações de "&amp;'Dados Básicos'!$A$28</f>
        <v>Liquidações de IVA</v>
      </c>
      <c r="B19" s="1245"/>
      <c r="C19" s="1250">
        <f ca="1"/>
        <v>614.67763636363634</v>
      </c>
      <c r="D19" s="1251">
        <f ca="1"/>
        <v>2077.3409236363632</v>
      </c>
      <c r="E19" s="1250">
        <f ca="1"/>
        <v>2252.0113433999995</v>
      </c>
      <c r="F19" s="1251">
        <f ca="1"/>
        <v>2436.6658846698001</v>
      </c>
      <c r="G19" s="1250">
        <f ca="1"/>
        <v>2635.5543757570445</v>
      </c>
    </row>
    <row r="20" spans="1:7" s="300" customFormat="1" ht="21" customHeight="1">
      <c r="A20" s="1247" t="str">
        <f>"Otros Pagamentos ( "&amp;'Dados Básicos'!$I$44&amp;" / "&amp;'Dados Básicos'!$I$43&amp;" )"</f>
        <v>Otros Pagamentos ( I.R.C. / I.R.S. )</v>
      </c>
      <c r="B20" s="1245"/>
      <c r="C20" s="1250">
        <f ca="1"/>
        <v>0</v>
      </c>
      <c r="D20" s="1251">
        <f ca="1"/>
        <v>0</v>
      </c>
      <c r="E20" s="1250">
        <f ca="1"/>
        <v>0</v>
      </c>
      <c r="F20" s="1251">
        <f ca="1"/>
        <v>0</v>
      </c>
      <c r="G20" s="1250">
        <f ca="1"/>
        <v>0</v>
      </c>
    </row>
    <row r="21" spans="1:7" s="300" customFormat="1" ht="21" customHeight="1">
      <c r="A21" s="1247" t="s">
        <v>905</v>
      </c>
      <c r="B21" s="1245"/>
      <c r="C21" s="1250">
        <v>0</v>
      </c>
      <c r="D21" s="1251">
        <v>0</v>
      </c>
      <c r="E21" s="1250">
        <v>0</v>
      </c>
      <c r="F21" s="1251">
        <v>0</v>
      </c>
      <c r="G21" s="1250">
        <v>0</v>
      </c>
    </row>
    <row r="22" spans="1:7" s="301" customFormat="1" ht="21" customHeight="1" thickBot="1">
      <c r="A22" s="1212" t="s">
        <v>906</v>
      </c>
      <c r="B22" s="1254"/>
      <c r="C22" s="1257">
        <f ca="1">SUM(C13:C21)</f>
        <v>18202.760181818179</v>
      </c>
      <c r="D22" s="1258">
        <f ca="1">SUM(D13:D21)</f>
        <v>22793.453661818174</v>
      </c>
      <c r="E22" s="1257">
        <f ca="1">SUM(E13:E21)</f>
        <v>24052.826843700001</v>
      </c>
      <c r="F22" s="1258">
        <f ca="1">SUM(F13:F21)</f>
        <v>25368.994646582098</v>
      </c>
      <c r="G22" s="1257">
        <f ca="1">SUM(G13:G21)</f>
        <v>26762.585095723105</v>
      </c>
    </row>
    <row r="23" spans="1:7" s="287" customFormat="1" ht="15" customHeight="1" thickBot="1">
      <c r="A23" s="339"/>
    </row>
    <row r="24" spans="1:7" ht="15" customHeight="1" thickBot="1">
      <c r="A24" s="5"/>
      <c r="B24" s="5"/>
      <c r="C24" s="2716" t="str">
        <f t="array" ref="C24:G24">Parametros!D62:H62</f>
        <v>Ano 0</v>
      </c>
      <c r="D24" s="2717">
        <v>1</v>
      </c>
      <c r="E24" s="2718">
        <v>2</v>
      </c>
      <c r="F24" s="2717">
        <v>3</v>
      </c>
      <c r="G24" s="2719">
        <v>4</v>
      </c>
    </row>
    <row r="25" spans="1:7" s="301" customFormat="1" ht="21" customHeight="1" thickBot="1">
      <c r="A25" s="350" t="s">
        <v>907</v>
      </c>
      <c r="B25" s="351"/>
      <c r="C25" s="341">
        <f t="array" ref="C25:G25" ca="1">C10:G10-C22:G22</f>
        <v>-9490.7601818181793</v>
      </c>
      <c r="D25" s="354">
        <f ca="1"/>
        <v>-7837.853661818177</v>
      </c>
      <c r="E25" s="341">
        <f ca="1"/>
        <v>-7878.3454437000055</v>
      </c>
      <c r="F25" s="354">
        <f ca="1"/>
        <v>-7868.3598144621028</v>
      </c>
      <c r="G25" s="341">
        <f ca="1"/>
        <v>-7838.0998829735036</v>
      </c>
    </row>
    <row r="26" spans="1:7" s="287" customFormat="1" ht="8.25" customHeight="1" thickBot="1">
      <c r="A26" s="332"/>
      <c r="B26" s="352"/>
      <c r="C26" s="315"/>
      <c r="E26" s="315"/>
      <c r="G26" s="315"/>
    </row>
    <row r="27" spans="1:7" s="301" customFormat="1" ht="21" customHeight="1" thickBot="1">
      <c r="A27" s="340" t="s">
        <v>908</v>
      </c>
      <c r="B27" s="353">
        <f ca="1">'Tesorería 0'!$B35</f>
        <v>2201.65</v>
      </c>
      <c r="C27" s="341">
        <f ca="1">'Tesorería 0'!$N$35</f>
        <v>-7289.1101818181842</v>
      </c>
      <c r="D27" s="355">
        <f ca="1">'Tesorería 1'!$N$35</f>
        <v>-15126.963843636366</v>
      </c>
      <c r="E27" s="341">
        <f ca="1">'Tesorería 2'!$N$35</f>
        <v>-23005.309287336371</v>
      </c>
      <c r="F27" s="355">
        <f ca="1">'Tesorería 3'!$N$35</f>
        <v>-30873.669101798463</v>
      </c>
      <c r="G27" s="341">
        <f ca="1">'Tesorería 4'!$N$35</f>
        <v>-38711.768984771967</v>
      </c>
    </row>
    <row r="28" spans="1:7">
      <c r="A28" s="339"/>
      <c r="B28" s="293"/>
      <c r="C28" s="313"/>
      <c r="D28" s="293"/>
      <c r="E28" s="313"/>
      <c r="F28" s="293"/>
      <c r="G28" s="313"/>
    </row>
    <row r="29" spans="1:7" s="300" customFormat="1" ht="21.75" customHeight="1">
      <c r="A29" s="336"/>
      <c r="B29" s="316" t="s">
        <v>909</v>
      </c>
      <c r="C29" s="342">
        <f ca="1">'Tesorería 0'!$C41</f>
        <v>1155.4059999999997</v>
      </c>
      <c r="D29" s="348">
        <f ca="1">'Tesorería 1'!$C41</f>
        <v>-8236.6189781818211</v>
      </c>
      <c r="E29" s="344">
        <f ca="1">'Tesorería 2'!$C41</f>
        <v>-16111.397835536365</v>
      </c>
      <c r="F29" s="348">
        <f ca="1">'Tesorería 3'!$C41</f>
        <v>-24015.510386524271</v>
      </c>
      <c r="G29" s="346">
        <f ca="1">'Tesorería 4'!$C41</f>
        <v>-31910.693146890204</v>
      </c>
    </row>
    <row r="30" spans="1:7" s="300" customFormat="1" ht="21" customHeight="1" thickBot="1">
      <c r="A30" s="337"/>
      <c r="B30" s="338" t="s">
        <v>910</v>
      </c>
      <c r="C30" s="343" t="str">
        <f ca="1">'Tesorería 0'!$D41</f>
        <v>janeiro</v>
      </c>
      <c r="D30" s="349" t="str">
        <f ca="1">'Tesorería 1'!$D41</f>
        <v>janeiro</v>
      </c>
      <c r="E30" s="345" t="str">
        <f ca="1">'Tesorería 2'!$D41</f>
        <v>janeiro</v>
      </c>
      <c r="F30" s="349" t="str">
        <f ca="1">'Tesorería 3'!$D41</f>
        <v>janeiro</v>
      </c>
      <c r="G30" s="347" t="str">
        <f ca="1">'Tesorería 4'!$D41</f>
        <v>janeiro</v>
      </c>
    </row>
    <row r="31" spans="1:7" ht="19.5" customHeight="1" thickBot="1">
      <c r="A31" s="5"/>
      <c r="B31" s="5"/>
    </row>
    <row r="32" spans="1:7" ht="15" customHeight="1" thickBot="1">
      <c r="A32" s="1869" t="s">
        <v>911</v>
      </c>
      <c r="B32" s="783"/>
      <c r="C32" s="535" t="str">
        <f t="array" ref="C32:G32">Parametros!D62:H62</f>
        <v>Ano 0</v>
      </c>
      <c r="D32" s="536">
        <v>1</v>
      </c>
      <c r="E32" s="537">
        <v>2</v>
      </c>
      <c r="F32" s="536">
        <v>3</v>
      </c>
      <c r="G32" s="538">
        <v>4</v>
      </c>
    </row>
    <row r="33" spans="1:7" s="300" customFormat="1" ht="21" customHeight="1" thickBot="1">
      <c r="A33" s="335"/>
      <c r="B33" s="1867" t="s">
        <v>912</v>
      </c>
      <c r="C33" s="1259">
        <f ca="1">MAX('Tesorería 0'!$C$33:$N$33)</f>
        <v>0</v>
      </c>
      <c r="D33" s="1260">
        <f ca="1">MAX('Tesorería 1'!$C$33:$N$33)</f>
        <v>0</v>
      </c>
      <c r="E33" s="1261">
        <f ca="1">MAX('Tesorería 2'!$C$33:$N$33)</f>
        <v>0</v>
      </c>
      <c r="F33" s="1260">
        <f ca="1">MAX('Tesorería 3'!$C$33:$N$33)</f>
        <v>0</v>
      </c>
      <c r="G33" s="1262">
        <f ca="1">MAX('Tesorería 4'!$C$33:$N$33)</f>
        <v>0</v>
      </c>
    </row>
    <row r="34" spans="1:7" s="300" customFormat="1" ht="21" customHeight="1" thickBot="1">
      <c r="A34" s="335"/>
      <c r="B34" s="1867" t="s">
        <v>913</v>
      </c>
      <c r="C34" s="341">
        <f ca="1">-'Tesorería 0'!$C39</f>
        <v>-7289.1101818181842</v>
      </c>
      <c r="D34" s="341">
        <f ca="1">-'Tesorería 1'!$C39</f>
        <v>-15126.963843636366</v>
      </c>
      <c r="E34" s="341">
        <f ca="1">-'Tesorería 2'!$C39</f>
        <v>-23005.309287336371</v>
      </c>
      <c r="F34" s="341">
        <f ca="1">-'Tesorería 3'!$C39</f>
        <v>-30873.669101798463</v>
      </c>
      <c r="G34" s="341">
        <f ca="1">-'Tesorería 4'!$C39</f>
        <v>-38711.768984771967</v>
      </c>
    </row>
    <row r="35" spans="1:7" s="300" customFormat="1" ht="21" customHeight="1" thickBot="1">
      <c r="A35" s="337"/>
      <c r="B35" s="338" t="s">
        <v>914</v>
      </c>
      <c r="C35" s="343" t="str">
        <f ca="1">'Tesorería 0'!$D39</f>
        <v>dezembro</v>
      </c>
      <c r="D35" s="349" t="str">
        <f ca="1">'Tesorería 1'!$D39</f>
        <v>dezembro</v>
      </c>
      <c r="E35" s="345" t="str">
        <f ca="1">'Tesorería 2'!$D39</f>
        <v>dezembro</v>
      </c>
      <c r="F35" s="349" t="str">
        <f ca="1">'Tesorería 3'!$D39</f>
        <v>dezembro</v>
      </c>
      <c r="G35" s="347" t="str">
        <f ca="1">'Tesorería 4'!$D39</f>
        <v>dezembro</v>
      </c>
    </row>
    <row r="37" spans="1:7">
      <c r="A37" s="5"/>
      <c r="B37" s="5"/>
    </row>
    <row r="38" spans="1:7" ht="15">
      <c r="A38" s="36"/>
      <c r="B38" s="36"/>
    </row>
    <row r="39" spans="1:7" ht="15">
      <c r="A39" s="36"/>
      <c r="B39" s="36"/>
    </row>
    <row r="40" spans="1:7" ht="15">
      <c r="A40" s="36"/>
      <c r="B40" s="36"/>
    </row>
    <row r="41" spans="1:7" ht="15">
      <c r="A41" s="36"/>
      <c r="B41" s="36"/>
    </row>
    <row r="42" spans="1:7" ht="15">
      <c r="A42" s="36"/>
      <c r="B42" s="36"/>
    </row>
    <row r="43" spans="1:7" ht="15">
      <c r="A43" s="36"/>
      <c r="B43" s="36"/>
    </row>
    <row r="44" spans="1:7" ht="15">
      <c r="A44" s="36"/>
      <c r="B44" s="36"/>
    </row>
    <row r="45" spans="1:7" ht="15">
      <c r="A45" s="36"/>
      <c r="B45" s="36"/>
    </row>
    <row r="46" spans="1:7" ht="15">
      <c r="A46" s="36"/>
      <c r="B46" s="36"/>
    </row>
    <row r="47" spans="1:7" ht="15">
      <c r="A47" s="36"/>
      <c r="B47" s="36"/>
    </row>
    <row r="48" spans="1:7" ht="15">
      <c r="A48" s="36"/>
      <c r="B48" s="36"/>
    </row>
    <row r="49" spans="1:17" ht="15">
      <c r="A49" s="36"/>
      <c r="B49" s="36"/>
    </row>
    <row r="50" spans="1:17" ht="15">
      <c r="A50" s="36"/>
      <c r="B50" s="36"/>
    </row>
    <row r="51" spans="1:17" ht="15">
      <c r="A51" s="36"/>
      <c r="B51" s="36"/>
    </row>
    <row r="52" spans="1:17" ht="15">
      <c r="A52" s="36"/>
      <c r="B52" s="36"/>
    </row>
    <row r="53" spans="1:17" ht="15">
      <c r="A53" s="36"/>
      <c r="B53" s="36"/>
    </row>
    <row r="54" spans="1:17" ht="15">
      <c r="A54" s="36"/>
      <c r="B54" s="36"/>
    </row>
    <row r="62" spans="1:17">
      <c r="A62" s="1370"/>
      <c r="B62" s="2526" t="str">
        <f t="array" ref="B62:M62">meses</f>
        <v>janeiro</v>
      </c>
      <c r="C62" s="2526" t="str">
        <v>fevereiro</v>
      </c>
      <c r="D62" s="2526" t="str">
        <v>março</v>
      </c>
      <c r="E62" s="2526" t="str">
        <v>abril</v>
      </c>
      <c r="F62" s="2526" t="str">
        <v>maio</v>
      </c>
      <c r="G62" s="2526" t="str">
        <v>junho</v>
      </c>
      <c r="H62" s="2526" t="str">
        <v>julho</v>
      </c>
      <c r="I62" s="2526" t="str">
        <v>agosto</v>
      </c>
      <c r="J62" s="2526" t="str">
        <v>setembro</v>
      </c>
      <c r="K62" s="2526" t="str">
        <v>outubro</v>
      </c>
      <c r="L62" s="2526" t="str">
        <v>novembro</v>
      </c>
      <c r="M62" s="2526" t="str">
        <v>dezembro</v>
      </c>
      <c r="N62" s="1068"/>
      <c r="O62" s="1068"/>
      <c r="P62" s="1068"/>
      <c r="Q62" s="1068"/>
    </row>
    <row r="63" spans="1:17">
      <c r="A63" s="1371" t="str">
        <f t="array" ref="A63:A67">annivert</f>
        <v>Ano 0:  2026</v>
      </c>
      <c r="B63" s="1370">
        <f t="array" ref="B63:M63" ca="1">'Tesorería 0'!C35:N35</f>
        <v>1155.4059999999997</v>
      </c>
      <c r="C63" s="1370">
        <f ca="1"/>
        <v>183.96199999999953</v>
      </c>
      <c r="D63" s="1370">
        <f ca="1"/>
        <v>-712.6820000000007</v>
      </c>
      <c r="E63" s="1370">
        <f ca="1"/>
        <v>-1708.8441818181825</v>
      </c>
      <c r="F63" s="1370">
        <f ca="1"/>
        <v>-2630.2063636363646</v>
      </c>
      <c r="G63" s="1370">
        <f ca="1"/>
        <v>-3476.7685454545463</v>
      </c>
      <c r="H63" s="1370">
        <f ca="1"/>
        <v>-4417.9276363636372</v>
      </c>
      <c r="I63" s="1370">
        <f ca="1"/>
        <v>-5037.1625454545465</v>
      </c>
      <c r="J63" s="1370">
        <f ca="1"/>
        <v>-5581.5974545454555</v>
      </c>
      <c r="K63" s="1370">
        <f ca="1"/>
        <v>-6470.6040000000012</v>
      </c>
      <c r="L63" s="1370">
        <f ca="1"/>
        <v>-6917.2570909090928</v>
      </c>
      <c r="M63" s="1370">
        <f ca="1"/>
        <v>-7289.1101818181842</v>
      </c>
    </row>
    <row r="64" spans="1:17">
      <c r="A64" s="1371" t="str">
        <v>Ano 1:  2027</v>
      </c>
      <c r="B64" s="1370">
        <f t="array" ref="B64:M64" ca="1">'Tesorería 1'!C35:N35</f>
        <v>-8236.6189781818211</v>
      </c>
      <c r="C64" s="1370">
        <f ca="1"/>
        <v>-8698.3634109090945</v>
      </c>
      <c r="D64" s="1370">
        <f ca="1"/>
        <v>-9160.1078436363678</v>
      </c>
      <c r="E64" s="1370">
        <f ca="1"/>
        <v>-10176.775523636368</v>
      </c>
      <c r="F64" s="1370">
        <f ca="1"/>
        <v>-10662.917683636368</v>
      </c>
      <c r="G64" s="1370">
        <f ca="1"/>
        <v>-11149.059843636367</v>
      </c>
      <c r="H64" s="1370">
        <f ca="1"/>
        <v>-12165.727523636368</v>
      </c>
      <c r="I64" s="1370">
        <f ca="1"/>
        <v>-12651.869683636367</v>
      </c>
      <c r="J64" s="1370">
        <f ca="1"/>
        <v>-13138.011843636366</v>
      </c>
      <c r="K64" s="1370">
        <f ca="1"/>
        <v>-14154.679523636367</v>
      </c>
      <c r="L64" s="1370">
        <f ca="1"/>
        <v>-14640.821683636366</v>
      </c>
      <c r="M64" s="1370">
        <f ca="1"/>
        <v>-15126.963843636366</v>
      </c>
    </row>
    <row r="65" spans="1:61">
      <c r="A65" s="1371" t="str">
        <v>Ano 2:  2028</v>
      </c>
      <c r="B65" s="1370">
        <f t="array" ref="B65:M65" ca="1">'Tesorería 2'!C35:N35</f>
        <v>-16111.397835536365</v>
      </c>
      <c r="C65" s="1370">
        <f ca="1"/>
        <v>-16565.306307436367</v>
      </c>
      <c r="D65" s="1370">
        <f ca="1"/>
        <v>-17019.214779336369</v>
      </c>
      <c r="E65" s="1370">
        <f ca="1"/>
        <v>-18066.888796536368</v>
      </c>
      <c r="F65" s="1370">
        <f ca="1"/>
        <v>-18540.734205936369</v>
      </c>
      <c r="G65" s="1370">
        <f ca="1"/>
        <v>-19014.57961533637</v>
      </c>
      <c r="H65" s="1370">
        <f ca="1"/>
        <v>-20062.253632536369</v>
      </c>
      <c r="I65" s="1370">
        <f ca="1"/>
        <v>-20536.09904193637</v>
      </c>
      <c r="J65" s="1370">
        <f ca="1"/>
        <v>-21009.944451336371</v>
      </c>
      <c r="K65" s="1370">
        <f ca="1"/>
        <v>-22057.61846853637</v>
      </c>
      <c r="L65" s="1370">
        <f ca="1"/>
        <v>-22531.46387793637</v>
      </c>
      <c r="M65" s="1370">
        <f ca="1"/>
        <v>-23005.309287336371</v>
      </c>
    </row>
    <row r="66" spans="1:61">
      <c r="A66" s="1371" t="str">
        <v>Ano 3:  2029</v>
      </c>
      <c r="B66" s="1370">
        <f t="array" ref="B66:M66" ca="1">'Tesorería 3'!C35:N35</f>
        <v>-24015.510386524271</v>
      </c>
      <c r="C66" s="1370">
        <f ca="1"/>
        <v>-24451.882877912172</v>
      </c>
      <c r="D66" s="1370">
        <f ca="1"/>
        <v>-24888.255369300074</v>
      </c>
      <c r="E66" s="1370">
        <f ca="1"/>
        <v>-25967.265178882073</v>
      </c>
      <c r="F66" s="1370">
        <f ca="1"/>
        <v>-26425.329229507472</v>
      </c>
      <c r="G66" s="1370">
        <f ca="1"/>
        <v>-26883.39328013287</v>
      </c>
      <c r="H66" s="1370">
        <f ca="1"/>
        <v>-27962.40308971487</v>
      </c>
      <c r="I66" s="1370">
        <f ca="1"/>
        <v>-28420.467140340268</v>
      </c>
      <c r="J66" s="1370">
        <f ca="1"/>
        <v>-28878.531190965667</v>
      </c>
      <c r="K66" s="1370">
        <f ca="1"/>
        <v>-29957.541000547666</v>
      </c>
      <c r="L66" s="1370">
        <f ca="1"/>
        <v>-30415.605051173065</v>
      </c>
      <c r="M66" s="1370">
        <f ca="1"/>
        <v>-30873.669101798463</v>
      </c>
    </row>
    <row r="67" spans="1:61">
      <c r="A67" s="1371" t="str">
        <v>Ano 4:  2030</v>
      </c>
      <c r="B67" s="1370">
        <f t="array" aca="1" ref="B67:M67" ca="1">'Tesorería 4'!C35:N35</f>
        <v>-31910.693146890204</v>
      </c>
      <c r="C67" s="1370">
        <f ca="1"/>
        <v>-32326.771433025348</v>
      </c>
      <c r="D67" s="1370">
        <f ca="1"/>
        <v>-32742.849719160491</v>
      </c>
      <c r="E67" s="1370">
        <f ca="1"/>
        <v>-33853.753774628531</v>
      </c>
      <c r="F67" s="1370">
        <f ca="1"/>
        <v>-34293.121624496423</v>
      </c>
      <c r="G67" s="1370">
        <f ca="1"/>
        <v>-34732.489474364316</v>
      </c>
      <c r="H67" s="1370">
        <f ca="1"/>
        <v>-35843.393529832356</v>
      </c>
      <c r="I67" s="1370">
        <f ca="1"/>
        <v>-36282.761379700249</v>
      </c>
      <c r="J67" s="1370">
        <f ca="1"/>
        <v>-36722.129229568141</v>
      </c>
      <c r="K67" s="1370">
        <f ca="1"/>
        <v>-37833.033285036181</v>
      </c>
      <c r="L67" s="1370">
        <f ca="1"/>
        <v>-38272.401134904074</v>
      </c>
      <c r="M67" s="1370">
        <f ca="1"/>
        <v>-38711.768984771967</v>
      </c>
    </row>
    <row r="69" spans="1:61">
      <c r="A69" s="2526" t="s">
        <v>181</v>
      </c>
    </row>
    <row r="70" spans="1:61">
      <c r="A70" s="1371" t="str">
        <f t="array" ref="A70:A74">annivert</f>
        <v>Ano 0:  2026</v>
      </c>
      <c r="B70" s="1370">
        <f>Finançamento!D49</f>
        <v>0</v>
      </c>
    </row>
    <row r="71" spans="1:61">
      <c r="A71" s="1371" t="str">
        <v>Ano 1:  2027</v>
      </c>
      <c r="B71" s="1370">
        <f>Finançamento!E49</f>
        <v>0</v>
      </c>
    </row>
    <row r="72" spans="1:61">
      <c r="A72" s="1371" t="str">
        <v>Ano 2:  2028</v>
      </c>
      <c r="B72" s="1370">
        <f>Finançamento!F49</f>
        <v>0</v>
      </c>
    </row>
    <row r="73" spans="1:61">
      <c r="A73" s="1371" t="str">
        <v>Ano 3:  2029</v>
      </c>
      <c r="B73" s="1370">
        <f>Finançamento!G49</f>
        <v>0</v>
      </c>
    </row>
    <row r="74" spans="1:61">
      <c r="A74" s="1371" t="str">
        <v>Ano 4:  2030</v>
      </c>
      <c r="B74" s="1370">
        <f>Finançamento!H49</f>
        <v>0</v>
      </c>
    </row>
    <row r="78" spans="1:61">
      <c r="A78" s="1371" t="s">
        <v>275</v>
      </c>
      <c r="B78" s="1370">
        <f ca="1">B63</f>
        <v>1155.4059999999997</v>
      </c>
      <c r="C78" s="1370">
        <f t="shared" ref="C78:M78" ca="1" si="0">C63</f>
        <v>183.96199999999953</v>
      </c>
      <c r="D78" s="1370">
        <f t="shared" ca="1" si="0"/>
        <v>-712.6820000000007</v>
      </c>
      <c r="E78" s="1370">
        <f t="shared" ca="1" si="0"/>
        <v>-1708.8441818181825</v>
      </c>
      <c r="F78" s="1370">
        <f t="shared" ca="1" si="0"/>
        <v>-2630.2063636363646</v>
      </c>
      <c r="G78" s="1370">
        <f t="shared" ca="1" si="0"/>
        <v>-3476.7685454545463</v>
      </c>
      <c r="H78" s="1370">
        <f t="shared" ca="1" si="0"/>
        <v>-4417.9276363636372</v>
      </c>
      <c r="I78" s="1370">
        <f t="shared" ca="1" si="0"/>
        <v>-5037.1625454545465</v>
      </c>
      <c r="J78" s="1370">
        <f t="shared" ca="1" si="0"/>
        <v>-5581.5974545454555</v>
      </c>
      <c r="K78" s="1370">
        <f t="shared" ca="1" si="0"/>
        <v>-6470.6040000000012</v>
      </c>
      <c r="L78" s="1370">
        <f t="shared" ca="1" si="0"/>
        <v>-6917.2570909090928</v>
      </c>
      <c r="M78" s="1370">
        <f t="shared" ca="1" si="0"/>
        <v>-7289.1101818181842</v>
      </c>
      <c r="N78" s="1370">
        <f t="shared" ref="N78:Y78" ca="1" si="1">B64</f>
        <v>-8236.6189781818211</v>
      </c>
      <c r="O78" s="1370">
        <f t="shared" ca="1" si="1"/>
        <v>-8698.3634109090945</v>
      </c>
      <c r="P78" s="1370">
        <f t="shared" ca="1" si="1"/>
        <v>-9160.1078436363678</v>
      </c>
      <c r="Q78" s="1370">
        <f t="shared" ca="1" si="1"/>
        <v>-10176.775523636368</v>
      </c>
      <c r="R78" s="1370">
        <f t="shared" ca="1" si="1"/>
        <v>-10662.917683636368</v>
      </c>
      <c r="S78" s="1370">
        <f t="shared" ca="1" si="1"/>
        <v>-11149.059843636367</v>
      </c>
      <c r="T78" s="1370">
        <f t="shared" ca="1" si="1"/>
        <v>-12165.727523636368</v>
      </c>
      <c r="U78" s="1370">
        <f t="shared" ca="1" si="1"/>
        <v>-12651.869683636367</v>
      </c>
      <c r="V78" s="1370">
        <f t="shared" ca="1" si="1"/>
        <v>-13138.011843636366</v>
      </c>
      <c r="W78" s="1370">
        <f t="shared" ca="1" si="1"/>
        <v>-14154.679523636367</v>
      </c>
      <c r="X78" s="1370">
        <f t="shared" ca="1" si="1"/>
        <v>-14640.821683636366</v>
      </c>
      <c r="Y78" s="1370">
        <f t="shared" ca="1" si="1"/>
        <v>-15126.963843636366</v>
      </c>
      <c r="Z78" s="1370">
        <f t="shared" ref="Z78:AK78" ca="1" si="2">B65</f>
        <v>-16111.397835536365</v>
      </c>
      <c r="AA78" s="1370">
        <f t="shared" ca="1" si="2"/>
        <v>-16565.306307436367</v>
      </c>
      <c r="AB78" s="1370">
        <f t="shared" ca="1" si="2"/>
        <v>-17019.214779336369</v>
      </c>
      <c r="AC78" s="1370">
        <f t="shared" ca="1" si="2"/>
        <v>-18066.888796536368</v>
      </c>
      <c r="AD78" s="1370">
        <f t="shared" ca="1" si="2"/>
        <v>-18540.734205936369</v>
      </c>
      <c r="AE78" s="1370">
        <f t="shared" ca="1" si="2"/>
        <v>-19014.57961533637</v>
      </c>
      <c r="AF78" s="1370">
        <f t="shared" ca="1" si="2"/>
        <v>-20062.253632536369</v>
      </c>
      <c r="AG78" s="1370">
        <f t="shared" ca="1" si="2"/>
        <v>-20536.09904193637</v>
      </c>
      <c r="AH78" s="1370">
        <f t="shared" ca="1" si="2"/>
        <v>-21009.944451336371</v>
      </c>
      <c r="AI78" s="1370">
        <f t="shared" ca="1" si="2"/>
        <v>-22057.61846853637</v>
      </c>
      <c r="AJ78" s="1370">
        <f t="shared" ca="1" si="2"/>
        <v>-22531.46387793637</v>
      </c>
      <c r="AK78" s="1370">
        <f t="shared" ca="1" si="2"/>
        <v>-23005.309287336371</v>
      </c>
      <c r="AL78" s="1370">
        <f t="shared" ref="AL78:AW78" ca="1" si="3">B66</f>
        <v>-24015.510386524271</v>
      </c>
      <c r="AM78" s="1370">
        <f t="shared" ca="1" si="3"/>
        <v>-24451.882877912172</v>
      </c>
      <c r="AN78" s="1370">
        <f t="shared" ca="1" si="3"/>
        <v>-24888.255369300074</v>
      </c>
      <c r="AO78" s="1370">
        <f t="shared" ca="1" si="3"/>
        <v>-25967.265178882073</v>
      </c>
      <c r="AP78" s="1370">
        <f t="shared" ca="1" si="3"/>
        <v>-26425.329229507472</v>
      </c>
      <c r="AQ78" s="1370">
        <f t="shared" ca="1" si="3"/>
        <v>-26883.39328013287</v>
      </c>
      <c r="AR78" s="1370">
        <f t="shared" ca="1" si="3"/>
        <v>-27962.40308971487</v>
      </c>
      <c r="AS78" s="1370">
        <f t="shared" ca="1" si="3"/>
        <v>-28420.467140340268</v>
      </c>
      <c r="AT78" s="1370">
        <f t="shared" ca="1" si="3"/>
        <v>-28878.531190965667</v>
      </c>
      <c r="AU78" s="1370">
        <f t="shared" ca="1" si="3"/>
        <v>-29957.541000547666</v>
      </c>
      <c r="AV78" s="1370">
        <f t="shared" ca="1" si="3"/>
        <v>-30415.605051173065</v>
      </c>
      <c r="AW78" s="1370">
        <f t="shared" ca="1" si="3"/>
        <v>-30873.669101798463</v>
      </c>
      <c r="AX78" s="1370">
        <f t="shared" ref="AX78:BI78" ca="1" si="4">B67</f>
        <v>-31910.693146890204</v>
      </c>
      <c r="AY78" s="1370">
        <f t="shared" ca="1" si="4"/>
        <v>-32326.771433025348</v>
      </c>
      <c r="AZ78" s="1370">
        <f t="shared" ca="1" si="4"/>
        <v>-32742.849719160491</v>
      </c>
      <c r="BA78" s="1370">
        <f t="shared" ca="1" si="4"/>
        <v>-33853.753774628531</v>
      </c>
      <c r="BB78" s="1370">
        <f t="shared" ca="1" si="4"/>
        <v>-34293.121624496423</v>
      </c>
      <c r="BC78" s="1370">
        <f t="shared" ca="1" si="4"/>
        <v>-34732.489474364316</v>
      </c>
      <c r="BD78" s="1370">
        <f t="shared" ca="1" si="4"/>
        <v>-35843.393529832356</v>
      </c>
      <c r="BE78" s="1370">
        <f t="shared" ca="1" si="4"/>
        <v>-36282.761379700249</v>
      </c>
      <c r="BF78" s="1370">
        <f t="shared" ca="1" si="4"/>
        <v>-36722.129229568141</v>
      </c>
      <c r="BG78" s="1370">
        <f t="shared" ca="1" si="4"/>
        <v>-37833.033285036181</v>
      </c>
      <c r="BH78" s="1370">
        <f t="shared" ca="1" si="4"/>
        <v>-38272.401134904074</v>
      </c>
      <c r="BI78" s="1370">
        <f t="shared" ca="1" si="4"/>
        <v>-38711.768984771967</v>
      </c>
    </row>
  </sheetData>
  <sheetProtection sheet="1" objects="1" scenarios="1"/>
  <phoneticPr fontId="4" type="noConversion"/>
  <printOptions horizontalCentered="1"/>
  <pageMargins left="0.86614173228346458" right="0.74803149606299213" top="0.56999999999999995" bottom="0.62" header="0.11811023622047245" footer="0.11811023622047245"/>
  <pageSetup paperSize="9" scale="74" orientation="portrait" horizontalDpi="300" verticalDpi="300" r:id="rId1"/>
  <headerFooter alignWithMargins="0">
    <oddFooter>&amp;C&amp;"Tahoma,Normal"&amp;10&amp;A</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33"/>
  <dimension ref="A1:R100"/>
  <sheetViews>
    <sheetView workbookViewId="0"/>
  </sheetViews>
  <sheetFormatPr baseColWidth="10" defaultColWidth="11" defaultRowHeight="15"/>
  <cols>
    <col min="1" max="1" width="11" style="36"/>
    <col min="2" max="2" width="23.875" style="36" customWidth="1"/>
    <col min="3" max="3" width="13.875" style="36" customWidth="1"/>
    <col min="4" max="8" width="12.75" style="36" customWidth="1"/>
    <col min="9" max="9" width="13.5" style="36" customWidth="1"/>
    <col min="10" max="10" width="11" style="36"/>
    <col min="11" max="11" width="11.25" style="36" customWidth="1"/>
    <col min="12" max="16384" width="11" style="36"/>
  </cols>
  <sheetData>
    <row r="1" spans="1:18" s="62" customFormat="1" ht="24.75" customHeight="1">
      <c r="B1" s="68" t="s">
        <v>936</v>
      </c>
      <c r="R1" s="239"/>
    </row>
    <row r="2" spans="1:18" s="62" customFormat="1" ht="22.5">
      <c r="A2" s="61"/>
      <c r="B2" s="68" t="str">
        <f>'Dados Básicos'!B9</f>
        <v>WWW, S.L.</v>
      </c>
      <c r="P2" s="239"/>
    </row>
    <row r="3" spans="1:18" s="62" customFormat="1" ht="18.75" customHeight="1">
      <c r="B3" s="60"/>
      <c r="R3" s="239"/>
    </row>
    <row r="4" spans="1:18" s="62" customFormat="1" ht="18.75" customHeight="1" thickBot="1">
      <c r="B4" s="60"/>
      <c r="R4" s="239"/>
    </row>
    <row r="5" spans="1:18" ht="23.25" thickBot="1">
      <c r="B5" s="382" t="s">
        <v>937</v>
      </c>
      <c r="C5" s="63"/>
      <c r="D5" s="63"/>
      <c r="E5" s="63"/>
      <c r="F5" s="63"/>
      <c r="G5" s="63"/>
      <c r="H5" s="63"/>
      <c r="I5" s="63"/>
      <c r="J5" s="63"/>
      <c r="K5" s="64"/>
    </row>
    <row r="6" spans="1:18" ht="41.25" customHeight="1" thickBot="1">
      <c r="B6" s="383"/>
      <c r="C6" s="356"/>
      <c r="D6" s="2129" t="str">
        <f t="array" ref="D6:H6">CONCATENATE("Datos ",anni)</f>
        <v>Datos Ano 0:  2026</v>
      </c>
      <c r="E6" s="2129" t="str">
        <v>Datos Ano 1:  2027</v>
      </c>
      <c r="F6" s="2129" t="str">
        <v>Datos Ano 2:  2028</v>
      </c>
      <c r="G6" s="2129" t="str">
        <v>Datos Ano 3:  2029</v>
      </c>
      <c r="H6" s="2129" t="str">
        <v>Datos Ano 4:  2030</v>
      </c>
      <c r="I6" s="356"/>
      <c r="J6" s="356"/>
      <c r="K6" s="384"/>
    </row>
    <row r="7" spans="1:18">
      <c r="B7" s="258"/>
      <c r="C7" s="391" t="s">
        <v>944</v>
      </c>
      <c r="D7" s="357">
        <f ca="1">'G.F. 0'!N27</f>
        <v>15897.954545454546</v>
      </c>
      <c r="E7" s="358">
        <f ca="1">'G.F. 1'!N27</f>
        <v>17838.306818181816</v>
      </c>
      <c r="F7" s="357">
        <f ca="1">'G.F. 2'!$N$27</f>
        <v>18689.972437500001</v>
      </c>
      <c r="G7" s="357">
        <f ca="1">'G.F. 3'!$N$27</f>
        <v>19568.008883137503</v>
      </c>
      <c r="H7" s="357">
        <f ca="1">'G.F. 4'!$N$27</f>
        <v>20490.61129844475</v>
      </c>
      <c r="I7" s="359" t="str">
        <f>CONCATENATE(Parametros!$H$11," / ano")</f>
        <v>€ / ano</v>
      </c>
      <c r="J7" s="360"/>
      <c r="K7" s="385"/>
    </row>
    <row r="8" spans="1:18">
      <c r="B8" s="386"/>
      <c r="C8" s="392" t="s">
        <v>945</v>
      </c>
      <c r="D8" s="362">
        <f ca="1">'G.F. 0'!N55</f>
        <v>316.79999999999995</v>
      </c>
      <c r="E8" s="363">
        <f ca="1">'G.F. 1'!N55</f>
        <v>524.35199999999986</v>
      </c>
      <c r="F8" s="362">
        <f ca="1">'G.F. 2'!$N$55</f>
        <v>565.84367999999995</v>
      </c>
      <c r="G8" s="362">
        <f ca="1">'G.F. 3'!$N$55</f>
        <v>610.92946608000022</v>
      </c>
      <c r="H8" s="362">
        <f ca="1">'G.F. 4'!$N$55</f>
        <v>659.29474347840005</v>
      </c>
      <c r="I8" s="364" t="s">
        <v>67</v>
      </c>
      <c r="J8" s="361"/>
      <c r="K8" s="387"/>
    </row>
    <row r="9" spans="1:18">
      <c r="B9" s="388"/>
      <c r="C9" s="393" t="s">
        <v>946</v>
      </c>
      <c r="D9" s="366">
        <f t="array" ref="D9:H9">Amortiçações!D41:H41</f>
        <v>0</v>
      </c>
      <c r="E9" s="367">
        <v>0</v>
      </c>
      <c r="F9" s="366">
        <v>0</v>
      </c>
      <c r="G9" s="366">
        <v>0</v>
      </c>
      <c r="H9" s="366">
        <v>0</v>
      </c>
      <c r="I9" s="368" t="s">
        <v>67</v>
      </c>
      <c r="J9" s="365"/>
      <c r="K9" s="214"/>
    </row>
    <row r="10" spans="1:18">
      <c r="B10" s="106"/>
      <c r="C10" s="394" t="s">
        <v>856</v>
      </c>
      <c r="D10" s="369">
        <f ca="1">SUM(D7:D9)</f>
        <v>16214.754545454545</v>
      </c>
      <c r="E10" s="370">
        <f ca="1">SUM(E7:E9)</f>
        <v>18362.658818181815</v>
      </c>
      <c r="F10" s="369">
        <f ca="1">SUM(F7:F9)</f>
        <v>19255.816117499999</v>
      </c>
      <c r="G10" s="369">
        <f ca="1">SUM(G7:G9)</f>
        <v>20178.938349217504</v>
      </c>
      <c r="H10" s="369">
        <f ca="1">SUM(H7:H9)</f>
        <v>21149.90604192315</v>
      </c>
      <c r="I10" s="371" t="s">
        <v>67</v>
      </c>
      <c r="K10" s="389"/>
    </row>
    <row r="11" spans="1:18" ht="15.75" thickBot="1">
      <c r="B11" s="386"/>
      <c r="C11" s="361"/>
      <c r="D11" s="380"/>
      <c r="E11" s="361"/>
      <c r="F11" s="380"/>
      <c r="G11" s="380"/>
      <c r="H11" s="380"/>
      <c r="I11" s="361"/>
      <c r="J11" s="361"/>
      <c r="K11" s="387"/>
    </row>
    <row r="12" spans="1:18" ht="15.75" thickBot="1">
      <c r="B12" s="65"/>
      <c r="C12" s="395" t="s">
        <v>931</v>
      </c>
      <c r="D12" s="1565">
        <f ca="1">'PPeGG anuais'!B27</f>
        <v>-87.11999999999999</v>
      </c>
      <c r="E12" s="1565">
        <f ca="1">'PPeGG anuais'!D27</f>
        <v>-149.55599999999995</v>
      </c>
      <c r="F12" s="1565">
        <f ca="1">'PPeGG anuais'!G27</f>
        <v>-161.74481399999999</v>
      </c>
      <c r="G12" s="1565">
        <f ca="1">'PPeGG anuais'!J27</f>
        <v>-175.00634832119999</v>
      </c>
      <c r="H12" s="1565">
        <f ca="1">'PPeGG anuais'!M27</f>
        <v>-189.24485212749605</v>
      </c>
      <c r="I12" s="381" t="str">
        <f>CONCATENATE(Parametros!$H$11," / ano")</f>
        <v>€ / ano</v>
      </c>
      <c r="J12" s="375"/>
      <c r="K12" s="390"/>
    </row>
    <row r="13" spans="1:18" ht="15.75" thickBot="1">
      <c r="B13" s="106"/>
      <c r="D13" s="372"/>
      <c r="F13" s="372"/>
      <c r="G13" s="372"/>
      <c r="H13" s="372"/>
      <c r="K13" s="389"/>
    </row>
    <row r="14" spans="1:18" s="49" customFormat="1">
      <c r="B14" s="851"/>
      <c r="C14" s="2503" t="s">
        <v>932</v>
      </c>
      <c r="D14" s="855">
        <f ca="1">C48</f>
        <v>7199.9999999999991</v>
      </c>
      <c r="E14" s="856">
        <f ca="1">C61</f>
        <v>12360</v>
      </c>
      <c r="F14" s="855">
        <f ca="1">C74</f>
        <v>13367.339999999998</v>
      </c>
      <c r="G14" s="855">
        <f ca="1">C87</f>
        <v>14463.334572</v>
      </c>
      <c r="H14" s="855">
        <f ca="1">C100</f>
        <v>15640.070423759998</v>
      </c>
      <c r="I14" s="871" t="str">
        <f>CONCATENATE(Parametros!$H$11," / ano de venda previstos")</f>
        <v>€ / ano de venda previstos</v>
      </c>
      <c r="J14" s="853"/>
      <c r="K14" s="854"/>
    </row>
    <row r="15" spans="1:18" s="49" customFormat="1" ht="15.75" thickBot="1">
      <c r="B15" s="857"/>
      <c r="C15" s="2504" t="s">
        <v>933</v>
      </c>
      <c r="D15" s="858">
        <f ca="1">D14/(12-mes0+1)</f>
        <v>599.99999999999989</v>
      </c>
      <c r="E15" s="859">
        <f t="array" aca="1" ref="E15:H15" ca="1">E14:H14/12</f>
        <v>1030</v>
      </c>
      <c r="F15" s="858">
        <f ca="1"/>
        <v>1113.9449999999999</v>
      </c>
      <c r="G15" s="858">
        <f ca="1"/>
        <v>1205.277881</v>
      </c>
      <c r="H15" s="858">
        <f ca="1"/>
        <v>1303.3392019799999</v>
      </c>
      <c r="I15" s="850" t="str">
        <f>CONCATENATE(Parametros!$H$11," / mes de meia")</f>
        <v>€ / mes de meia</v>
      </c>
      <c r="J15" s="860"/>
      <c r="K15" s="861"/>
    </row>
    <row r="16" spans="1:18" ht="15.75" thickBot="1">
      <c r="B16" s="106"/>
      <c r="D16" s="372"/>
      <c r="F16" s="372"/>
      <c r="G16" s="372"/>
      <c r="H16" s="372"/>
      <c r="K16" s="389"/>
    </row>
    <row r="17" spans="2:18" s="49" customFormat="1" ht="16.5" customHeight="1">
      <c r="B17" s="851"/>
      <c r="C17" s="2469" t="s">
        <v>947</v>
      </c>
      <c r="D17" s="2599">
        <f t="array" ref="D17:H17" ca="1">IFERROR((D14:H14-D23:H23)*D20:H20,"N/D")</f>
        <v>-10022.754545454545</v>
      </c>
      <c r="E17" s="2600">
        <f ca="1"/>
        <v>-7733.0588181818148</v>
      </c>
      <c r="F17" s="2599">
        <f ca="1"/>
        <v>-7759.9037174999976</v>
      </c>
      <c r="G17" s="2599">
        <f ca="1"/>
        <v>-7740.4706172975057</v>
      </c>
      <c r="H17" s="2599">
        <f ca="1"/>
        <v>-7699.4454774895548</v>
      </c>
      <c r="I17" s="872" t="str">
        <f>CONCATENATE(Parametros!$H$11," / ano")</f>
        <v>€ / ano</v>
      </c>
      <c r="J17" s="853"/>
      <c r="K17" s="854"/>
    </row>
    <row r="18" spans="2:18" s="49" customFormat="1" ht="16.5" customHeight="1" thickBot="1">
      <c r="B18" s="846"/>
      <c r="C18" s="2501" t="s">
        <v>934</v>
      </c>
      <c r="D18" s="2601">
        <f t="array" ref="D18:H18" ca="1">IFERROR(D17:H17-D12:H12,"N/D")</f>
        <v>-9935.6345454545444</v>
      </c>
      <c r="E18" s="2602">
        <f ca="1"/>
        <v>-7583.5028181818152</v>
      </c>
      <c r="F18" s="2601">
        <f ca="1"/>
        <v>-7598.1589034999979</v>
      </c>
      <c r="G18" s="2601">
        <f ca="1"/>
        <v>-7565.4642689763059</v>
      </c>
      <c r="H18" s="2601">
        <f ca="1"/>
        <v>-7510.2006253620584</v>
      </c>
      <c r="I18" s="873" t="str">
        <f>CONCATENATE(Parametros!$H$11," / ano")</f>
        <v>€ / ano</v>
      </c>
      <c r="J18" s="847"/>
      <c r="K18" s="848"/>
    </row>
    <row r="19" spans="2:18" ht="15.75" thickBot="1">
      <c r="B19" s="106"/>
      <c r="D19" s="372"/>
      <c r="F19" s="372"/>
      <c r="G19" s="372"/>
      <c r="H19" s="372"/>
      <c r="K19" s="389"/>
    </row>
    <row r="20" spans="2:18" ht="15.75" thickBot="1">
      <c r="B20" s="65"/>
      <c r="C20" s="2502" t="s">
        <v>935</v>
      </c>
      <c r="D20" s="373">
        <f ca="1">H48</f>
        <v>0.86</v>
      </c>
      <c r="E20" s="374">
        <f ca="1">H61</f>
        <v>0.86</v>
      </c>
      <c r="F20" s="373">
        <f ca="1">H74</f>
        <v>0.8600000000000001</v>
      </c>
      <c r="G20" s="373">
        <f ca="1">H87</f>
        <v>0.86</v>
      </c>
      <c r="H20" s="373">
        <f ca="1">H100</f>
        <v>0.85999999999999988</v>
      </c>
      <c r="I20" s="375"/>
      <c r="J20" s="375"/>
      <c r="K20" s="390"/>
    </row>
    <row r="21" spans="2:18">
      <c r="B21" s="106"/>
      <c r="D21" s="372"/>
      <c r="F21" s="372"/>
      <c r="G21" s="372"/>
      <c r="H21" s="372"/>
      <c r="K21" s="389"/>
    </row>
    <row r="22" spans="2:18" ht="15.75" thickBot="1">
      <c r="B22" s="106"/>
      <c r="D22" s="372"/>
      <c r="F22" s="372"/>
      <c r="G22" s="372"/>
      <c r="H22" s="372"/>
      <c r="K22" s="389"/>
    </row>
    <row r="23" spans="2:18" s="49" customFormat="1" ht="17.25" customHeight="1">
      <c r="B23" s="844"/>
      <c r="C23" s="2499" t="s">
        <v>943</v>
      </c>
      <c r="D23" s="2603">
        <f t="array" ref="D23:H23" ca="1">IFERROR(D10:H10/D20:H20,"N/D")</f>
        <v>18854.365750528541</v>
      </c>
      <c r="E23" s="2604">
        <f ca="1"/>
        <v>21351.928858350948</v>
      </c>
      <c r="F23" s="2603">
        <f ca="1"/>
        <v>22390.483857558134</v>
      </c>
      <c r="G23" s="2603">
        <f ca="1"/>
        <v>23463.881801415704</v>
      </c>
      <c r="H23" s="2603">
        <f ca="1"/>
        <v>24592.914002236226</v>
      </c>
      <c r="I23" s="849" t="str">
        <f>CONCATENATE(Parametros!$H$11," de venda por ano")</f>
        <v>€ de venda por ano</v>
      </c>
      <c r="J23" s="797"/>
      <c r="K23" s="845"/>
    </row>
    <row r="24" spans="2:18" s="49" customFormat="1" ht="17.25" customHeight="1" thickBot="1">
      <c r="B24" s="846"/>
      <c r="C24" s="2500" t="s">
        <v>941</v>
      </c>
      <c r="D24" s="2605">
        <f t="array" aca="1" ref="D24" ca="1">IFERROR(D23/(12-mes0+1),"N/D")</f>
        <v>1571.1971458773785</v>
      </c>
      <c r="E24" s="2606">
        <f t="array" ref="E24:H24" ca="1">IFERROR(E23:H23/12,"N/D")</f>
        <v>1779.327404862579</v>
      </c>
      <c r="F24" s="2605">
        <f ca="1"/>
        <v>1865.8736547965111</v>
      </c>
      <c r="G24" s="2605">
        <f ca="1"/>
        <v>1955.3234834513087</v>
      </c>
      <c r="H24" s="2605">
        <f ca="1"/>
        <v>2049.409500186352</v>
      </c>
      <c r="I24" s="850" t="str">
        <f>CONCATENATE(Parametros!$H$11," / mes de meia")</f>
        <v>€ / mes de meia</v>
      </c>
      <c r="J24" s="847"/>
      <c r="K24" s="848"/>
    </row>
    <row r="25" spans="2:18">
      <c r="B25" s="106"/>
      <c r="C25" s="264"/>
      <c r="D25" s="376"/>
      <c r="E25" s="377"/>
      <c r="F25" s="376"/>
      <c r="G25" s="376"/>
      <c r="H25" s="376"/>
      <c r="I25" s="378"/>
      <c r="K25" s="389"/>
    </row>
    <row r="26" spans="2:18" ht="15.75" thickBot="1">
      <c r="B26" s="106"/>
      <c r="C26" s="264"/>
      <c r="D26" s="376"/>
      <c r="E26" s="377"/>
      <c r="F26" s="376"/>
      <c r="G26" s="376"/>
      <c r="H26" s="376"/>
      <c r="I26" s="378"/>
      <c r="K26" s="389"/>
    </row>
    <row r="27" spans="2:18" s="49" customFormat="1" ht="21.75" customHeight="1">
      <c r="B27" s="844"/>
      <c r="C27" s="2499" t="s">
        <v>942</v>
      </c>
      <c r="D27" s="2603">
        <f t="array" ref="D27:H27" ca="1">IFERROR((D10:H10-D12:H12)/D20:H20,"N/D")</f>
        <v>18955.668076109938</v>
      </c>
      <c r="E27" s="2604">
        <f ca="1"/>
        <v>21525.831183932343</v>
      </c>
      <c r="F27" s="2603">
        <f ca="1"/>
        <v>22578.559222674416</v>
      </c>
      <c r="G27" s="2603">
        <f ca="1"/>
        <v>23667.377555277562</v>
      </c>
      <c r="H27" s="2603">
        <f ca="1"/>
        <v>24812.966155872848</v>
      </c>
      <c r="I27" s="849" t="str">
        <f t="array" ref="I27:I28">I23:I24</f>
        <v>€ de venda por ano</v>
      </c>
      <c r="J27" s="797"/>
      <c r="K27" s="845"/>
    </row>
    <row r="28" spans="2:18" s="49" customFormat="1" ht="21.75" customHeight="1" thickBot="1">
      <c r="B28" s="846"/>
      <c r="C28" s="2500" t="s">
        <v>941</v>
      </c>
      <c r="D28" s="2605">
        <f ca="1">IFERROR(D27/(12-mes0+1),"N/D")</f>
        <v>1579.6390063424949</v>
      </c>
      <c r="E28" s="2606">
        <f t="array" ref="E28:H28" ca="1">IFERROR(E27:H27/12,"N/D")</f>
        <v>1793.8192653276953</v>
      </c>
      <c r="F28" s="2605">
        <f ca="1"/>
        <v>1881.5466018895347</v>
      </c>
      <c r="G28" s="2605">
        <f ca="1"/>
        <v>1972.2814629397969</v>
      </c>
      <c r="H28" s="2605">
        <f ca="1"/>
        <v>2067.7471796560708</v>
      </c>
      <c r="I28" s="850" t="str">
        <v>€ / mes de meia</v>
      </c>
      <c r="J28" s="847"/>
      <c r="K28" s="848"/>
    </row>
    <row r="29" spans="2:18">
      <c r="B29" s="106"/>
      <c r="D29" s="372"/>
      <c r="F29" s="372"/>
      <c r="G29" s="372"/>
      <c r="H29" s="372"/>
      <c r="K29" s="389"/>
    </row>
    <row r="30" spans="2:18" ht="15.75" thickBot="1">
      <c r="B30" s="106"/>
      <c r="D30" s="372"/>
      <c r="F30" s="372"/>
      <c r="G30" s="372"/>
      <c r="H30" s="372"/>
      <c r="K30" s="389"/>
    </row>
    <row r="31" spans="2:18" s="49" customFormat="1" ht="21.75" customHeight="1">
      <c r="B31" s="851"/>
      <c r="C31" s="852" t="s">
        <v>940</v>
      </c>
      <c r="D31" s="862">
        <f ca="1">IFERROR(C48/D23,"N/D")</f>
        <v>0.38187442077165407</v>
      </c>
      <c r="E31" s="863">
        <f ca="1">IFERROR((C61)/E23,"N/D")</f>
        <v>0.57887041878026324</v>
      </c>
      <c r="F31" s="862">
        <f ca="1">IFERROR(C74/F23,"N/D")</f>
        <v>0.59700987638494996</v>
      </c>
      <c r="G31" s="862">
        <f ca="1">IFERROR(C87/G23,"N/D")</f>
        <v>0.6164084312395125</v>
      </c>
      <c r="H31" s="862">
        <f ca="1">IFERROR(C100/H23,"N/D")</f>
        <v>0.63595840746394883</v>
      </c>
      <c r="I31" s="864" t="s">
        <v>938</v>
      </c>
      <c r="J31" s="797"/>
      <c r="K31" s="845"/>
    </row>
    <row r="32" spans="2:18" s="869" customFormat="1" ht="20.25" customHeight="1" thickBot="1">
      <c r="B32" s="857"/>
      <c r="C32" s="865" t="s">
        <v>939</v>
      </c>
      <c r="D32" s="866">
        <f ca="1">IFERROR(D14/D27,"N/D")</f>
        <v>0.3798336186881352</v>
      </c>
      <c r="E32" s="867">
        <f ca="1">IFERROR(E14/E27,"N/D")</f>
        <v>0.57419385548400792</v>
      </c>
      <c r="F32" s="866">
        <f ca="1">IFERROR(F14/F27,"N/D")</f>
        <v>0.59203689075855237</v>
      </c>
      <c r="G32" s="866">
        <f ca="1">IFERROR(G14/G27,"N/D")</f>
        <v>0.61110845670245528</v>
      </c>
      <c r="H32" s="866">
        <f ca="1">IFERROR(H14/H27,"N/D")</f>
        <v>0.63031845227654226</v>
      </c>
      <c r="I32" s="868"/>
      <c r="J32" s="860"/>
      <c r="K32" s="861"/>
      <c r="R32" s="870"/>
    </row>
    <row r="33" spans="2:18" s="62" customFormat="1" ht="18.75" customHeight="1">
      <c r="B33" s="60"/>
      <c r="R33" s="239"/>
    </row>
    <row r="34" spans="2:18" s="62" customFormat="1" ht="18.75" customHeight="1" thickBot="1">
      <c r="B34" s="60"/>
      <c r="R34" s="239"/>
    </row>
    <row r="35" spans="2:18" s="62" customFormat="1" ht="18.75" customHeight="1" thickBot="1">
      <c r="B35" s="1538" t="s">
        <v>144</v>
      </c>
      <c r="C35" s="1539"/>
      <c r="D35" s="1540">
        <f t="array" ref="D35:H35" ca="1">IF(D32:H32&gt;1,0,1/D32:H32-1)</f>
        <v>1.6327316772374916</v>
      </c>
      <c r="E35" s="1540">
        <f ca="1"/>
        <v>0.74157210225989845</v>
      </c>
      <c r="F35" s="1540">
        <f ca="1"/>
        <v>0.68908393312913563</v>
      </c>
      <c r="G35" s="1540">
        <f ca="1"/>
        <v>0.63637074406727367</v>
      </c>
      <c r="H35" s="1540">
        <f ca="1"/>
        <v>0.58649964377255093</v>
      </c>
      <c r="I35" s="1537">
        <f ca="1">MAX(D35:H35)</f>
        <v>1.6327316772374916</v>
      </c>
      <c r="R35" s="239"/>
    </row>
    <row r="36" spans="2:18" s="62" customFormat="1" ht="18.75" customHeight="1">
      <c r="B36" s="60"/>
      <c r="R36" s="239"/>
    </row>
    <row r="37" spans="2:18" s="62" customFormat="1" ht="24" customHeight="1">
      <c r="B37" s="68" t="str">
        <f>CONCATENATE("Distribução de Vendas (en ",Parametros!$G$11,") e margems")</f>
        <v>Distribução de Vendas (en Euros) e margems</v>
      </c>
      <c r="R37" s="239"/>
    </row>
    <row r="38" spans="2:18" s="62" customFormat="1" ht="23.25" thickBot="1">
      <c r="C38" s="2720" t="str">
        <f>Parametros!B77</f>
        <v>Ano 0:  2026</v>
      </c>
      <c r="D38" s="379" t="str">
        <f>IF(mes0=1,"",CONCATENATE("(",12-mes0+1," meses)"))</f>
        <v/>
      </c>
      <c r="R38" s="239"/>
    </row>
    <row r="39" spans="2:18" s="62" customFormat="1" ht="16.5" customHeight="1" thickBot="1">
      <c r="B39" s="2516" t="s">
        <v>954</v>
      </c>
      <c r="C39" s="2517" t="s">
        <v>627</v>
      </c>
      <c r="D39" s="2518" t="s">
        <v>948</v>
      </c>
      <c r="E39" s="2517" t="s">
        <v>949</v>
      </c>
      <c r="F39" s="2519" t="s">
        <v>950</v>
      </c>
      <c r="G39" s="2520" t="s">
        <v>951</v>
      </c>
      <c r="H39" s="2518" t="s">
        <v>952</v>
      </c>
      <c r="I39" s="449" t="s">
        <v>953</v>
      </c>
    </row>
    <row r="40" spans="2:18" s="62" customFormat="1" ht="18.75" customHeight="1">
      <c r="B40" s="2514" t="str">
        <f t="array" ref="B40:B47">productos</f>
        <v>produto 1</v>
      </c>
      <c r="C40" s="2505">
        <f t="array" aca="1" ref="C40:C47" ca="1">'Prev.Vendas 0'!N17:N24</f>
        <v>7199.9999999999991</v>
      </c>
      <c r="D40" s="2506">
        <f t="array" aca="1" ref="D40:D47" ca="1">IF(C$48=0,"",C40:C47/C$48)</f>
        <v>1</v>
      </c>
      <c r="E40" s="2505">
        <f t="array" aca="1" ref="E40:E47" ca="1">'Distr CV 0'!$N20:N27</f>
        <v>1008.0000000000001</v>
      </c>
      <c r="F40" s="2506">
        <f t="array" aca="1" ref="F40:F47" ca="1">IF(E$48=0,"",E40:E47/E$48)</f>
        <v>1</v>
      </c>
      <c r="G40" s="2505">
        <f t="array" aca="1" ref="G40:G47" ca="1">C40:C47-E40:E47</f>
        <v>6191.9999999999991</v>
      </c>
      <c r="H40" s="2507">
        <f t="array" aca="1" ref="H40:H47" ca="1">IF(C40:C47=0,"",G40:G47/C40:C47)</f>
        <v>0.86</v>
      </c>
      <c r="I40" s="2508">
        <f t="shared" ref="I40:I47" ca="1" si="0">IF($G$48=0,"",G40/$G$48)</f>
        <v>1</v>
      </c>
    </row>
    <row r="41" spans="2:18" s="62" customFormat="1" ht="14.25" customHeight="1">
      <c r="B41" s="2515" t="str">
        <v/>
      </c>
      <c r="C41" s="2509">
        <f ca="1"/>
        <v>0</v>
      </c>
      <c r="D41" s="2510">
        <f ca="1"/>
        <v>0</v>
      </c>
      <c r="E41" s="2509">
        <f ca="1"/>
        <v>0</v>
      </c>
      <c r="F41" s="2510">
        <f ca="1"/>
        <v>0</v>
      </c>
      <c r="G41" s="2509">
        <f ca="1"/>
        <v>0</v>
      </c>
      <c r="H41" s="2511" t="str">
        <f ca="1"/>
        <v/>
      </c>
      <c r="I41" s="2512">
        <f t="shared" ca="1" si="0"/>
        <v>0</v>
      </c>
    </row>
    <row r="42" spans="2:18" s="62" customFormat="1" ht="14.25" customHeight="1">
      <c r="B42" s="2515" t="str">
        <v/>
      </c>
      <c r="C42" s="2509">
        <f ca="1"/>
        <v>0</v>
      </c>
      <c r="D42" s="2510">
        <f ca="1"/>
        <v>0</v>
      </c>
      <c r="E42" s="2509">
        <f ca="1"/>
        <v>0</v>
      </c>
      <c r="F42" s="2510">
        <f ca="1"/>
        <v>0</v>
      </c>
      <c r="G42" s="2509">
        <f ca="1"/>
        <v>0</v>
      </c>
      <c r="H42" s="2511" t="str">
        <f ca="1"/>
        <v/>
      </c>
      <c r="I42" s="2512">
        <f t="shared" ca="1" si="0"/>
        <v>0</v>
      </c>
    </row>
    <row r="43" spans="2:18" s="62" customFormat="1" ht="14.25" customHeight="1">
      <c r="B43" s="2515" t="str">
        <v/>
      </c>
      <c r="C43" s="2509">
        <f ca="1"/>
        <v>0</v>
      </c>
      <c r="D43" s="2510">
        <f ca="1"/>
        <v>0</v>
      </c>
      <c r="E43" s="2509">
        <f ca="1"/>
        <v>0</v>
      </c>
      <c r="F43" s="2510">
        <f ca="1"/>
        <v>0</v>
      </c>
      <c r="G43" s="2509">
        <f ca="1"/>
        <v>0</v>
      </c>
      <c r="H43" s="2511" t="str">
        <f ca="1"/>
        <v/>
      </c>
      <c r="I43" s="2512">
        <f t="shared" ca="1" si="0"/>
        <v>0</v>
      </c>
    </row>
    <row r="44" spans="2:18" s="62" customFormat="1" ht="14.25" customHeight="1">
      <c r="B44" s="2515" t="str">
        <v/>
      </c>
      <c r="C44" s="2509">
        <f ca="1"/>
        <v>0</v>
      </c>
      <c r="D44" s="2510">
        <f ca="1"/>
        <v>0</v>
      </c>
      <c r="E44" s="2509">
        <f ca="1"/>
        <v>0</v>
      </c>
      <c r="F44" s="2510">
        <f ca="1"/>
        <v>0</v>
      </c>
      <c r="G44" s="2509">
        <f ca="1"/>
        <v>0</v>
      </c>
      <c r="H44" s="2511" t="str">
        <f ca="1"/>
        <v/>
      </c>
      <c r="I44" s="2512">
        <f t="shared" ca="1" si="0"/>
        <v>0</v>
      </c>
    </row>
    <row r="45" spans="2:18" s="62" customFormat="1" ht="14.25" customHeight="1">
      <c r="B45" s="2515" t="str">
        <v/>
      </c>
      <c r="C45" s="2509">
        <f ca="1"/>
        <v>0</v>
      </c>
      <c r="D45" s="2510">
        <f ca="1"/>
        <v>0</v>
      </c>
      <c r="E45" s="2509">
        <f ca="1"/>
        <v>0</v>
      </c>
      <c r="F45" s="2510">
        <f ca="1"/>
        <v>0</v>
      </c>
      <c r="G45" s="2509">
        <f ca="1"/>
        <v>0</v>
      </c>
      <c r="H45" s="2511" t="str">
        <f ca="1"/>
        <v/>
      </c>
      <c r="I45" s="2512">
        <f t="shared" ca="1" si="0"/>
        <v>0</v>
      </c>
    </row>
    <row r="46" spans="2:18" s="62" customFormat="1" ht="14.25" customHeight="1">
      <c r="B46" s="2515" t="str">
        <v/>
      </c>
      <c r="C46" s="2509">
        <f ca="1"/>
        <v>0</v>
      </c>
      <c r="D46" s="2510">
        <f ca="1"/>
        <v>0</v>
      </c>
      <c r="E46" s="2509">
        <f ca="1"/>
        <v>0</v>
      </c>
      <c r="F46" s="2510">
        <f ca="1"/>
        <v>0</v>
      </c>
      <c r="G46" s="2509">
        <f ca="1"/>
        <v>0</v>
      </c>
      <c r="H46" s="2511" t="str">
        <f ca="1"/>
        <v/>
      </c>
      <c r="I46" s="2512">
        <f t="shared" ca="1" si="0"/>
        <v>0</v>
      </c>
    </row>
    <row r="47" spans="2:18" s="62" customFormat="1" ht="14.25" customHeight="1" thickBot="1">
      <c r="B47" s="2515" t="str">
        <v/>
      </c>
      <c r="C47" s="2509">
        <f ca="1"/>
        <v>0</v>
      </c>
      <c r="D47" s="2510">
        <f ca="1"/>
        <v>0</v>
      </c>
      <c r="E47" s="2509">
        <f ca="1"/>
        <v>0</v>
      </c>
      <c r="F47" s="2510">
        <f ca="1"/>
        <v>0</v>
      </c>
      <c r="G47" s="2513">
        <f ca="1"/>
        <v>0</v>
      </c>
      <c r="H47" s="2511" t="str">
        <f ca="1"/>
        <v/>
      </c>
      <c r="I47" s="2512">
        <f t="shared" ca="1" si="0"/>
        <v>0</v>
      </c>
    </row>
    <row r="48" spans="2:18" s="869" customFormat="1" ht="17.25" customHeight="1" thickBot="1">
      <c r="B48" s="2856" t="s">
        <v>612</v>
      </c>
      <c r="C48" s="1264">
        <f ca="1">SUM(C40:C47)</f>
        <v>7199.9999999999991</v>
      </c>
      <c r="D48" s="1265">
        <f ca="1">SUM(D40:D47)</f>
        <v>1</v>
      </c>
      <c r="E48" s="1266">
        <f ca="1">SUM(E40:E47)</f>
        <v>1008.0000000000001</v>
      </c>
      <c r="F48" s="1267">
        <f ca="1">SUM(F40:F47)</f>
        <v>1</v>
      </c>
      <c r="G48" s="1268">
        <f ca="1">C48-E48</f>
        <v>6191.9999999999991</v>
      </c>
      <c r="H48" s="1263">
        <f ca="1">IFERROR(G48/C48,0)</f>
        <v>0.86</v>
      </c>
      <c r="I48" s="1269">
        <f ca="1">SUM(I40:I47)</f>
        <v>1</v>
      </c>
    </row>
    <row r="50" spans="1:16" s="62" customFormat="1" ht="18.75" customHeight="1">
      <c r="B50" s="60"/>
      <c r="P50" s="239"/>
    </row>
    <row r="51" spans="1:16" s="62" customFormat="1" ht="23.25" thickBot="1">
      <c r="B51" s="240"/>
      <c r="C51" s="2720" t="str">
        <f>Parametros!C$77</f>
        <v>Ano 1:  2027</v>
      </c>
      <c r="N51" s="239"/>
    </row>
    <row r="52" spans="1:16" s="62" customFormat="1" ht="16.5" customHeight="1" thickBot="1">
      <c r="B52" s="2516" t="str">
        <f t="array" ref="B52:I52">B$39:I$39</f>
        <v>Produtos / Serviços</v>
      </c>
      <c r="C52" s="2517" t="str">
        <v>Vendas</v>
      </c>
      <c r="D52" s="2518" t="str">
        <v>% / Vdas</v>
      </c>
      <c r="E52" s="2517" t="str">
        <v>Custo</v>
      </c>
      <c r="F52" s="2519" t="str">
        <v>% / Ctos</v>
      </c>
      <c r="G52" s="2517" t="str">
        <v>Margem</v>
      </c>
      <c r="H52" s="2518" t="str">
        <v>% de margem</v>
      </c>
      <c r="I52" s="449" t="str">
        <v>% contribução</v>
      </c>
    </row>
    <row r="53" spans="1:16" s="62" customFormat="1" ht="18.75" customHeight="1">
      <c r="B53" s="2514" t="str">
        <f t="array" ref="B53:B60">productos</f>
        <v>produto 1</v>
      </c>
      <c r="C53" s="2505">
        <f t="array" aca="1" ref="C53:C60" ca="1">'Prev.Vendas 1'!N17:N24</f>
        <v>12360</v>
      </c>
      <c r="D53" s="2506">
        <f t="shared" ref="D53:D60" ca="1" si="1">IF($C$61=0,"",C53/$C$61)</f>
        <v>1</v>
      </c>
      <c r="E53" s="2505">
        <f t="array" aca="1" ref="E53:E60" ca="1">'Distr CV 1'!$N20:N27</f>
        <v>1730.4000000000003</v>
      </c>
      <c r="F53" s="2506">
        <f t="shared" ref="F53:F60" ca="1" si="2">IF($E$61=0,"",E53/$E$61)</f>
        <v>1</v>
      </c>
      <c r="G53" s="2505">
        <f t="array" aca="1" ref="G53:G60" ca="1">C53:C60-E53:E60</f>
        <v>10629.6</v>
      </c>
      <c r="H53" s="2507">
        <f t="array" aca="1" ref="H53:H60" ca="1">IF(C53:C60=0,"",G53:G60/C53:C60)</f>
        <v>0.86</v>
      </c>
      <c r="I53" s="2508">
        <f t="shared" ref="I53:I60" ca="1" si="3">IF($G$61=0,"",G53/$G$61)</f>
        <v>1</v>
      </c>
    </row>
    <row r="54" spans="1:16" s="62" customFormat="1" ht="14.25" customHeight="1">
      <c r="B54" s="2515" t="str">
        <v/>
      </c>
      <c r="C54" s="2509">
        <f ca="1"/>
        <v>0</v>
      </c>
      <c r="D54" s="2510">
        <f t="shared" ca="1" si="1"/>
        <v>0</v>
      </c>
      <c r="E54" s="2509">
        <f ca="1"/>
        <v>0</v>
      </c>
      <c r="F54" s="2510">
        <f t="shared" ca="1" si="2"/>
        <v>0</v>
      </c>
      <c r="G54" s="2509">
        <f ca="1"/>
        <v>0</v>
      </c>
      <c r="H54" s="2511" t="str">
        <f ca="1"/>
        <v/>
      </c>
      <c r="I54" s="2512">
        <f t="shared" ca="1" si="3"/>
        <v>0</v>
      </c>
    </row>
    <row r="55" spans="1:16" s="62" customFormat="1" ht="14.25" customHeight="1">
      <c r="B55" s="2515" t="str">
        <v/>
      </c>
      <c r="C55" s="2509">
        <f ca="1"/>
        <v>0</v>
      </c>
      <c r="D55" s="2510">
        <f t="shared" ca="1" si="1"/>
        <v>0</v>
      </c>
      <c r="E55" s="2509">
        <f ca="1"/>
        <v>0</v>
      </c>
      <c r="F55" s="2510">
        <f t="shared" ca="1" si="2"/>
        <v>0</v>
      </c>
      <c r="G55" s="2509">
        <f ca="1"/>
        <v>0</v>
      </c>
      <c r="H55" s="2511" t="str">
        <f ca="1"/>
        <v/>
      </c>
      <c r="I55" s="2512">
        <f t="shared" ca="1" si="3"/>
        <v>0</v>
      </c>
    </row>
    <row r="56" spans="1:16" s="62" customFormat="1" ht="14.25" customHeight="1">
      <c r="B56" s="2515" t="str">
        <v/>
      </c>
      <c r="C56" s="2509">
        <f ca="1"/>
        <v>0</v>
      </c>
      <c r="D56" s="2510">
        <f t="shared" ca="1" si="1"/>
        <v>0</v>
      </c>
      <c r="E56" s="2509">
        <f ca="1"/>
        <v>0</v>
      </c>
      <c r="F56" s="2510">
        <f t="shared" ca="1" si="2"/>
        <v>0</v>
      </c>
      <c r="G56" s="2509">
        <f ca="1"/>
        <v>0</v>
      </c>
      <c r="H56" s="2511" t="str">
        <f ca="1"/>
        <v/>
      </c>
      <c r="I56" s="2512">
        <f t="shared" ca="1" si="3"/>
        <v>0</v>
      </c>
    </row>
    <row r="57" spans="1:16" s="62" customFormat="1" ht="14.25" customHeight="1">
      <c r="B57" s="2515" t="str">
        <v/>
      </c>
      <c r="C57" s="2509">
        <f ca="1"/>
        <v>0</v>
      </c>
      <c r="D57" s="2510">
        <f t="shared" ca="1" si="1"/>
        <v>0</v>
      </c>
      <c r="E57" s="2509">
        <f ca="1"/>
        <v>0</v>
      </c>
      <c r="F57" s="2510">
        <f t="shared" ca="1" si="2"/>
        <v>0</v>
      </c>
      <c r="G57" s="2509">
        <f ca="1"/>
        <v>0</v>
      </c>
      <c r="H57" s="2511" t="str">
        <f ca="1"/>
        <v/>
      </c>
      <c r="I57" s="2512">
        <f t="shared" ca="1" si="3"/>
        <v>0</v>
      </c>
    </row>
    <row r="58" spans="1:16" s="62" customFormat="1" ht="14.25" customHeight="1">
      <c r="B58" s="2515" t="str">
        <v/>
      </c>
      <c r="C58" s="2509">
        <f ca="1"/>
        <v>0</v>
      </c>
      <c r="D58" s="2510">
        <f t="shared" ca="1" si="1"/>
        <v>0</v>
      </c>
      <c r="E58" s="2509">
        <f ca="1"/>
        <v>0</v>
      </c>
      <c r="F58" s="2510">
        <f t="shared" ca="1" si="2"/>
        <v>0</v>
      </c>
      <c r="G58" s="2509">
        <f ca="1"/>
        <v>0</v>
      </c>
      <c r="H58" s="2511" t="str">
        <f ca="1"/>
        <v/>
      </c>
      <c r="I58" s="2512">
        <f t="shared" ca="1" si="3"/>
        <v>0</v>
      </c>
    </row>
    <row r="59" spans="1:16" s="62" customFormat="1" ht="14.25" customHeight="1">
      <c r="B59" s="2515" t="str">
        <v/>
      </c>
      <c r="C59" s="2509">
        <f ca="1"/>
        <v>0</v>
      </c>
      <c r="D59" s="2510">
        <f t="shared" ca="1" si="1"/>
        <v>0</v>
      </c>
      <c r="E59" s="2509">
        <f ca="1"/>
        <v>0</v>
      </c>
      <c r="F59" s="2510">
        <f t="shared" ca="1" si="2"/>
        <v>0</v>
      </c>
      <c r="G59" s="2509">
        <f ca="1"/>
        <v>0</v>
      </c>
      <c r="H59" s="2511" t="str">
        <f ca="1"/>
        <v/>
      </c>
      <c r="I59" s="2512">
        <f t="shared" ca="1" si="3"/>
        <v>0</v>
      </c>
    </row>
    <row r="60" spans="1:16" s="62" customFormat="1" ht="14.25" customHeight="1" thickBot="1">
      <c r="B60" s="2515" t="str">
        <v/>
      </c>
      <c r="C60" s="2509">
        <f ca="1"/>
        <v>0</v>
      </c>
      <c r="D60" s="2510">
        <f t="shared" ca="1" si="1"/>
        <v>0</v>
      </c>
      <c r="E60" s="2509">
        <f ca="1"/>
        <v>0</v>
      </c>
      <c r="F60" s="2510">
        <f t="shared" ca="1" si="2"/>
        <v>0</v>
      </c>
      <c r="G60" s="2513">
        <f ca="1"/>
        <v>0</v>
      </c>
      <c r="H60" s="2511" t="str">
        <f ca="1"/>
        <v/>
      </c>
      <c r="I60" s="2512">
        <f t="shared" ca="1" si="3"/>
        <v>0</v>
      </c>
    </row>
    <row r="61" spans="1:16" s="869" customFormat="1" ht="17.25" customHeight="1" thickBot="1">
      <c r="B61" s="2856" t="str">
        <f>$B$48</f>
        <v>Totais</v>
      </c>
      <c r="C61" s="1264">
        <f ca="1">SUM(C53:C60)</f>
        <v>12360</v>
      </c>
      <c r="D61" s="1265">
        <f ca="1">SUM(D53:D60)</f>
        <v>1</v>
      </c>
      <c r="E61" s="1266">
        <f ca="1">SUM(E53:E60)</f>
        <v>1730.4000000000003</v>
      </c>
      <c r="F61" s="1267">
        <f ca="1">SUM(F53:F60)</f>
        <v>1</v>
      </c>
      <c r="G61" s="1268">
        <f ca="1">C61-E61</f>
        <v>10629.6</v>
      </c>
      <c r="H61" s="1263">
        <f ca="1">IFERROR(G61/C61,0)</f>
        <v>0.86</v>
      </c>
      <c r="I61" s="1269">
        <f ca="1">SUM(I53:I60)</f>
        <v>1</v>
      </c>
    </row>
    <row r="63" spans="1:16" s="62" customFormat="1" ht="18.75" customHeight="1">
      <c r="B63" s="60"/>
      <c r="P63" s="239"/>
    </row>
    <row r="64" spans="1:16" s="62" customFormat="1" ht="23.25" thickBot="1">
      <c r="A64" s="61"/>
      <c r="B64" s="240"/>
      <c r="C64" s="2720" t="str">
        <f>Parametros!D$77</f>
        <v>Ano 2:  2028</v>
      </c>
      <c r="N64" s="239"/>
    </row>
    <row r="65" spans="1:14" s="62" customFormat="1" ht="16.5" customHeight="1" thickBot="1">
      <c r="B65" s="2516" t="str">
        <f t="array" ref="B65:I65">B$39:I$39</f>
        <v>Produtos / Serviços</v>
      </c>
      <c r="C65" s="2517" t="str">
        <v>Vendas</v>
      </c>
      <c r="D65" s="2518" t="str">
        <v>% / Vdas</v>
      </c>
      <c r="E65" s="2517" t="str">
        <v>Custo</v>
      </c>
      <c r="F65" s="2519" t="str">
        <v>% / Ctos</v>
      </c>
      <c r="G65" s="2517" t="str">
        <v>Margem</v>
      </c>
      <c r="H65" s="2518" t="str">
        <v>% de margem</v>
      </c>
      <c r="I65" s="449" t="str">
        <v>% contribução</v>
      </c>
    </row>
    <row r="66" spans="1:14" s="62" customFormat="1" ht="18.75" customHeight="1">
      <c r="B66" s="2514" t="str">
        <f t="array" ref="B66:B73">productos</f>
        <v>produto 1</v>
      </c>
      <c r="C66" s="2505">
        <f t="array" aca="1" ref="C66:C73" ca="1">'Prev.Vendas 2'!N17:N24</f>
        <v>13367.339999999998</v>
      </c>
      <c r="D66" s="2506">
        <f t="shared" ref="D66:D73" ca="1" si="4">IF($C$74=0,"",C66/$C$74)</f>
        <v>1</v>
      </c>
      <c r="E66" s="2505">
        <f t="array" aca="1" ref="E66:E73" ca="1">'Distr CV 2'!$N20:N27</f>
        <v>1871.4275999999998</v>
      </c>
      <c r="F66" s="2506">
        <f t="shared" ref="F66:F73" ca="1" si="5">IF($E$74=0,"",E66/$E$74)</f>
        <v>1</v>
      </c>
      <c r="G66" s="2505">
        <f t="array" aca="1" ref="G66:G73" ca="1">C66:C73-E66:E73</f>
        <v>11495.912399999999</v>
      </c>
      <c r="H66" s="2507">
        <f t="array" aca="1" ref="H66:H73" ca="1">IF(C66:C73=0,"",G66:G73/C66:C73)</f>
        <v>0.8600000000000001</v>
      </c>
      <c r="I66" s="2508">
        <f t="shared" ref="I66:I73" ca="1" si="6">IF($G$74=0,"",G66/$G$74)</f>
        <v>1</v>
      </c>
    </row>
    <row r="67" spans="1:14" s="62" customFormat="1" ht="14.25" customHeight="1">
      <c r="B67" s="2515" t="str">
        <v/>
      </c>
      <c r="C67" s="2509">
        <f ca="1"/>
        <v>0</v>
      </c>
      <c r="D67" s="2510">
        <f t="shared" ca="1" si="4"/>
        <v>0</v>
      </c>
      <c r="E67" s="2509">
        <f ca="1"/>
        <v>0</v>
      </c>
      <c r="F67" s="2510">
        <f t="shared" ca="1" si="5"/>
        <v>0</v>
      </c>
      <c r="G67" s="2509">
        <f ca="1"/>
        <v>0</v>
      </c>
      <c r="H67" s="2511" t="str">
        <f ca="1"/>
        <v/>
      </c>
      <c r="I67" s="2512">
        <f t="shared" ca="1" si="6"/>
        <v>0</v>
      </c>
    </row>
    <row r="68" spans="1:14" s="62" customFormat="1" ht="14.25" customHeight="1">
      <c r="B68" s="2515" t="str">
        <v/>
      </c>
      <c r="C68" s="2509">
        <f ca="1"/>
        <v>0</v>
      </c>
      <c r="D68" s="2510">
        <f t="shared" ca="1" si="4"/>
        <v>0</v>
      </c>
      <c r="E68" s="2509">
        <f ca="1"/>
        <v>0</v>
      </c>
      <c r="F68" s="2510">
        <f t="shared" ca="1" si="5"/>
        <v>0</v>
      </c>
      <c r="G68" s="2509">
        <f ca="1"/>
        <v>0</v>
      </c>
      <c r="H68" s="2511" t="str">
        <f ca="1"/>
        <v/>
      </c>
      <c r="I68" s="2512">
        <f t="shared" ca="1" si="6"/>
        <v>0</v>
      </c>
    </row>
    <row r="69" spans="1:14" s="62" customFormat="1" ht="14.25" customHeight="1">
      <c r="B69" s="2515" t="str">
        <v/>
      </c>
      <c r="C69" s="2509">
        <f ca="1"/>
        <v>0</v>
      </c>
      <c r="D69" s="2510">
        <f t="shared" ca="1" si="4"/>
        <v>0</v>
      </c>
      <c r="E69" s="2509">
        <f ca="1"/>
        <v>0</v>
      </c>
      <c r="F69" s="2510">
        <f t="shared" ca="1" si="5"/>
        <v>0</v>
      </c>
      <c r="G69" s="2509">
        <f ca="1"/>
        <v>0</v>
      </c>
      <c r="H69" s="2511" t="str">
        <f ca="1"/>
        <v/>
      </c>
      <c r="I69" s="2512">
        <f t="shared" ca="1" si="6"/>
        <v>0</v>
      </c>
    </row>
    <row r="70" spans="1:14" s="62" customFormat="1" ht="14.25" customHeight="1">
      <c r="B70" s="2515" t="str">
        <v/>
      </c>
      <c r="C70" s="2509">
        <f ca="1"/>
        <v>0</v>
      </c>
      <c r="D70" s="2510">
        <f t="shared" ca="1" si="4"/>
        <v>0</v>
      </c>
      <c r="E70" s="2509">
        <f ca="1"/>
        <v>0</v>
      </c>
      <c r="F70" s="2510">
        <f t="shared" ca="1" si="5"/>
        <v>0</v>
      </c>
      <c r="G70" s="2509">
        <f ca="1"/>
        <v>0</v>
      </c>
      <c r="H70" s="2511" t="str">
        <f ca="1"/>
        <v/>
      </c>
      <c r="I70" s="2512">
        <f t="shared" ca="1" si="6"/>
        <v>0</v>
      </c>
    </row>
    <row r="71" spans="1:14" s="62" customFormat="1" ht="14.25" customHeight="1">
      <c r="B71" s="2515" t="str">
        <v/>
      </c>
      <c r="C71" s="2509">
        <f ca="1"/>
        <v>0</v>
      </c>
      <c r="D71" s="2510">
        <f t="shared" ca="1" si="4"/>
        <v>0</v>
      </c>
      <c r="E71" s="2509">
        <f ca="1"/>
        <v>0</v>
      </c>
      <c r="F71" s="2510">
        <f t="shared" ca="1" si="5"/>
        <v>0</v>
      </c>
      <c r="G71" s="2509">
        <f ca="1"/>
        <v>0</v>
      </c>
      <c r="H71" s="2511" t="str">
        <f ca="1"/>
        <v/>
      </c>
      <c r="I71" s="2512">
        <f t="shared" ca="1" si="6"/>
        <v>0</v>
      </c>
    </row>
    <row r="72" spans="1:14" s="62" customFormat="1" ht="14.25" customHeight="1">
      <c r="B72" s="2515" t="str">
        <v/>
      </c>
      <c r="C72" s="2509">
        <f ca="1"/>
        <v>0</v>
      </c>
      <c r="D72" s="2510">
        <f t="shared" ca="1" si="4"/>
        <v>0</v>
      </c>
      <c r="E72" s="2509">
        <f ca="1"/>
        <v>0</v>
      </c>
      <c r="F72" s="2510">
        <f t="shared" ca="1" si="5"/>
        <v>0</v>
      </c>
      <c r="G72" s="2509">
        <f ca="1"/>
        <v>0</v>
      </c>
      <c r="H72" s="2511" t="str">
        <f ca="1"/>
        <v/>
      </c>
      <c r="I72" s="2512">
        <f t="shared" ca="1" si="6"/>
        <v>0</v>
      </c>
    </row>
    <row r="73" spans="1:14" s="62" customFormat="1" ht="14.25" customHeight="1" thickBot="1">
      <c r="B73" s="2515" t="str">
        <v/>
      </c>
      <c r="C73" s="2509">
        <f ca="1"/>
        <v>0</v>
      </c>
      <c r="D73" s="2510">
        <f t="shared" ca="1" si="4"/>
        <v>0</v>
      </c>
      <c r="E73" s="2509">
        <f ca="1"/>
        <v>0</v>
      </c>
      <c r="F73" s="2510">
        <f t="shared" ca="1" si="5"/>
        <v>0</v>
      </c>
      <c r="G73" s="2513">
        <f ca="1"/>
        <v>0</v>
      </c>
      <c r="H73" s="2511" t="str">
        <f ca="1"/>
        <v/>
      </c>
      <c r="I73" s="2512">
        <f t="shared" ca="1" si="6"/>
        <v>0</v>
      </c>
    </row>
    <row r="74" spans="1:14" s="869" customFormat="1" ht="17.25" customHeight="1" thickBot="1">
      <c r="B74" s="2856" t="str">
        <f>$B$48</f>
        <v>Totais</v>
      </c>
      <c r="C74" s="1264">
        <f ca="1">SUM(C66:C73)</f>
        <v>13367.339999999998</v>
      </c>
      <c r="D74" s="1265">
        <f ca="1">SUM(D66:D73)</f>
        <v>1</v>
      </c>
      <c r="E74" s="1266">
        <f ca="1">SUM(E66:E73)</f>
        <v>1871.4275999999998</v>
      </c>
      <c r="F74" s="1267">
        <f ca="1">SUM(F66:F73)</f>
        <v>1</v>
      </c>
      <c r="G74" s="1268">
        <f ca="1">C74-E74</f>
        <v>11495.912399999999</v>
      </c>
      <c r="H74" s="1263">
        <f ca="1">IFERROR(G74/C74,0)</f>
        <v>0.8600000000000001</v>
      </c>
      <c r="I74" s="1269">
        <f ca="1">SUM(I66:I73)</f>
        <v>1</v>
      </c>
    </row>
    <row r="77" spans="1:14" s="62" customFormat="1" ht="23.25" thickBot="1">
      <c r="A77" s="61"/>
      <c r="B77" s="240"/>
      <c r="C77" s="2720" t="str">
        <f>Parametros!E$77</f>
        <v>Ano 3:  2029</v>
      </c>
      <c r="N77" s="239"/>
    </row>
    <row r="78" spans="1:14" s="62" customFormat="1" ht="16.5" customHeight="1" thickBot="1">
      <c r="B78" s="2516" t="str">
        <f t="array" ref="B78:I78">B$39:I$39</f>
        <v>Produtos / Serviços</v>
      </c>
      <c r="C78" s="2517" t="str">
        <v>Vendas</v>
      </c>
      <c r="D78" s="2518" t="str">
        <v>% / Vdas</v>
      </c>
      <c r="E78" s="2517" t="str">
        <v>Custo</v>
      </c>
      <c r="F78" s="2519" t="str">
        <v>% / Ctos</v>
      </c>
      <c r="G78" s="2517" t="str">
        <v>Margem</v>
      </c>
      <c r="H78" s="2518" t="str">
        <v>% de margem</v>
      </c>
      <c r="I78" s="449" t="str">
        <v>% contribução</v>
      </c>
    </row>
    <row r="79" spans="1:14" s="62" customFormat="1" ht="18.75" customHeight="1">
      <c r="B79" s="2514" t="str">
        <f t="array" ref="B79:B86">productos</f>
        <v>produto 1</v>
      </c>
      <c r="C79" s="2505">
        <f t="array" aca="1" ref="C79:C86" ca="1">'Prev.Vendas 3'!N17:N24</f>
        <v>14463.334572</v>
      </c>
      <c r="D79" s="2506">
        <f t="shared" ref="D79:D86" ca="1" si="7">IF($C$87=0,"",C79/$C$87)</f>
        <v>1</v>
      </c>
      <c r="E79" s="2505">
        <f t="array" aca="1" ref="E79:E86" ca="1">+'Distr CV 3'!$N20:N27</f>
        <v>2024.86684008</v>
      </c>
      <c r="F79" s="2506">
        <f t="shared" ref="F79:F86" ca="1" si="8">IF($E$87=0,"",E79/$E$87)</f>
        <v>1</v>
      </c>
      <c r="G79" s="2505">
        <f t="array" aca="1" ref="G79:G86" ca="1">C79:C86-E79:E86</f>
        <v>12438.46773192</v>
      </c>
      <c r="H79" s="2507">
        <f t="array" aca="1" ref="H79:H86" ca="1">IF(C79:C86=0,"",G79:G86/C79:C86)</f>
        <v>0.86</v>
      </c>
      <c r="I79" s="2508">
        <f t="shared" ref="I79:I86" ca="1" si="9">IF($G$87=0,"",G79/$G$87)</f>
        <v>1</v>
      </c>
    </row>
    <row r="80" spans="1:14" s="62" customFormat="1" ht="14.25" customHeight="1">
      <c r="B80" s="2515" t="str">
        <v/>
      </c>
      <c r="C80" s="2509">
        <f ca="1"/>
        <v>0</v>
      </c>
      <c r="D80" s="2510">
        <f t="shared" ca="1" si="7"/>
        <v>0</v>
      </c>
      <c r="E80" s="2509">
        <f ca="1"/>
        <v>0</v>
      </c>
      <c r="F80" s="2510">
        <f t="shared" ca="1" si="8"/>
        <v>0</v>
      </c>
      <c r="G80" s="2509">
        <f ca="1"/>
        <v>0</v>
      </c>
      <c r="H80" s="2511" t="str">
        <f ca="1"/>
        <v/>
      </c>
      <c r="I80" s="2512">
        <f t="shared" ca="1" si="9"/>
        <v>0</v>
      </c>
    </row>
    <row r="81" spans="1:14" s="62" customFormat="1" ht="14.25" customHeight="1">
      <c r="B81" s="2515" t="str">
        <v/>
      </c>
      <c r="C81" s="2509">
        <f ca="1"/>
        <v>0</v>
      </c>
      <c r="D81" s="2510">
        <f t="shared" ca="1" si="7"/>
        <v>0</v>
      </c>
      <c r="E81" s="2509">
        <f ca="1"/>
        <v>0</v>
      </c>
      <c r="F81" s="2510">
        <f t="shared" ca="1" si="8"/>
        <v>0</v>
      </c>
      <c r="G81" s="2509">
        <f ca="1"/>
        <v>0</v>
      </c>
      <c r="H81" s="2511" t="str">
        <f ca="1"/>
        <v/>
      </c>
      <c r="I81" s="2512">
        <f t="shared" ca="1" si="9"/>
        <v>0</v>
      </c>
    </row>
    <row r="82" spans="1:14" s="62" customFormat="1" ht="14.25" customHeight="1">
      <c r="B82" s="2515" t="str">
        <v/>
      </c>
      <c r="C82" s="2509">
        <f ca="1"/>
        <v>0</v>
      </c>
      <c r="D82" s="2510">
        <f t="shared" ca="1" si="7"/>
        <v>0</v>
      </c>
      <c r="E82" s="2509">
        <f ca="1"/>
        <v>0</v>
      </c>
      <c r="F82" s="2510">
        <f t="shared" ca="1" si="8"/>
        <v>0</v>
      </c>
      <c r="G82" s="2509">
        <f ca="1"/>
        <v>0</v>
      </c>
      <c r="H82" s="2511" t="str">
        <f ca="1"/>
        <v/>
      </c>
      <c r="I82" s="2512">
        <f t="shared" ca="1" si="9"/>
        <v>0</v>
      </c>
    </row>
    <row r="83" spans="1:14" s="62" customFormat="1" ht="14.25" customHeight="1">
      <c r="B83" s="2515" t="str">
        <v/>
      </c>
      <c r="C83" s="2509">
        <f ca="1"/>
        <v>0</v>
      </c>
      <c r="D83" s="2510">
        <f t="shared" ca="1" si="7"/>
        <v>0</v>
      </c>
      <c r="E83" s="2509">
        <f ca="1"/>
        <v>0</v>
      </c>
      <c r="F83" s="2510">
        <f t="shared" ca="1" si="8"/>
        <v>0</v>
      </c>
      <c r="G83" s="2509">
        <f ca="1"/>
        <v>0</v>
      </c>
      <c r="H83" s="2511" t="str">
        <f ca="1"/>
        <v/>
      </c>
      <c r="I83" s="2512">
        <f t="shared" ca="1" si="9"/>
        <v>0</v>
      </c>
    </row>
    <row r="84" spans="1:14" s="62" customFormat="1" ht="14.25" customHeight="1">
      <c r="B84" s="2515" t="str">
        <v/>
      </c>
      <c r="C84" s="2509">
        <f ca="1"/>
        <v>0</v>
      </c>
      <c r="D84" s="2510">
        <f t="shared" ca="1" si="7"/>
        <v>0</v>
      </c>
      <c r="E84" s="2509">
        <f ca="1"/>
        <v>0</v>
      </c>
      <c r="F84" s="2510">
        <f t="shared" ca="1" si="8"/>
        <v>0</v>
      </c>
      <c r="G84" s="2509">
        <f ca="1"/>
        <v>0</v>
      </c>
      <c r="H84" s="2511" t="str">
        <f ca="1"/>
        <v/>
      </c>
      <c r="I84" s="2512">
        <f t="shared" ca="1" si="9"/>
        <v>0</v>
      </c>
    </row>
    <row r="85" spans="1:14" s="62" customFormat="1" ht="14.25" customHeight="1">
      <c r="B85" s="2515" t="str">
        <v/>
      </c>
      <c r="C85" s="2509">
        <f ca="1"/>
        <v>0</v>
      </c>
      <c r="D85" s="2510">
        <f t="shared" ca="1" si="7"/>
        <v>0</v>
      </c>
      <c r="E85" s="2509">
        <f ca="1"/>
        <v>0</v>
      </c>
      <c r="F85" s="2510">
        <f t="shared" ca="1" si="8"/>
        <v>0</v>
      </c>
      <c r="G85" s="2509">
        <f ca="1"/>
        <v>0</v>
      </c>
      <c r="H85" s="2511" t="str">
        <f ca="1"/>
        <v/>
      </c>
      <c r="I85" s="2512">
        <f t="shared" ca="1" si="9"/>
        <v>0</v>
      </c>
    </row>
    <row r="86" spans="1:14" s="62" customFormat="1" ht="14.25" customHeight="1" thickBot="1">
      <c r="B86" s="2515" t="str">
        <v/>
      </c>
      <c r="C86" s="2509">
        <f ca="1"/>
        <v>0</v>
      </c>
      <c r="D86" s="2510">
        <f t="shared" ca="1" si="7"/>
        <v>0</v>
      </c>
      <c r="E86" s="2509">
        <f ca="1"/>
        <v>0</v>
      </c>
      <c r="F86" s="2510">
        <f t="shared" ca="1" si="8"/>
        <v>0</v>
      </c>
      <c r="G86" s="2513">
        <f ca="1"/>
        <v>0</v>
      </c>
      <c r="H86" s="2511" t="str">
        <f ca="1"/>
        <v/>
      </c>
      <c r="I86" s="2512">
        <f t="shared" ca="1" si="9"/>
        <v>0</v>
      </c>
    </row>
    <row r="87" spans="1:14" s="869" customFormat="1" ht="17.25" customHeight="1" thickBot="1">
      <c r="B87" s="2856" t="str">
        <f>$B$48</f>
        <v>Totais</v>
      </c>
      <c r="C87" s="1264">
        <f ca="1">SUM(C79:C86)</f>
        <v>14463.334572</v>
      </c>
      <c r="D87" s="1265">
        <f ca="1">SUM(D79:D86)</f>
        <v>1</v>
      </c>
      <c r="E87" s="1266">
        <f ca="1">SUM(E79:E86)</f>
        <v>2024.86684008</v>
      </c>
      <c r="F87" s="1267">
        <f ca="1">SUM(F79:F86)</f>
        <v>1</v>
      </c>
      <c r="G87" s="1268">
        <f ca="1">C87-E87</f>
        <v>12438.46773192</v>
      </c>
      <c r="H87" s="1263">
        <f ca="1">IFERROR(G87/C87,0)</f>
        <v>0.86</v>
      </c>
      <c r="I87" s="1269">
        <f ca="1">SUM(I79:I86)</f>
        <v>1</v>
      </c>
    </row>
    <row r="90" spans="1:14" s="62" customFormat="1" ht="23.25" thickBot="1">
      <c r="A90" s="61"/>
      <c r="B90" s="240"/>
      <c r="C90" s="2720" t="str">
        <f>Parametros!F$77</f>
        <v>Ano 4:  2030</v>
      </c>
      <c r="N90" s="239"/>
    </row>
    <row r="91" spans="1:14" s="62" customFormat="1" ht="16.5" customHeight="1" thickBot="1">
      <c r="B91" s="2516" t="str">
        <f t="array" ref="B91:I91">B$39:I$39</f>
        <v>Produtos / Serviços</v>
      </c>
      <c r="C91" s="2517" t="str">
        <v>Vendas</v>
      </c>
      <c r="D91" s="2518" t="str">
        <v>% / Vdas</v>
      </c>
      <c r="E91" s="2517" t="str">
        <v>Custo</v>
      </c>
      <c r="F91" s="2519" t="str">
        <v>% / Ctos</v>
      </c>
      <c r="G91" s="2517" t="str">
        <v>Margem</v>
      </c>
      <c r="H91" s="2518" t="str">
        <v>% de margem</v>
      </c>
      <c r="I91" s="449" t="str">
        <v>% contribução</v>
      </c>
    </row>
    <row r="92" spans="1:14" s="62" customFormat="1" ht="18.75" customHeight="1">
      <c r="B92" s="2514" t="str">
        <f t="array" ref="B92:B99">productos</f>
        <v>produto 1</v>
      </c>
      <c r="C92" s="2505">
        <f t="array" aca="1" ref="C92:C99" ca="1">'Prev.Vendas 4'!N17:N24</f>
        <v>15640.070423759998</v>
      </c>
      <c r="D92" s="2506">
        <f t="shared" ref="D92:D99" ca="1" si="10">IF($C$100=0,"",C92/$C$100)</f>
        <v>1</v>
      </c>
      <c r="E92" s="2505">
        <f t="array" aca="1" ref="E92:E99" ca="1">'Distr CV 4'!$N20:N27</f>
        <v>2189.6098593264005</v>
      </c>
      <c r="F92" s="2506">
        <f t="shared" ref="F92:F99" ca="1" si="11">IF($E$100=0,"",E92/$E$100)</f>
        <v>1</v>
      </c>
      <c r="G92" s="2505">
        <f t="array" aca="1" ref="G92:G99" ca="1">C92:C99-E92:E99</f>
        <v>13450.460564433597</v>
      </c>
      <c r="H92" s="2507">
        <f t="array" aca="1" ref="H92:H99" ca="1">IF(C92:C99=0,"",G92:G99/C92:C99)</f>
        <v>0.85999999999999988</v>
      </c>
      <c r="I92" s="2508">
        <f t="shared" ref="I92:I99" ca="1" si="12">IF($G$100=0,"",G92/$G$100)</f>
        <v>1</v>
      </c>
    </row>
    <row r="93" spans="1:14" s="62" customFormat="1" ht="14.25" customHeight="1">
      <c r="B93" s="2515" t="str">
        <v/>
      </c>
      <c r="C93" s="2509">
        <f ca="1"/>
        <v>0</v>
      </c>
      <c r="D93" s="2510">
        <f t="shared" ca="1" si="10"/>
        <v>0</v>
      </c>
      <c r="E93" s="2509">
        <f ca="1"/>
        <v>0</v>
      </c>
      <c r="F93" s="2510">
        <f t="shared" ca="1" si="11"/>
        <v>0</v>
      </c>
      <c r="G93" s="2509">
        <f ca="1"/>
        <v>0</v>
      </c>
      <c r="H93" s="2511" t="str">
        <f ca="1"/>
        <v/>
      </c>
      <c r="I93" s="2512">
        <f t="shared" ca="1" si="12"/>
        <v>0</v>
      </c>
    </row>
    <row r="94" spans="1:14" s="62" customFormat="1" ht="14.25" customHeight="1">
      <c r="B94" s="2515" t="str">
        <v/>
      </c>
      <c r="C94" s="2509">
        <f ca="1"/>
        <v>0</v>
      </c>
      <c r="D94" s="2510">
        <f t="shared" ca="1" si="10"/>
        <v>0</v>
      </c>
      <c r="E94" s="2509">
        <f ca="1"/>
        <v>0</v>
      </c>
      <c r="F94" s="2510">
        <f t="shared" ca="1" si="11"/>
        <v>0</v>
      </c>
      <c r="G94" s="2509">
        <f ca="1"/>
        <v>0</v>
      </c>
      <c r="H94" s="2511" t="str">
        <f ca="1"/>
        <v/>
      </c>
      <c r="I94" s="2512">
        <f t="shared" ca="1" si="12"/>
        <v>0</v>
      </c>
    </row>
    <row r="95" spans="1:14" s="62" customFormat="1" ht="14.25" customHeight="1">
      <c r="B95" s="2515" t="str">
        <v/>
      </c>
      <c r="C95" s="2509">
        <f ca="1"/>
        <v>0</v>
      </c>
      <c r="D95" s="2510">
        <f t="shared" ca="1" si="10"/>
        <v>0</v>
      </c>
      <c r="E95" s="2509">
        <f ca="1"/>
        <v>0</v>
      </c>
      <c r="F95" s="2510">
        <f t="shared" ca="1" si="11"/>
        <v>0</v>
      </c>
      <c r="G95" s="2509">
        <f ca="1"/>
        <v>0</v>
      </c>
      <c r="H95" s="2511" t="str">
        <f ca="1"/>
        <v/>
      </c>
      <c r="I95" s="2512">
        <f t="shared" ca="1" si="12"/>
        <v>0</v>
      </c>
    </row>
    <row r="96" spans="1:14" s="62" customFormat="1" ht="14.25" customHeight="1">
      <c r="B96" s="2515" t="str">
        <v/>
      </c>
      <c r="C96" s="2509">
        <f ca="1"/>
        <v>0</v>
      </c>
      <c r="D96" s="2510">
        <f t="shared" ca="1" si="10"/>
        <v>0</v>
      </c>
      <c r="E96" s="2509">
        <f ca="1"/>
        <v>0</v>
      </c>
      <c r="F96" s="2510">
        <f t="shared" ca="1" si="11"/>
        <v>0</v>
      </c>
      <c r="G96" s="2509">
        <f ca="1"/>
        <v>0</v>
      </c>
      <c r="H96" s="2511" t="str">
        <f ca="1"/>
        <v/>
      </c>
      <c r="I96" s="2512">
        <f t="shared" ca="1" si="12"/>
        <v>0</v>
      </c>
    </row>
    <row r="97" spans="2:9" s="62" customFormat="1" ht="14.25" customHeight="1">
      <c r="B97" s="2515" t="str">
        <v/>
      </c>
      <c r="C97" s="2509">
        <f ca="1"/>
        <v>0</v>
      </c>
      <c r="D97" s="2510">
        <f t="shared" ca="1" si="10"/>
        <v>0</v>
      </c>
      <c r="E97" s="2509">
        <f ca="1"/>
        <v>0</v>
      </c>
      <c r="F97" s="2510">
        <f t="shared" ca="1" si="11"/>
        <v>0</v>
      </c>
      <c r="G97" s="2509">
        <f ca="1"/>
        <v>0</v>
      </c>
      <c r="H97" s="2511" t="str">
        <f ca="1"/>
        <v/>
      </c>
      <c r="I97" s="2512">
        <f t="shared" ca="1" si="12"/>
        <v>0</v>
      </c>
    </row>
    <row r="98" spans="2:9" s="62" customFormat="1" ht="14.25" customHeight="1">
      <c r="B98" s="2515" t="str">
        <v/>
      </c>
      <c r="C98" s="2509">
        <f ca="1"/>
        <v>0</v>
      </c>
      <c r="D98" s="2510">
        <f t="shared" ca="1" si="10"/>
        <v>0</v>
      </c>
      <c r="E98" s="2509">
        <f ca="1"/>
        <v>0</v>
      </c>
      <c r="F98" s="2510">
        <f t="shared" ca="1" si="11"/>
        <v>0</v>
      </c>
      <c r="G98" s="2509">
        <f ca="1"/>
        <v>0</v>
      </c>
      <c r="H98" s="2511" t="str">
        <f ca="1"/>
        <v/>
      </c>
      <c r="I98" s="2512">
        <f t="shared" ca="1" si="12"/>
        <v>0</v>
      </c>
    </row>
    <row r="99" spans="2:9" s="62" customFormat="1" ht="14.25" customHeight="1" thickBot="1">
      <c r="B99" s="2515" t="str">
        <v/>
      </c>
      <c r="C99" s="2509">
        <f ca="1"/>
        <v>0</v>
      </c>
      <c r="D99" s="2510">
        <f t="shared" ca="1" si="10"/>
        <v>0</v>
      </c>
      <c r="E99" s="2509">
        <f ca="1"/>
        <v>0</v>
      </c>
      <c r="F99" s="2510">
        <f t="shared" ca="1" si="11"/>
        <v>0</v>
      </c>
      <c r="G99" s="2513">
        <f ca="1"/>
        <v>0</v>
      </c>
      <c r="H99" s="2511" t="str">
        <f ca="1"/>
        <v/>
      </c>
      <c r="I99" s="2512">
        <f t="shared" ca="1" si="12"/>
        <v>0</v>
      </c>
    </row>
    <row r="100" spans="2:9" s="869" customFormat="1" ht="17.25" customHeight="1" thickBot="1">
      <c r="B100" s="2856" t="str">
        <f>$B$48</f>
        <v>Totais</v>
      </c>
      <c r="C100" s="1264">
        <f ca="1">SUM(C92:C99)</f>
        <v>15640.070423759998</v>
      </c>
      <c r="D100" s="1265">
        <f ca="1">SUM(D92:D99)</f>
        <v>1</v>
      </c>
      <c r="E100" s="1266">
        <f ca="1">SUM(E92:E99)</f>
        <v>2189.6098593264005</v>
      </c>
      <c r="F100" s="1267">
        <f ca="1">SUM(F92:F99)</f>
        <v>1</v>
      </c>
      <c r="G100" s="1268">
        <f ca="1">C100-E100</f>
        <v>13450.460564433597</v>
      </c>
      <c r="H100" s="1263">
        <f ca="1">IFERROR(G100/C100,0)</f>
        <v>0.85999999999999988</v>
      </c>
      <c r="I100" s="1269">
        <f ca="1">SUM(I92:I99)</f>
        <v>1</v>
      </c>
    </row>
  </sheetData>
  <sheetProtection sheet="1" objects="1" scenarios="1"/>
  <phoneticPr fontId="4" type="noConversion"/>
  <conditionalFormatting sqref="B35:H35">
    <cfRule type="expression" dxfId="5" priority="1" stopIfTrue="1">
      <formula>$I$35&gt;0</formula>
    </cfRule>
  </conditionalFormatting>
  <printOptions horizontalCentered="1"/>
  <pageMargins left="0.75" right="0.75" top="1" bottom="1" header="0" footer="0"/>
  <pageSetup paperSize="9" scale="75" fitToHeight="2" orientation="landscape" horizontalDpi="300" verticalDpi="300" r:id="rId1"/>
  <headerFooter alignWithMargins="0"/>
  <rowBreaks count="1" manualBreakCount="1">
    <brk id="33" min="1" max="8"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34">
    <pageSetUpPr fitToPage="1"/>
  </sheetPr>
  <dimension ref="A1:AU70"/>
  <sheetViews>
    <sheetView workbookViewId="0"/>
  </sheetViews>
  <sheetFormatPr baseColWidth="10" defaultColWidth="11" defaultRowHeight="15"/>
  <cols>
    <col min="1" max="1" width="41.625" style="36" customWidth="1"/>
    <col min="2" max="2" width="61.5" style="36" customWidth="1"/>
    <col min="3" max="3" width="13.75" style="36" customWidth="1"/>
    <col min="4" max="4" width="11.875" style="36" customWidth="1"/>
    <col min="5" max="7" width="11.125" style="36" customWidth="1"/>
    <col min="8" max="9" width="11" style="36"/>
    <col min="10" max="11" width="13" style="36" bestFit="1" customWidth="1"/>
    <col min="12" max="15" width="11" style="36"/>
    <col min="16" max="16" width="11.375" style="36" bestFit="1" customWidth="1"/>
    <col min="17" max="19" width="11.75" style="36" customWidth="1"/>
    <col min="20" max="20" width="11.5" style="36" bestFit="1" customWidth="1"/>
    <col min="21" max="21" width="11.375" style="36" bestFit="1" customWidth="1"/>
    <col min="22" max="22" width="11.5" style="36" bestFit="1" customWidth="1"/>
    <col min="23" max="39" width="11.375" style="36" bestFit="1" customWidth="1"/>
    <col min="40" max="46" width="11.125" style="36" bestFit="1" customWidth="1"/>
    <col min="47" max="16384" width="11" style="36"/>
  </cols>
  <sheetData>
    <row r="1" spans="1:7" ht="25.5">
      <c r="A1" s="572" t="s">
        <v>9</v>
      </c>
      <c r="B1" s="640"/>
      <c r="C1" s="641"/>
      <c r="D1" s="641"/>
      <c r="E1" s="220"/>
      <c r="F1" s="220"/>
      <c r="G1" s="220"/>
    </row>
    <row r="2" spans="1:7" ht="26.25" thickBot="1">
      <c r="A2" s="572" t="str">
        <f>'Dados Básicos'!B9</f>
        <v>WWW, S.L.</v>
      </c>
      <c r="B2" s="61"/>
      <c r="C2" s="642"/>
      <c r="D2" s="642"/>
      <c r="E2" s="643"/>
      <c r="F2" s="643"/>
      <c r="G2" s="643"/>
    </row>
    <row r="3" spans="1:7" ht="15.75" thickBot="1">
      <c r="A3" s="1448" t="s">
        <v>958</v>
      </c>
      <c r="B3" s="1449" t="s">
        <v>10</v>
      </c>
      <c r="C3" s="1449" t="str">
        <f>CONCATENATE(Parametros!D62,IF(mes0=1,"","  (*)"))</f>
        <v>Ano 0</v>
      </c>
      <c r="D3" s="2721">
        <f t="array" ref="D3:G3">Parametros!F62:I62</f>
        <v>2</v>
      </c>
      <c r="E3" s="2722">
        <v>3</v>
      </c>
      <c r="F3" s="2721">
        <v>4</v>
      </c>
      <c r="G3" s="2723">
        <v>5</v>
      </c>
    </row>
    <row r="4" spans="1:7" ht="17.25" customHeight="1">
      <c r="A4" s="1286" t="s">
        <v>959</v>
      </c>
      <c r="B4" s="1273" t="s">
        <v>960</v>
      </c>
      <c r="C4" s="1726">
        <f ca="1">IF('Balanços anuais'!F26=0,"N/D",'IRC Coletivas'!B24/'Balanços anuais'!F26)</f>
        <v>1.3003263893647159</v>
      </c>
      <c r="D4" s="1727">
        <f ca="1">'IRC Coletivas'!D24/'Balanços anuais'!H26</f>
        <v>0.50344053475704398</v>
      </c>
      <c r="E4" s="1728">
        <f ca="1">'IRC Coletivas'!G24/'Balanços anuais'!J26</f>
        <v>0.33596005785834893</v>
      </c>
      <c r="F4" s="1729">
        <f ca="1">'IRC Coletivas'!J24/'Balanços anuais'!L26</f>
        <v>0.25132794925782842</v>
      </c>
      <c r="G4" s="1730">
        <f ca="1">'IRC Coletivas'!M24/'Balanços anuais'!N26</f>
        <v>0.20030544139158651</v>
      </c>
    </row>
    <row r="5" spans="1:7">
      <c r="A5" s="1286" t="s">
        <v>11</v>
      </c>
      <c r="B5" s="1273"/>
      <c r="C5" s="1317"/>
      <c r="D5" s="1318"/>
      <c r="E5" s="1319"/>
      <c r="F5" s="1318"/>
      <c r="G5" s="1320"/>
    </row>
    <row r="6" spans="1:7" ht="17.25" customHeight="1">
      <c r="A6" s="1287" t="s">
        <v>1173</v>
      </c>
      <c r="B6" s="1274" t="s">
        <v>992</v>
      </c>
      <c r="C6" s="1731">
        <f ca="1">IF('Balanços anuais'!F24=0,"N/D",'PPeGG anuais'!B29/'Balanços anuais'!F24)</f>
        <v>1.3869833619297485</v>
      </c>
      <c r="D6" s="1732">
        <f ca="1">'PPeGG anuais'!D29/'Balanços anuais'!H24</f>
        <v>0.52109695637951092</v>
      </c>
      <c r="E6" s="1733">
        <f ca="1">'PPeGG anuais'!G29/'Balanços anuais'!J24</f>
        <v>0.34434001440965606</v>
      </c>
      <c r="F6" s="1734">
        <f ca="1">'PPeGG anuais'!J29/'Balanços anuais'!L24</f>
        <v>0.25638277522245012</v>
      </c>
      <c r="G6" s="1735">
        <f ca="1">'PPeGG anuais'!M29/'Balanços anuais'!N24</f>
        <v>0.20378015617731698</v>
      </c>
    </row>
    <row r="7" spans="1:7">
      <c r="A7" s="1288" t="s">
        <v>12</v>
      </c>
      <c r="B7" s="1275"/>
      <c r="C7" s="1321"/>
      <c r="D7" s="1322"/>
      <c r="E7" s="1323"/>
      <c r="F7" s="1322"/>
      <c r="G7" s="1324"/>
    </row>
    <row r="8" spans="1:7" ht="17.25" customHeight="1">
      <c r="A8" s="1286" t="s">
        <v>961</v>
      </c>
      <c r="B8" s="1273" t="s">
        <v>993</v>
      </c>
      <c r="C8" s="1736">
        <f ca="1">IF('PyG 0'!$N5=0,"N/D",'IRC Coletivas'!B24/'PyG 0'!$N5)</f>
        <v>-1.4041492424242428</v>
      </c>
      <c r="D8" s="1732">
        <f ca="1">IF('PyG 1'!$N5=0,"N/D",'IRC Coletivas'!D24/'PyG 1'!$N5)</f>
        <v>-0.63775200794351283</v>
      </c>
      <c r="E8" s="1733">
        <f ca="1">IF('PyG 2'!$N5=0,"N/D",'IRC Coletivas'!G24/'PyG 2'!$N5)</f>
        <v>-0.59261218249105674</v>
      </c>
      <c r="F8" s="1734">
        <f ca="1">IF('PyG 3'!$N5=0,"N/D",'IRC Coletivas'!J24/'PyG 4'!$N5)</f>
        <v>-0.50610238644409855</v>
      </c>
      <c r="G8" s="1735">
        <f ca="1">IF('PyG 4'!$N5=0,"N/D",'IRC Coletivas'!M24/'PyG 4'!$N5)</f>
        <v>-0.50438969364439357</v>
      </c>
    </row>
    <row r="9" spans="1:7">
      <c r="A9" s="1286" t="s">
        <v>13</v>
      </c>
      <c r="B9" s="1273"/>
      <c r="C9" s="1321"/>
      <c r="D9" s="1322"/>
      <c r="E9" s="1323"/>
      <c r="F9" s="1322"/>
      <c r="G9" s="1324"/>
    </row>
    <row r="10" spans="1:7" s="49" customFormat="1" ht="30.75" customHeight="1">
      <c r="A10" s="3130" t="s">
        <v>1261</v>
      </c>
      <c r="B10" s="1271" t="s">
        <v>1262</v>
      </c>
      <c r="C10" s="3131">
        <f ca="1">IF('Balanços anuais'!F44=0,"N/D",'PPeGG anuais'!B23/'Balanços anuais'!F44)</f>
        <v>1.2891210638651638</v>
      </c>
      <c r="D10" s="3132">
        <f ca="1">IF('Balanços anuais'!H44=0,"N/D",'PPeGG anuais'!D23/'Balanços anuais'!H44)</f>
        <v>0.49388881183859573</v>
      </c>
      <c r="E10" s="3133">
        <f ca="1">IF('Balanços anuais'!J44=0,"N/D",'PPeGG anuais'!G23/'Balanços anuais'!J44)</f>
        <v>0.32910040019319892</v>
      </c>
      <c r="F10" s="3134">
        <f ca="1">IF('Balanços anuais'!L44=0,"N/D",'PPeGG anuais'!J23/'Balanços anuais'!L44)</f>
        <v>0.24577124221140359</v>
      </c>
      <c r="G10" s="3135">
        <f ca="1">IF('Balanços anuais'!N44=0,"N/D",'PPeGG anuais'!M23/'Balanços anuais'!N44)</f>
        <v>0.19550023646496301</v>
      </c>
    </row>
    <row r="11" spans="1:7" ht="23.25" customHeight="1">
      <c r="A11" s="1282" t="s">
        <v>1260</v>
      </c>
      <c r="B11" s="1982" t="s">
        <v>995</v>
      </c>
      <c r="C11" s="1977">
        <f t="array" aca="1" ref="C11:G11" ca="1">'P. Equilíbrio'!D20:H20</f>
        <v>0.86</v>
      </c>
      <c r="D11" s="1978">
        <f ca="1"/>
        <v>0.86</v>
      </c>
      <c r="E11" s="1979">
        <f ca="1"/>
        <v>0.8600000000000001</v>
      </c>
      <c r="F11" s="1980">
        <f ca="1"/>
        <v>0.86</v>
      </c>
      <c r="G11" s="1981">
        <f ca="1"/>
        <v>0.85999999999999988</v>
      </c>
    </row>
    <row r="12" spans="1:7" ht="33" customHeight="1" thickBot="1">
      <c r="A12" s="1282" t="s">
        <v>997</v>
      </c>
      <c r="B12" s="1982" t="s">
        <v>996</v>
      </c>
      <c r="C12" s="2521">
        <f ca="1">1+'PPeGG anuais'!B23/'PPeGG anuais'!B18</f>
        <v>0.38187442077165412</v>
      </c>
      <c r="D12" s="1978">
        <f ca="1">1+'PPeGG anuais'!D23/'PPeGG anuais'!D18</f>
        <v>0.57887041878026313</v>
      </c>
      <c r="E12" s="1979">
        <f ca="1">1+'PPeGG anuais'!G23/'PPeGG anuais'!G18</f>
        <v>0.59700987638494984</v>
      </c>
      <c r="F12" s="1980">
        <f ca="1">1+'PPeGG anuais'!J23/'PPeGG anuais'!J18</f>
        <v>0.6164084312395125</v>
      </c>
      <c r="G12" s="1981">
        <f ca="1">1+'PPeGG anuais'!M23/'PPeGG anuais'!M18</f>
        <v>0.63595840746394883</v>
      </c>
    </row>
    <row r="13" spans="1:7" ht="15.75" thickBot="1">
      <c r="A13" s="1448" t="s">
        <v>962</v>
      </c>
      <c r="B13" s="1449" t="s">
        <v>10</v>
      </c>
      <c r="C13" s="1449" t="str">
        <f t="array" ref="C13:G13">C$3:G$3</f>
        <v>Ano 0</v>
      </c>
      <c r="D13" s="2721">
        <v>2</v>
      </c>
      <c r="E13" s="2722">
        <v>3</v>
      </c>
      <c r="F13" s="2721">
        <v>4</v>
      </c>
      <c r="G13" s="2723">
        <v>5</v>
      </c>
    </row>
    <row r="14" spans="1:7" s="49" customFormat="1" ht="24.75" customHeight="1">
      <c r="A14" s="1283" t="s">
        <v>966</v>
      </c>
      <c r="B14" s="1270" t="s">
        <v>970</v>
      </c>
      <c r="C14" s="1302">
        <f ca="1">IF('Balanços anuais'!F24=0,"N/D",'PyG 0'!$N$5/'Balanços anuais'!F24)</f>
        <v>-0.98777488889652676</v>
      </c>
      <c r="D14" s="1303">
        <f ca="1">'PyG 1'!$N$5/'Balanços anuais'!H24</f>
        <v>-0.81708399172247803</v>
      </c>
      <c r="E14" s="1304">
        <f ca="1">'PyG 2'!$N$5/'Balanços anuais'!J24</f>
        <v>-0.58105456584138415</v>
      </c>
      <c r="F14" s="1305">
        <f ca="1">'PyG 3'!$N$5/'Balanços anuais'!L24</f>
        <v>-0.46846827710404776</v>
      </c>
      <c r="G14" s="1306">
        <f ca="1">'PyG 4'!$N$5/'Balanços anuais'!N24</f>
        <v>-0.40401332292286429</v>
      </c>
    </row>
    <row r="15" spans="1:7" s="49" customFormat="1" ht="24.75" customHeight="1">
      <c r="A15" s="1284" t="s">
        <v>967</v>
      </c>
      <c r="B15" s="1271" t="s">
        <v>971</v>
      </c>
      <c r="C15" s="1307">
        <f ca="1">'PyG 0'!$N$5/'Balanços anuais'!F13</f>
        <v>-0.98777488889652676</v>
      </c>
      <c r="D15" s="1308">
        <f ca="1">'PyG 1'!$N$5/'Balanços anuais'!H13</f>
        <v>-0.81708399172247803</v>
      </c>
      <c r="E15" s="1309">
        <f ca="1">'PyG 2'!$N$5/'Balanços anuais'!J13</f>
        <v>-0.58105456584138415</v>
      </c>
      <c r="F15" s="1310">
        <f ca="1">'PyG 3'!$N$5/'Balanços anuais'!L13</f>
        <v>-0.46846827710404776</v>
      </c>
      <c r="G15" s="1311">
        <f ca="1">'PyG 4'!$N$5/'Balanços anuais'!N13</f>
        <v>-0.40401332292286429</v>
      </c>
    </row>
    <row r="16" spans="1:7" s="49" customFormat="1" ht="24.75" customHeight="1" thickBot="1">
      <c r="A16" s="1283" t="s">
        <v>968</v>
      </c>
      <c r="B16" s="1270" t="s">
        <v>972</v>
      </c>
      <c r="C16" s="1312" t="str">
        <f ca="1">IF('Balanços anuais'!F15=0,"N/D",'PyG 0'!$N$5/'Balanços anuais'!F15)</f>
        <v>N/D</v>
      </c>
      <c r="D16" s="1313" t="str">
        <f ca="1">IF('Balanços anuais'!H15=0,"N/D",'PyG 1'!$N$5/'Balanços anuais'!H15)</f>
        <v>N/D</v>
      </c>
      <c r="E16" s="1314" t="str">
        <f ca="1">IF('Balanços anuais'!J15=0,"N/D",'PyG 2'!$N$5/'Balanços anuais'!J15)</f>
        <v>N/D</v>
      </c>
      <c r="F16" s="1315" t="str">
        <f ca="1">IF('Balanços anuais'!L15=0,"N/D",'PyG 3'!$N$5/'Balanços anuais'!L15)</f>
        <v>N/D</v>
      </c>
      <c r="G16" s="1316" t="str">
        <f ca="1">IF('Balanços anuais'!N15=0,"N/D",'PyG 4'!$N$5/'Balanços anuais'!N15)</f>
        <v>N/D</v>
      </c>
    </row>
    <row r="17" spans="1:7" ht="15.75" thickBot="1">
      <c r="A17" s="1448" t="s">
        <v>963</v>
      </c>
      <c r="B17" s="1449" t="s">
        <v>10</v>
      </c>
      <c r="C17" s="1449" t="str">
        <f t="array" ref="C17:G17">C$3:G$3</f>
        <v>Ano 0</v>
      </c>
      <c r="D17" s="2721">
        <v>2</v>
      </c>
      <c r="E17" s="2722">
        <v>3</v>
      </c>
      <c r="F17" s="2721">
        <v>4</v>
      </c>
      <c r="G17" s="2723">
        <v>5</v>
      </c>
    </row>
    <row r="18" spans="1:7" s="49" customFormat="1" ht="24.75" customHeight="1">
      <c r="A18" s="1283" t="s">
        <v>14</v>
      </c>
      <c r="B18" s="1270" t="s">
        <v>975</v>
      </c>
      <c r="C18" s="1290">
        <f ca="1">IF('Balanços anuais'!F37&lt;&gt;0,('Balanços anuais'!F13-'Balanços anuais'!F21)/'Balanços anuais'!F37,"N/D")</f>
        <v>-15.005444465404855</v>
      </c>
      <c r="D18" s="1291">
        <f ca="1">IF('Balanços anuais'!H37&lt;&gt;0,('Balanços anuais'!H13-'Balanços anuais'!H21)/'Balanços anuais'!H37,"N/D")</f>
        <v>-28.513169062322145</v>
      </c>
      <c r="E18" s="1292">
        <f ca="1">IF('Balanços anuais'!J37&lt;&gt;0,('Balanços anuais'!J13-'Balanços anuais'!J21)/'Balanços anuais'!J37,"N/D")</f>
        <v>-40.090906892105593</v>
      </c>
      <c r="F18" s="1291">
        <f ca="1">IF('Balanços anuais'!L37&lt;&gt;0,('Balanços anuais'!L13-'Balanços anuais'!L21)/'Balanços anuais'!L37,"N/D")</f>
        <v>-49.720396115880916</v>
      </c>
      <c r="G18" s="1293">
        <f ca="1">IF('Balanços anuais'!N37&lt;&gt;0,('Balanços anuais'!N13-'Balanços anuais'!N21)/'Balanços anuais'!N37,"N/D")</f>
        <v>-57.646585041793067</v>
      </c>
    </row>
    <row r="19" spans="1:7" s="49" customFormat="1" ht="24.75" customHeight="1">
      <c r="A19" s="1284" t="s">
        <v>964</v>
      </c>
      <c r="B19" s="1271" t="s">
        <v>976</v>
      </c>
      <c r="C19" s="1294">
        <f ca="1">IF('Balanços anuais'!F37&lt;&gt;0,('Balanços anuais'!F13)/'Balanços anuais'!F37,"N/D")</f>
        <v>-15.005444465404855</v>
      </c>
      <c r="D19" s="1295">
        <f ca="1">IF('Balanços anuais'!H37&lt;&gt;0,('Balanços anuais'!H13)/'Balanços anuais'!H37,"N/D")</f>
        <v>-28.513169062322145</v>
      </c>
      <c r="E19" s="1296">
        <f ca="1">IF('Balanços anuais'!J37&lt;&gt;0,('Balanços anuais'!J13-'Balanços anuais'!J23)/'Balanços anuais'!J37,"N/D")</f>
        <v>-40.090906892105593</v>
      </c>
      <c r="F19" s="1295">
        <f ca="1">IF('Balanços anuais'!L37&lt;&gt;0,('Balanços anuais'!L13-'Balanços anuais'!L23)/'Balanços anuais'!L37,"N/D")</f>
        <v>-49.720396115880916</v>
      </c>
      <c r="G19" s="1297">
        <f ca="1">IF('Balanços anuais'!N37&lt;&gt;0,('Balanços anuais'!N13-'Balanços anuais'!N23)/'Balanços anuais'!N37,"N/D")</f>
        <v>-57.646585041793067</v>
      </c>
    </row>
    <row r="20" spans="1:7" s="49" customFormat="1" ht="24.75" customHeight="1">
      <c r="A20" s="1284" t="s">
        <v>999</v>
      </c>
      <c r="B20" s="1271" t="s">
        <v>977</v>
      </c>
      <c r="C20" s="1294">
        <f ca="1">'Balanços anuais'!F45/'Balanços anuais'!F26</f>
        <v>-6.2478739791416688E-2</v>
      </c>
      <c r="D20" s="1295">
        <f ca="1">'Balanços anuais'!H45/'Balanços anuais'!H26</f>
        <v>-3.3883179332193286E-2</v>
      </c>
      <c r="E20" s="1296">
        <f ca="1">'Balanços anuais'!J45/'Balanços anuais'!J26</f>
        <v>-2.4336284488092445E-2</v>
      </c>
      <c r="F20" s="1295">
        <f ca="1">'Balanços anuais'!L45/'Balanços anuais'!L26</f>
        <v>-1.971593434947352E-2</v>
      </c>
      <c r="G20" s="1297">
        <f ca="1">'Balanços anuais'!N45/'Balanços anuais'!N26</f>
        <v>-1.7051291209665052E-2</v>
      </c>
    </row>
    <row r="21" spans="1:7" s="49" customFormat="1" ht="24.75" customHeight="1">
      <c r="A21" s="1282" t="s">
        <v>998</v>
      </c>
      <c r="B21" s="1271" t="s">
        <v>974</v>
      </c>
      <c r="C21" s="1294">
        <f ca="1">'PPeGG anuais'!B29/'PPeGG anuais'!B23*'Balanços anuais'!F24/'Balanços anuais'!F26</f>
        <v>0.94567040242482336</v>
      </c>
      <c r="D21" s="1295">
        <f ca="1">'PPeGG anuais'!D29/'PPeGG anuais'!D23*'Balanços anuais'!H24/'Balanços anuais'!H26</f>
        <v>0.98480135037707006</v>
      </c>
      <c r="E21" s="1296">
        <f ca="1">'PPeGG anuais'!G29/'PPeGG anuais'!G23*'Balanços anuais'!J24/'Balanços anuais'!J26</f>
        <v>0.99600012069643817</v>
      </c>
      <c r="F21" s="1295">
        <f ca="1">'PPeGG anuais'!J29/'PPeGG anuais'!J23*'Balanços anuais'!L24/'Balanços anuais'!L26</f>
        <v>1.0024475674747668</v>
      </c>
      <c r="G21" s="1297">
        <f ca="1">'PPeGG anuais'!M29/'PPeGG anuais'!M23*'Balanços anuais'!N24/'Balanços anuais'!N26</f>
        <v>1.007108628305031</v>
      </c>
    </row>
    <row r="22" spans="1:7" s="49" customFormat="1" ht="24.75" customHeight="1">
      <c r="A22" s="1284" t="s">
        <v>990</v>
      </c>
      <c r="B22" s="1272" t="s">
        <v>978</v>
      </c>
      <c r="C22" s="1298" t="str">
        <f ca="1">IFERROR('Balanços anuais'!F44/'Balanços anuais'!F5,"N/D")</f>
        <v>N/D</v>
      </c>
      <c r="D22" s="1299" t="str">
        <f ca="1">IFERROR('Balanços anuais'!H44/'Balanços anuais'!H5,"N/D")</f>
        <v>N/D</v>
      </c>
      <c r="E22" s="1300" t="str">
        <f ca="1">IFERROR('Balanços anuais'!J44/'Balanços anuais'!J5,"N/D")</f>
        <v>N/D</v>
      </c>
      <c r="F22" s="1299" t="str">
        <f ca="1">IFERROR('Balanços anuais'!L44/'Balanços anuais'!L5,"N/D")</f>
        <v>N/D</v>
      </c>
      <c r="G22" s="1301" t="str">
        <f ca="1">IFERROR('Balanços anuais'!N44/'Balanços anuais'!N5,"N/D")</f>
        <v>N/D</v>
      </c>
    </row>
    <row r="23" spans="1:7" s="49" customFormat="1" ht="24.75" customHeight="1">
      <c r="A23" s="1283" t="s">
        <v>1000</v>
      </c>
      <c r="B23" s="1270" t="s">
        <v>973</v>
      </c>
      <c r="C23" s="1294">
        <f ca="1">IFERROR(('Balanços anuais'!D16+'Balanços anuais'!F16)/2/('PPeGG anuais'!B5+'IVA 0'!O19)*365,"N/D")</f>
        <v>0</v>
      </c>
      <c r="D23" s="1295">
        <f ca="1">IFERROR(('Balanços anuais'!F16+'Balanços anuais'!H16)/2/('PPeGG anuais'!D5+'IVA 1'!O19)*365,"N/D")</f>
        <v>0</v>
      </c>
      <c r="E23" s="1296">
        <f ca="1">IFERROR(('Balanços anuais'!H16+'Balanços anuais'!J16)/2/('PPeGG anuais'!G5+'IVA 2'!O19)*365,"N/D")</f>
        <v>0</v>
      </c>
      <c r="F23" s="1295">
        <f ca="1">IFERROR(('Balanços anuais'!J16+'Balanços anuais'!L16)/2/('PPeGG anuais'!J5+'IVA 3'!O19)*365,"N/D")</f>
        <v>0</v>
      </c>
      <c r="G23" s="1297">
        <f ca="1">IFERROR(('Balanços anuais'!L16+'Balanços anuais'!N16)/2/('PPeGG anuais'!M5+'IVA 4'!O19)*365,"N/D")</f>
        <v>0</v>
      </c>
    </row>
    <row r="24" spans="1:7" s="49" customFormat="1" ht="24.75" customHeight="1">
      <c r="A24" s="1282" t="s">
        <v>1001</v>
      </c>
      <c r="B24" s="1271" t="s">
        <v>979</v>
      </c>
      <c r="C24" s="1294">
        <f ca="1">IF('PPeGG anuais'!B9=0,"N/D",('Balanços anuais'!D40+'Balanços anuais'!F40)/2/('PPeGG anuais'!B9+'IVA 0'!O5)*365)</f>
        <v>0</v>
      </c>
      <c r="D24" s="1295">
        <f ca="1">IF('PPeGG anuais'!D9=0,"N/D",('Balanços anuais'!F40+'Balanços anuais'!H40)/2/('PPeGG anuais'!D9+'IVA 1'!O5)*365)</f>
        <v>0</v>
      </c>
      <c r="E24" s="1296">
        <f ca="1">IF('PPeGG anuais'!G9=0,"N/D",('Balanços anuais'!H40+'Balanços anuais'!J40)/2/('PPeGG anuais'!G9+'IVA 2'!O5)*365)</f>
        <v>0</v>
      </c>
      <c r="F24" s="1295">
        <f ca="1">IF('PPeGG anuais'!J9=0,"N/D",('Balanços anuais'!J40+'Balanços anuais'!L40)/2/('PPeGG anuais'!J9+'IVA 3'!O5)*365)</f>
        <v>0</v>
      </c>
      <c r="G24" s="1297">
        <f ca="1">IF('PPeGG anuais'!M9=0,"N/D",('Balanços anuais'!L40+'Balanços anuais'!N40)/2/('PPeGG anuais'!M9+'IVA 4'!O5)*365)</f>
        <v>0</v>
      </c>
    </row>
    <row r="25" spans="1:7" ht="35.25" customHeight="1">
      <c r="A25" s="2588" t="s">
        <v>986</v>
      </c>
      <c r="B25" s="2589" t="s">
        <v>1006</v>
      </c>
      <c r="C25" s="2590">
        <f ca="1">IFERROR((C8*'PPeGG anuais'!B5/'Balanços anuais'!F24)*(1+'Balanços anuais'!F45/'Balanços anuais'!F26)*Parametros!C42,"N/D")</f>
        <v>1.3003263893647155</v>
      </c>
      <c r="D25" s="2591">
        <f ca="1">IFERROR((D8*'PPeGG anuais'!D5/'Balanços anuais'!H24)*(1+'Balanços anuais'!H45/'Balanços anuais'!H26)*Parametros!D42,"N/D")</f>
        <v>0.50344053475704387</v>
      </c>
      <c r="E25" s="2592">
        <f ca="1">IFERROR((E8*'PPeGG anuais'!G5/'Balanços anuais'!J24)*(1+'Balanços anuais'!J45/'Balanços anuais'!J26)*Parametros!E42,"N/D")</f>
        <v>0.33596005785834887</v>
      </c>
      <c r="F25" s="2591">
        <f ca="1">IFERROR((F8*'PPeGG anuais'!J5/'Balanços anuais'!L24)*(1+'Balanços anuais'!L45/'Balanços anuais'!L26)*Parametros!F42,"N/D")</f>
        <v>0.23241840470797059</v>
      </c>
      <c r="G25" s="2593">
        <f ca="1">IFERROR((G8*'PPeGG anuais'!M5/'Balanços anuais'!N24)*(1+'Balanços anuais'!N45/'Balanços anuais'!N26)*Parametros!G42,"N/D")</f>
        <v>0.20030544139158651</v>
      </c>
    </row>
    <row r="26" spans="1:7" ht="35.25" customHeight="1">
      <c r="A26" s="1284" t="s">
        <v>1007</v>
      </c>
      <c r="B26" s="2945" t="s">
        <v>980</v>
      </c>
      <c r="C26" s="2946">
        <f ca="1">IF(OR('Balanços anuais'!F33+'Balanços anuais'!F38=0,('PPeGG anuais'!B33+'PPeGG anuais'!B22)&lt;=0),0,
('PPeGG anuais'!B33+'PPeGG anuais'!B22)/('Balanços anuais'!F33+'Balanços anuais'!F38))</f>
        <v>0</v>
      </c>
      <c r="D26" s="2947">
        <f ca="1">IF(OR('Balanços anuais'!H33+'Balanços anuais'!H38=0,('PPeGG anuais'!D33+'PPeGG anuais'!D22)&lt;=0),0,
('PPeGG anuais'!D33+'PPeGG anuais'!D22)/('Balanços anuais'!H33+'Balanços anuais'!H38))</f>
        <v>0</v>
      </c>
      <c r="E26" s="2948">
        <f ca="1">IF(OR('Balanços anuais'!J33+'Balanços anuais'!J38=0,('PPeGG anuais'!G33+'PPeGG anuais'!G22)&lt;=0),0,
('PPeGG anuais'!G33+'PPeGG anuais'!G22)/('Balanços anuais'!J33+'Balanços anuais'!J38))</f>
        <v>0</v>
      </c>
      <c r="F26" s="2949">
        <f ca="1">IF(OR('Balanços anuais'!L33+'Balanços anuais'!L38=0,('PPeGG anuais'!J33+'PPeGG anuais'!J22)&lt;=0),0,
('PPeGG anuais'!J33+'PPeGG anuais'!J22)/('Balanços anuais'!L33+'Balanços anuais'!L38))</f>
        <v>0</v>
      </c>
      <c r="G26" s="2950">
        <f ca="1">IF(OR('Balanços anuais'!N33+'Balanços anuais'!N38=0,('PPeGG anuais'!M33+'PPeGG anuais'!M22)&lt;=0),0,
('PPeGG anuais'!M33+'PPeGG anuais'!M22)/('Balanços anuais'!N33+'Balanços anuais'!N38))</f>
        <v>0</v>
      </c>
    </row>
    <row r="27" spans="1:7" ht="35.25" customHeight="1" thickBot="1">
      <c r="A27" s="1285" t="s">
        <v>1179</v>
      </c>
      <c r="B27" s="2594" t="s">
        <v>1178</v>
      </c>
      <c r="C27" s="2951">
        <f ca="1">IFERROR(SUM('Despesas Financeiras'!$O19-'Despesas Financeiras'!$O15-'Despesas Financeiras'!O$18)
/('Despesas Financeiras'!$O7+'Despesas Financeiras'!$O9+('Balanços anuais'!F33+'Balanços anuais'!D33+'Balanços anuais'!B33+'Balanços anuais'!B38+'Balanços anuais'!D38+'Balanços anuais'!F38)/2),0)</f>
        <v>0</v>
      </c>
      <c r="D27" s="2952">
        <f ca="1">IFERROR(  SUM('Despesas Financeiras'!$O34-'Despesas Financeiras'!O30-'Despesas Financeiras'!$O33)
/('Despesas Financeiras'!$O22+'Despesas Financeiras'!$O24+('Balanços anuais'!H33+'Balanços anuais'!F33+'Balanços anuais'!H38+'Balanços anuais'!F38)/2),0)</f>
        <v>0</v>
      </c>
      <c r="E27" s="2953">
        <f ca="1">IFERROR(    SUM('Despesas Financeiras'!$O49-'Despesas Financeiras'!$O45-'Despesas Financeiras'!$O48)
/('Despesas Financeiras'!$O37+'Despesas Financeiras'!$O39+('Balanços anuais'!H33+'Balanços anuais'!J33+'Balanços anuais'!H38+'Balanços anuais'!J38)/2),0)</f>
        <v>0</v>
      </c>
      <c r="F27" s="2954">
        <f ca="1">IFERROR(     SUM('Despesas Financeiras'!$O64-'Despesas Financeiras'!O60-'Despesas Financeiras'!$O63)
/('Despesas Financeiras'!$O52+'Despesas Financeiras'!$O54+('Balanços anuais'!L33+'Balanços anuais'!J33+'Balanços anuais'!L38+'Balanços anuais'!J38)/2),0)</f>
        <v>0</v>
      </c>
      <c r="G27" s="2955">
        <f ca="1">IFERROR(     SUM('Despesas Financeiras'!$O79-'Despesas Financeiras'!$O75-'Despesas Financeiras'!$O78)
/('Despesas Financeiras'!$O67+'Despesas Financeiras'!$O69+('Balanços anuais'!L33+'Balanços anuais'!N33+'Balanços anuais'!L38+'Balanços anuais'!N38)/2),0)</f>
        <v>0</v>
      </c>
    </row>
    <row r="28" spans="1:7" ht="15.75" thickBot="1">
      <c r="A28" s="239"/>
      <c r="B28" s="61"/>
      <c r="C28" s="644"/>
      <c r="D28" s="644"/>
      <c r="E28" s="62"/>
      <c r="F28" s="62"/>
      <c r="G28" s="62"/>
    </row>
    <row r="29" spans="1:7" ht="15.75" thickBot="1">
      <c r="A29" s="1448" t="s">
        <v>1008</v>
      </c>
      <c r="B29" s="1449" t="s">
        <v>10</v>
      </c>
      <c r="C29" s="1449" t="str">
        <f t="array" ref="C29:G29">C$3:G$3</f>
        <v>Ano 0</v>
      </c>
      <c r="D29" s="2721">
        <v>2</v>
      </c>
      <c r="E29" s="2722">
        <v>3</v>
      </c>
      <c r="F29" s="2721">
        <v>4</v>
      </c>
      <c r="G29" s="2723">
        <v>5</v>
      </c>
    </row>
    <row r="30" spans="1:7">
      <c r="A30" s="1279" t="s">
        <v>991</v>
      </c>
      <c r="B30" s="1276" t="s">
        <v>987</v>
      </c>
      <c r="C30" s="1508"/>
      <c r="D30" s="1509"/>
      <c r="E30" s="1510"/>
      <c r="F30" s="1509"/>
      <c r="G30" s="1511"/>
    </row>
    <row r="31" spans="1:7">
      <c r="A31" s="1280"/>
      <c r="B31" s="1277" t="s">
        <v>988</v>
      </c>
      <c r="C31" s="1512">
        <f ca="1">'Balanços anuais'!F13-'Balanços anuais'!F37</f>
        <v>-7774.8745454545478</v>
      </c>
      <c r="D31" s="1513">
        <f ca="1">'Balanços anuais'!H13-'Balanços anuais'!H37</f>
        <v>-15657.489363636365</v>
      </c>
      <c r="E31" s="1514">
        <f ca="1">'Balanços anuais'!J13-'Balanços anuais'!J37</f>
        <v>-23579.137895136369</v>
      </c>
      <c r="F31" s="1513">
        <f ca="1">'Balanços anuais'!L13-'Balanços anuais'!L37</f>
        <v>-31494.614860755064</v>
      </c>
      <c r="G31" s="1515">
        <f ca="1">'Balanços anuais'!N13-'Balanços anuais'!N37</f>
        <v>-39383.305190372113</v>
      </c>
    </row>
    <row r="32" spans="1:7" s="49" customFormat="1" ht="21.75" customHeight="1">
      <c r="A32" s="1281" t="s">
        <v>1009</v>
      </c>
      <c r="B32" s="1271" t="s">
        <v>1010</v>
      </c>
      <c r="C32" s="1502">
        <f>'Quadro Pessoal'!O17</f>
        <v>1</v>
      </c>
      <c r="D32" s="1295">
        <f>'Quadro Pessoal'!O36</f>
        <v>1</v>
      </c>
      <c r="E32" s="1503">
        <f>'Quadro Pessoal'!O55</f>
        <v>1</v>
      </c>
      <c r="F32" s="1295">
        <f>'Quadro Pessoal'!O74</f>
        <v>1</v>
      </c>
      <c r="G32" s="1297">
        <f>'Quadro Pessoal'!O93</f>
        <v>1</v>
      </c>
    </row>
    <row r="33" spans="1:47" s="49" customFormat="1" ht="21.75" customHeight="1">
      <c r="A33" s="1281" t="s">
        <v>1012</v>
      </c>
      <c r="B33" s="1271" t="s">
        <v>1011</v>
      </c>
      <c r="C33" s="2607">
        <f ca="1">IFERROR('PPeGG anuais'!B18/'PPeGG anuais'!C13,"N/D")</f>
        <v>18854.365750528537</v>
      </c>
      <c r="D33" s="2608">
        <f ca="1">IFERROR('PPeGG anuais'!D18/'PPeGG anuais'!E13,"N/D")</f>
        <v>21351.928858350948</v>
      </c>
      <c r="E33" s="2609">
        <f ca="1">IFERROR('PPeGG anuais'!G18/'PPeGG anuais'!H13,"N/D")</f>
        <v>22390.483857558134</v>
      </c>
      <c r="F33" s="2608">
        <f ca="1">IFERROR('PPeGG anuais'!J18/'PPeGG anuais'!K13,"N/D")</f>
        <v>23463.881801415704</v>
      </c>
      <c r="G33" s="2610">
        <f ca="1">IFERROR('PPeGG anuais'!M18/'PPeGG anuais'!N13,"N/D")</f>
        <v>24592.914002236226</v>
      </c>
    </row>
    <row r="34" spans="1:47" s="49" customFormat="1" ht="21.75" customHeight="1">
      <c r="A34" s="1281" t="s">
        <v>1013</v>
      </c>
      <c r="B34" s="1271" t="s">
        <v>981</v>
      </c>
      <c r="C34" s="2632">
        <f ca="1">'P. Equilíbrio'!D31</f>
        <v>0.38187442077165407</v>
      </c>
      <c r="D34" s="2633">
        <f ca="1">'P. Equilíbrio'!E31</f>
        <v>0.57887041878026324</v>
      </c>
      <c r="E34" s="2634">
        <f ca="1">'P. Equilíbrio'!F31</f>
        <v>0.59700987638494996</v>
      </c>
      <c r="F34" s="2633">
        <f ca="1">'P. Equilíbrio'!G31</f>
        <v>0.6164084312395125</v>
      </c>
      <c r="G34" s="2635">
        <f ca="1">'P. Equilíbrio'!H31</f>
        <v>0.63595840746394883</v>
      </c>
    </row>
    <row r="35" spans="1:47" s="49" customFormat="1" ht="21.75" customHeight="1">
      <c r="A35" s="1281" t="s">
        <v>985</v>
      </c>
      <c r="B35" s="1271" t="s">
        <v>969</v>
      </c>
      <c r="C35" s="1504">
        <f ca="1">'PPeGG anuais'!B5</f>
        <v>7199.9999999999991</v>
      </c>
      <c r="D35" s="1505">
        <f ca="1">'PPeGG anuais'!D5</f>
        <v>12360</v>
      </c>
      <c r="E35" s="1506">
        <f ca="1">'PPeGG anuais'!G5</f>
        <v>13367.339999999998</v>
      </c>
      <c r="F35" s="1505">
        <f ca="1">'PPeGG anuais'!J5</f>
        <v>14463.334572</v>
      </c>
      <c r="G35" s="1507">
        <f ca="1">'PPeGG anuais'!M5</f>
        <v>15640.070423759998</v>
      </c>
    </row>
    <row r="36" spans="1:47" s="49" customFormat="1" ht="21.75" customHeight="1">
      <c r="A36" s="1282" t="s">
        <v>1014</v>
      </c>
      <c r="B36" s="1278" t="s">
        <v>1002</v>
      </c>
      <c r="C36" s="1504">
        <f ca="1">IFERROR((C35-C33)*'PPeGG anuais'!C13+'PPeGG anuais'!B27,"N/D")</f>
        <v>-10109.874545454544</v>
      </c>
      <c r="D36" s="1505">
        <f ca="1">IFERROR((D35-D33)*'PPeGG anuais'!E13+'PPeGG anuais'!D27,"N/D")</f>
        <v>-7882.6148181818144</v>
      </c>
      <c r="E36" s="1506">
        <f ca="1">IFERROR((E35-E33)*'PPeGG anuais'!H13+'PPeGG anuais'!G27,"N/D")</f>
        <v>-7921.6485314999973</v>
      </c>
      <c r="F36" s="1505">
        <f ca="1">IFERROR((F35-F33)*'PPeGG anuais'!K13+'PPeGG anuais'!J27,"N/D")</f>
        <v>-7915.4769656187054</v>
      </c>
      <c r="G36" s="1507">
        <f ca="1">IFERROR((G35-G33)*'PPeGG anuais'!N13+'PPeGG anuais'!M27,"N/D")</f>
        <v>-7888.6903296170512</v>
      </c>
    </row>
    <row r="37" spans="1:47" s="49" customFormat="1" ht="21.75" customHeight="1" thickBot="1">
      <c r="A37" s="1479" t="s">
        <v>984</v>
      </c>
      <c r="B37" s="1900" t="s">
        <v>982</v>
      </c>
      <c r="C37" s="1901">
        <f ca="1">'Tesorería 0'!$C$40</f>
        <v>-9490.7601818181847</v>
      </c>
      <c r="D37" s="1902">
        <f ca="1">'Tesorería 1'!$C$40</f>
        <v>-7837.8536618181815</v>
      </c>
      <c r="E37" s="1903">
        <f ca="1">'Tesorería 2'!$C$40</f>
        <v>-7878.3454437000055</v>
      </c>
      <c r="F37" s="1902">
        <f ca="1">'Tesorería 3'!$C$40</f>
        <v>-7868.3598144620919</v>
      </c>
      <c r="G37" s="1904">
        <f ca="1">'Tesorería 4'!$C$40</f>
        <v>-7838.0998829735036</v>
      </c>
      <c r="AU37" s="645"/>
    </row>
    <row r="38" spans="1:47" ht="15.75" thickBot="1"/>
    <row r="39" spans="1:47" s="49" customFormat="1" ht="21.75" customHeight="1" thickBot="1">
      <c r="A39" s="2611" t="s">
        <v>1017</v>
      </c>
      <c r="B39" s="2614" t="s">
        <v>1015</v>
      </c>
      <c r="C39" s="1523" t="str">
        <f>Amortiçações!D21</f>
        <v>N/D</v>
      </c>
      <c r="D39" s="1524" t="str">
        <f>Amortiçações!E21</f>
        <v>N/D</v>
      </c>
      <c r="E39" s="1524" t="str">
        <f>Amortiçações!F21</f>
        <v>N/D</v>
      </c>
      <c r="F39" s="1524" t="str">
        <f>Amortiçações!G21</f>
        <v>N/D</v>
      </c>
      <c r="G39" s="1525" t="str">
        <f>Amortiçações!H21</f>
        <v>N/D</v>
      </c>
    </row>
    <row r="40" spans="1:47" ht="15.75" thickBot="1"/>
    <row r="41" spans="1:47" ht="17.25" customHeight="1" thickBot="1">
      <c r="A41" s="2612" t="s">
        <v>1003</v>
      </c>
      <c r="B41" s="2614" t="s">
        <v>1016</v>
      </c>
      <c r="C41" s="2626">
        <f ca="1">+'IRC Coletivas'!B32/SUM('Balanços anuais'!F27:F34)</f>
        <v>0</v>
      </c>
      <c r="D41" s="2627">
        <f ca="1">+'IRC Coletivas'!D32/SUM('Balanços anuais'!H27:H34)</f>
        <v>0</v>
      </c>
      <c r="E41" s="2627">
        <f ca="1">+'IRC Coletivas'!G32/SUM('Balanços anuais'!J27:J34)</f>
        <v>0</v>
      </c>
      <c r="F41" s="2627">
        <f ca="1">+'IRC Coletivas'!J32/SUM('Balanços anuais'!L27:L34)</f>
        <v>0</v>
      </c>
      <c r="G41" s="2628">
        <f ca="1">+'IRC Coletivas'!M32/SUM('Balanços anuais'!N27:N34)</f>
        <v>0</v>
      </c>
    </row>
    <row r="42" spans="1:47" ht="17.25" customHeight="1" thickBot="1">
      <c r="A42" s="2613" t="s">
        <v>1004</v>
      </c>
      <c r="B42" s="2614" t="s">
        <v>965</v>
      </c>
      <c r="C42" s="2629">
        <f ca="1">IF(('Balanços anuais'!D45+'Balanços anuais'!F45)&lt;&gt;0,'PPeGG anuais'!B26/(('Balanços anuais'!D45+'Balanços anuais'!F45)/2),"N/D")</f>
        <v>0.35869242999973044</v>
      </c>
      <c r="D42" s="2630">
        <f ca="1">IF(('Balanços anuais'!F45+'Balanços anuais'!H45)&lt;&gt;0,'PPeGG anuais'!D26/(('Balanços anuais'!F45+'Balanços anuais'!H45)/2),"N/D")</f>
        <v>0.2943176005351486</v>
      </c>
      <c r="E42" s="2630">
        <f ca="1">IF(('Balanços anuais'!H45+'Balanços anuais'!J45)&lt;&gt;0,'PPeGG anuais'!G26/(('Balanços anuais'!H45+'Balanços anuais'!J45)/2),"N/D")</f>
        <v>0.29292200740393703</v>
      </c>
      <c r="F42" s="2630">
        <f ca="1">IF(('Balanços anuais'!J45+'Balanços anuais'!L45)&lt;&gt;0,'PPeGG anuais'!J26/(('Balanços anuais'!J45+'Balanços anuais'!L45)/2),"N/D")</f>
        <v>0.29295296784158809</v>
      </c>
      <c r="G42" s="2631">
        <f ca="1">IF(('Balanços anuais'!L45+'Balanços anuais'!N45)&lt;&gt;0,'PPeGG anuais'!M26/(('Balanços anuais'!L45+'Balanços anuais'!N45)/2),"N/D")</f>
        <v>0.29283944738431511</v>
      </c>
    </row>
    <row r="43" spans="1:47" ht="17.25" customHeight="1" thickBot="1">
      <c r="A43" s="2613" t="s">
        <v>1005</v>
      </c>
      <c r="B43" s="2614"/>
      <c r="C43" s="2629">
        <f ca="1">(+'IRC Coletivas'!B32 +'PPeGG anuais'!B26 ) /
( SUM('Balanços anuais'!F27:F34) + ('Balanços anuais'!D45+'Balanços anuais'!F45)/2 )</f>
        <v>-1.1566660691347198E-2</v>
      </c>
      <c r="D43" s="2630">
        <f ca="1">( +'IRC Coletivas'!D32 +'PPeGG anuais'!D26 ) /
( SUM('Balanços anuais'!H27:H34) +('Balanços anuais'!F45+'Balanços anuais'!H45)/2 )</f>
        <v>-9.8721103590864601E-3</v>
      </c>
      <c r="E43" s="2630">
        <f ca="1">( +'IRC Coletivas'!G32 +'PPeGG anuais'!G26 ) /
( SUM('Balanços anuais'!J27:J34) + ('Balanços anuais'!H45+'Balanços anuais'!J45)/2 )</f>
        <v>-7.0241494388000644E-3</v>
      </c>
      <c r="F43" s="2630">
        <f ca="1">( +'IRC Coletivas'!J32 +'PPeGG anuais'!J26 ) /
( SUM('Balanços anuais'!L27:L34) + ('Balanços anuais'!J45+'Balanços anuais'!L45)/2 )</f>
        <v>-5.6641440503524942E-3</v>
      </c>
      <c r="G43" s="2631">
        <f ca="1">( +'IRC Coletivas'!M32 +'PPeGG anuais'!M26 ) /
(  SUM('Balanços anuais'!N27:N34) + ('Balanços anuais'!L45+'Balanços anuais'!N45)/2 )</f>
        <v>-4.8853689869444248E-3</v>
      </c>
    </row>
    <row r="44" spans="1:47">
      <c r="J44" s="49"/>
      <c r="K44" s="49"/>
      <c r="L44" s="49"/>
      <c r="M44" s="49"/>
    </row>
    <row r="45" spans="1:47">
      <c r="A45" s="1289" t="str">
        <f>IF(mes0=1,"",CONCATENATE("(*) Sólo ",12-mes0+1," meses de actividad en el ano ",Parametros!D65," ( de ",LEFT('Dados Básicos'!F21,LEN('Dados Básicos'!F21)-8)," a diciembre )"))</f>
        <v/>
      </c>
      <c r="B45" s="874"/>
      <c r="C45" s="647"/>
      <c r="L45" s="49"/>
      <c r="M45" s="49"/>
    </row>
    <row r="51" spans="1:46" s="49" customFormat="1" ht="21.75" customHeight="1"/>
    <row r="52" spans="1:46" ht="23.25" customHeight="1">
      <c r="J52" s="49"/>
      <c r="K52" s="49"/>
      <c r="L52" s="49"/>
      <c r="M52" s="49"/>
      <c r="N52" s="49"/>
    </row>
    <row r="53" spans="1:46" ht="23.25" customHeight="1">
      <c r="J53" s="49"/>
      <c r="K53" s="49"/>
      <c r="L53" s="49"/>
      <c r="M53" s="49"/>
      <c r="N53" s="49"/>
    </row>
    <row r="54" spans="1:46" ht="23.25" customHeight="1">
      <c r="J54" s="49"/>
      <c r="K54" s="49"/>
      <c r="L54" s="49"/>
      <c r="M54" s="49"/>
      <c r="N54" s="49"/>
      <c r="O54" s="49"/>
      <c r="P54" s="49"/>
    </row>
    <row r="59" spans="1:46" ht="15.75" thickBot="1">
      <c r="G59" s="2363"/>
      <c r="Q59" s="49"/>
      <c r="R59" s="49"/>
      <c r="S59" s="49"/>
      <c r="T59" s="49"/>
      <c r="U59" s="49"/>
      <c r="V59" s="49"/>
      <c r="W59" s="1500"/>
      <c r="X59" s="49"/>
      <c r="Y59" s="49"/>
      <c r="Z59" s="49"/>
      <c r="AA59" s="49"/>
      <c r="AB59" s="49"/>
      <c r="AC59" s="49"/>
      <c r="AD59" s="49"/>
      <c r="AE59" s="49"/>
      <c r="AF59" s="49"/>
      <c r="AG59" s="49"/>
      <c r="AH59" s="49"/>
      <c r="AI59" s="49"/>
      <c r="AJ59" s="49"/>
      <c r="AK59" s="49"/>
      <c r="AL59" s="49"/>
      <c r="AM59" s="49"/>
      <c r="AN59" s="49"/>
      <c r="AO59" s="49"/>
      <c r="AP59" s="49"/>
      <c r="AQ59" s="49"/>
      <c r="AR59" s="49"/>
      <c r="AS59" s="49"/>
      <c r="AT59" s="49"/>
    </row>
    <row r="60" spans="1:46" ht="15.75" thickBot="1">
      <c r="A60" s="2525" t="s">
        <v>989</v>
      </c>
      <c r="B60" s="2364" t="s">
        <v>1144</v>
      </c>
      <c r="C60" s="2365" t="str">
        <f ca="1">IF('IRC Coletivas'!B24+'IRC Coletivas'!D24+'IRC Coletivas'!G24+'IRC Coletivas'!J24+'IRC Coletivas'!M24&lt;0,"N/D",
IF(SUM(inv_propia)&lt;'IRC Coletivas'!B24,SUM(inv_propia)/'IRC Coletivas'!B24,
IF(SUM(inv_propia)&lt;('IRC Coletivas'!B24+'IRC Coletivas'!D24),1+(SUM(inv_propia)-'IRC Coletivas'!B24)/'IRC Coletivas'!D24,
IF(SUM(inv_propia)&lt;('IRC Coletivas'!B24+'IRC Coletivas'!D24+'IRC Coletivas'!G24),2+(SUM(inv_propia)-'IRC Coletivas'!B24-'IRC Coletivas'!D24)/'IRC Coletivas'!G24,
IF(SUM(inv_propia)&lt;('IRC Coletivas'!B24+'IRC Coletivas'!D24+'IRC Coletivas'!G24+'IRC Coletivas'!J24),3+(SUM(inv_propia)-'IRC Coletivas'!B24-'IRC Coletivas'!D24-'IRC Coletivas'!G24)/'IRC Coletivas'!J24,
4+(SUM(inv_propia)-'IRC Coletivas'!B24-'IRC Coletivas'!D24-'IRC Coletivas'!G24-'IRC Coletivas'!J24)/'IRC Coletivas'!M24)))))</f>
        <v>N/D</v>
      </c>
      <c r="D60" s="2366" t="str">
        <f ca="1">IF('IRC Coletivas'!B24+'IRC Coletivas'!D24+'IRC Coletivas'!G24+'IRC Coletivas'!J24+'IRC Coletivas'!M24&lt;0,"N/D",
IF(SUM('Finançamento Inicial'!H7:H13)&lt;'IRC Coletivas'!B24,SUM('Finançamento Inicial'!H7:H13)/'IRC Coletivas'!B24,
IF(SUM('Finançamento Inicial'!H7:H13)&lt;('IRC Coletivas'!B24+'IRC Coletivas'!D24),1+(SUM('Finançamento Inicial'!H7:H13)-'IRC Coletivas'!B24)/'IRC Coletivas'!D24,
IF(SUM('Finançamento Inicial'!H7:H13)&lt;('IRC Coletivas'!B24+'IRC Coletivas'!D24+'IRC Coletivas'!G24),2+(SUM('Finançamento Inicial'!H7:H13)-'IRC Coletivas'!B24-'IRC Coletivas'!D24)/'IRC Coletivas'!G24,
IF(SUM('Finançamento Inicial'!H7:H13)&lt;('IRC Coletivas'!B24+'IRC Coletivas'!D24+'IRC Coletivas'!G24+'IRC Coletivas'!J24),3+(SUM('Finançamento Inicial'!H7:H13)-'IRC Coletivas'!B24-'IRC Coletivas'!D24-'IRC Coletivas'!G24)/'IRC Coletivas'!J24,
4+(SUM('Finançamento Inicial'!H7:H13)-'IRC Coletivas'!B24-'IRC Coletivas'!D24-'IRC Coletivas'!G24-'IRC Coletivas'!J24)/'IRC Coletivas'!M24)))))</f>
        <v>N/D</v>
      </c>
      <c r="E60" s="2367" t="e">
        <f>ROUNDUP(C39,0)</f>
        <v>#VALUE!</v>
      </c>
      <c r="F60" s="2363"/>
      <c r="Q60" s="49"/>
      <c r="R60" s="49"/>
      <c r="S60" s="49"/>
      <c r="T60" s="49" t="s">
        <v>1145</v>
      </c>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row>
    <row r="61" spans="1:46" ht="15.75" thickBot="1">
      <c r="A61" s="2525" t="s">
        <v>68</v>
      </c>
      <c r="B61" s="2368" t="s">
        <v>983</v>
      </c>
      <c r="C61" s="2369" t="str">
        <f ca="1">IF(ISERR(NPV(Parametros!$C$11,OFFSET(R62,0,0,1,E60+0))),"N/D",NPV(Parametros!$C$11,OFFSET(R62,0,0,1,E60+0))+Q62)</f>
        <v>N/D</v>
      </c>
      <c r="F61" s="2370"/>
      <c r="Q61" s="1566"/>
      <c r="R61" s="1566">
        <v>1</v>
      </c>
      <c r="S61" s="1566">
        <v>2</v>
      </c>
      <c r="T61" s="1566">
        <v>3</v>
      </c>
      <c r="U61" s="1566">
        <v>4</v>
      </c>
      <c r="V61" s="1566">
        <v>5</v>
      </c>
      <c r="W61" s="1566">
        <v>6</v>
      </c>
      <c r="X61" s="1566">
        <v>7</v>
      </c>
      <c r="Y61" s="1566">
        <v>8</v>
      </c>
      <c r="Z61" s="1566">
        <v>9</v>
      </c>
      <c r="AA61" s="1566">
        <v>10</v>
      </c>
      <c r="AB61" s="1566">
        <v>11</v>
      </c>
      <c r="AC61" s="1566">
        <v>12</v>
      </c>
      <c r="AD61" s="1566">
        <v>13</v>
      </c>
      <c r="AE61" s="1566">
        <v>14</v>
      </c>
      <c r="AF61" s="1566">
        <v>15</v>
      </c>
      <c r="AG61" s="1566">
        <v>16</v>
      </c>
      <c r="AH61" s="1566">
        <v>17</v>
      </c>
      <c r="AI61" s="1566">
        <v>18</v>
      </c>
      <c r="AJ61" s="1566">
        <v>19</v>
      </c>
      <c r="AK61" s="1566">
        <v>20</v>
      </c>
      <c r="AL61" s="1566">
        <v>21</v>
      </c>
      <c r="AM61" s="1566">
        <v>22</v>
      </c>
      <c r="AN61" s="1566">
        <v>23</v>
      </c>
      <c r="AO61" s="1566">
        <v>24</v>
      </c>
      <c r="AP61" s="1566">
        <v>25</v>
      </c>
      <c r="AQ61" s="1566">
        <v>26</v>
      </c>
      <c r="AR61" s="1566">
        <v>27</v>
      </c>
      <c r="AS61" s="1566">
        <v>28</v>
      </c>
      <c r="AT61" s="1566">
        <v>29</v>
      </c>
    </row>
    <row r="62" spans="1:46" ht="15.75" thickBot="1">
      <c r="A62" s="2525" t="s">
        <v>69</v>
      </c>
      <c r="B62" s="2368" t="s">
        <v>70</v>
      </c>
      <c r="C62" s="2371" t="str">
        <f ca="1">IF(ISERR(IRR(OFFSET(Q62,0,0,1,E60+1))),"N/D",IRR(OFFSET(Q62,0,0,1,E60+1)))</f>
        <v>N/D</v>
      </c>
      <c r="Q62" s="1724">
        <f>-SUM('Finançamento Inicial'!$H$7:$H$13)*0
-SUM(Finançamento!C14:D17)
-SUM(Finançamento!E14:E17)/(1+inflacion)
-SUM(Finançamento!F14:F17)/POWER(1+inflacion,2)
-SUM(Finançamento!G14:G17)/POWER(1+inflacion,3)
-SUM(Finançamento!H14:H17)/POWER(1+inflacion,4)</f>
        <v>-3000</v>
      </c>
      <c r="R62" s="1724">
        <f ca="1">C37-Finançamento!E14-Finançamento!E17</f>
        <v>-9490.7601818181847</v>
      </c>
      <c r="S62" s="1724">
        <f ca="1">D37-Finançamento!F14-Finançamento!F17</f>
        <v>-7837.8536618181815</v>
      </c>
      <c r="T62" s="1724">
        <f ca="1">E37-Finançamento!G14-Finançamento!G17</f>
        <v>-7878.3454437000055</v>
      </c>
      <c r="U62" s="1724">
        <f ca="1">F37-Finançamento!H14-Finançamento!H17</f>
        <v>-7868.3598144620919</v>
      </c>
      <c r="V62" s="1724">
        <f ca="1">G37</f>
        <v>-7838.0998829735036</v>
      </c>
      <c r="W62" s="1724">
        <f t="shared" ref="W62:AT62" ca="1" si="0">V62*(1+($R$66+($R$67-$R$66)*RAND()))</f>
        <v>-8398.1947028356353</v>
      </c>
      <c r="X62" s="1724">
        <f t="shared" ca="1" si="0"/>
        <v>-9221.8131653008513</v>
      </c>
      <c r="Y62" s="1724">
        <f t="shared" ca="1" si="0"/>
        <v>-7875.0061633441592</v>
      </c>
      <c r="Z62" s="1724">
        <f t="shared" ca="1" si="0"/>
        <v>-8921.1338196517208</v>
      </c>
      <c r="AA62" s="1724">
        <f t="shared" ca="1" si="0"/>
        <v>-8173.3858514862595</v>
      </c>
      <c r="AB62" s="1724">
        <f t="shared" ca="1" si="0"/>
        <v>-7615.6086731547593</v>
      </c>
      <c r="AC62" s="1724">
        <f t="shared" ca="1" si="0"/>
        <v>-8483.4106138805037</v>
      </c>
      <c r="AD62" s="1724">
        <f t="shared" ca="1" si="0"/>
        <v>-9192.8442865731322</v>
      </c>
      <c r="AE62" s="1724">
        <f t="shared" ca="1" si="0"/>
        <v>-8558.9871699883624</v>
      </c>
      <c r="AF62" s="1724">
        <f t="shared" ca="1" si="0"/>
        <v>-8514.6657550173768</v>
      </c>
      <c r="AG62" s="1724">
        <f t="shared" ca="1" si="0"/>
        <v>-7795.6141297242675</v>
      </c>
      <c r="AH62" s="1724">
        <f t="shared" ca="1" si="0"/>
        <v>-8023.2375192213349</v>
      </c>
      <c r="AI62" s="1724">
        <f t="shared" ca="1" si="0"/>
        <v>-7510.0061186973253</v>
      </c>
      <c r="AJ62" s="1724">
        <f t="shared" ca="1" si="0"/>
        <v>-6678.5652170130716</v>
      </c>
      <c r="AK62" s="1724">
        <f t="shared" ca="1" si="0"/>
        <v>-6087.8758751847508</v>
      </c>
      <c r="AL62" s="1724">
        <f t="shared" ca="1" si="0"/>
        <v>-6625.2418070374324</v>
      </c>
      <c r="AM62" s="1724">
        <f t="shared" ca="1" si="0"/>
        <v>-6666.5238226406045</v>
      </c>
      <c r="AN62" s="1724">
        <f t="shared" ca="1" si="0"/>
        <v>-7380.0352220711775</v>
      </c>
      <c r="AO62" s="1724">
        <f t="shared" ca="1" si="0"/>
        <v>-8205.4797072977308</v>
      </c>
      <c r="AP62" s="1724">
        <f t="shared" ca="1" si="0"/>
        <v>-9274.0831093086344</v>
      </c>
      <c r="AQ62" s="1724">
        <f t="shared" ca="1" si="0"/>
        <v>-8997.9988838797944</v>
      </c>
      <c r="AR62" s="1724">
        <f t="shared" ca="1" si="0"/>
        <v>-8185.8084434614002</v>
      </c>
      <c r="AS62" s="1724">
        <f t="shared" ca="1" si="0"/>
        <v>-7847.1996928105755</v>
      </c>
      <c r="AT62" s="1724">
        <f t="shared" ca="1" si="0"/>
        <v>-8110.6841627241556</v>
      </c>
    </row>
    <row r="63" spans="1:46" ht="15.75" thickBot="1">
      <c r="A63" s="2525" t="s">
        <v>149</v>
      </c>
      <c r="B63" s="2368" t="s">
        <v>994</v>
      </c>
      <c r="C63" s="2372" t="str">
        <f ca="1">IF(ISERR(MIRR(OFFSET(Q62,0,0,1,E60+1),Parametros!$C$6,Parametros!$C$7)),"N/D",MIRR(OFFSET(Q62,0,0,1,E60+1),Parametros!$C$6,Parametros!$C$7))</f>
        <v>N/D</v>
      </c>
      <c r="S63" s="1723">
        <f ca="1">(S62-R62)/R62</f>
        <v>-0.17415954974466008</v>
      </c>
      <c r="T63" s="1723">
        <f t="shared" ref="T63:AS63" ca="1" si="1">(T62-S62)/S62</f>
        <v>5.1661824306669813E-3</v>
      </c>
      <c r="U63" s="1723">
        <f t="shared" ca="1" si="1"/>
        <v>-1.2674779633963251E-3</v>
      </c>
      <c r="V63" s="1723">
        <f t="shared" ca="1" si="1"/>
        <v>-3.8457737320261335E-3</v>
      </c>
      <c r="W63" s="1723">
        <f t="shared" ca="1" si="1"/>
        <v>7.1457984489175869E-2</v>
      </c>
      <c r="X63" s="1723">
        <f t="shared" ca="1" si="1"/>
        <v>9.8070893996673209E-2</v>
      </c>
      <c r="Y63" s="1723">
        <f t="shared" ca="1" si="1"/>
        <v>-0.14604579140947649</v>
      </c>
      <c r="Z63" s="1723">
        <f t="shared" ca="1" si="1"/>
        <v>0.13284150318217891</v>
      </c>
      <c r="AA63" s="1723">
        <f t="shared" ca="1" si="1"/>
        <v>-8.381759351241895E-2</v>
      </c>
      <c r="AB63" s="1723">
        <f t="shared" ca="1" si="1"/>
        <v>-6.8243098816884215E-2</v>
      </c>
      <c r="AC63" s="1723">
        <f t="shared" ca="1" si="1"/>
        <v>0.11395043757759918</v>
      </c>
      <c r="AD63" s="1723">
        <f t="shared" ca="1" si="1"/>
        <v>8.3625997253021986E-2</v>
      </c>
      <c r="AE63" s="1723">
        <f t="shared" ca="1" si="1"/>
        <v>-6.8951142521859923E-2</v>
      </c>
      <c r="AF63" s="1723">
        <f t="shared" ca="1" si="1"/>
        <v>-5.1783481024946908E-3</v>
      </c>
      <c r="AG63" s="1723">
        <f t="shared" ca="1" si="1"/>
        <v>-8.4448602679371043E-2</v>
      </c>
      <c r="AH63" s="1723">
        <f t="shared" ca="1" si="1"/>
        <v>2.9198904115732373E-2</v>
      </c>
      <c r="AI63" s="1723">
        <f t="shared" ca="1" si="1"/>
        <v>-6.3968117520446954E-2</v>
      </c>
      <c r="AJ63" s="1723">
        <f t="shared" ca="1" si="1"/>
        <v>-0.1107110817944945</v>
      </c>
      <c r="AK63" s="1723">
        <f t="shared" ca="1" si="1"/>
        <v>-8.8445545208361565E-2</v>
      </c>
      <c r="AL63" s="1723">
        <f t="shared" ca="1" si="1"/>
        <v>8.826821421295386E-2</v>
      </c>
      <c r="AM63" s="1723">
        <f t="shared" ca="1" si="1"/>
        <v>6.2310202111146686E-3</v>
      </c>
      <c r="AN63" s="1723">
        <f t="shared" ca="1" si="1"/>
        <v>0.10702900318264395</v>
      </c>
      <c r="AO63" s="1723">
        <f t="shared" ca="1" si="1"/>
        <v>0.11184831242511273</v>
      </c>
      <c r="AP63" s="1723">
        <f t="shared" ca="1" si="1"/>
        <v>0.13023046063480198</v>
      </c>
      <c r="AQ63" s="1723">
        <f t="shared" ca="1" si="1"/>
        <v>-2.9769436199221375E-2</v>
      </c>
      <c r="AR63" s="1723">
        <f t="shared" ca="1" si="1"/>
        <v>-9.026345200747464E-2</v>
      </c>
      <c r="AS63" s="1723">
        <f t="shared" ca="1" si="1"/>
        <v>-4.1365340148082276E-2</v>
      </c>
      <c r="AT63" s="1723">
        <f ca="1">(AT62-AS62)/AS62</f>
        <v>3.357687840606103E-2</v>
      </c>
    </row>
    <row r="64" spans="1:46">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row>
    <row r="65" spans="17:46">
      <c r="Q65" s="49" t="s">
        <v>147</v>
      </c>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row>
    <row r="66" spans="17:46">
      <c r="Q66" s="1522" t="s">
        <v>145</v>
      </c>
      <c r="R66" s="1725">
        <v>-0.15</v>
      </c>
      <c r="S66" s="49"/>
      <c r="T66" s="49"/>
      <c r="U66" s="49"/>
      <c r="V66" s="49"/>
      <c r="W66" s="49"/>
      <c r="X66" s="49"/>
      <c r="Y66" s="49"/>
      <c r="Z66" s="49"/>
      <c r="AA66" s="49"/>
      <c r="AB66" s="49"/>
      <c r="AC66" s="49"/>
      <c r="AD66" s="49"/>
      <c r="AE66" s="49"/>
      <c r="AF66" s="49"/>
      <c r="AG66" s="49"/>
      <c r="AH66" s="49"/>
      <c r="AI66" s="49"/>
      <c r="AJ66" s="49"/>
      <c r="AK66" s="49"/>
      <c r="AL66" s="49"/>
      <c r="AM66" s="49"/>
    </row>
    <row r="67" spans="17:46">
      <c r="Q67" s="1522" t="s">
        <v>146</v>
      </c>
      <c r="R67" s="1725">
        <v>0.2</v>
      </c>
      <c r="S67" s="49"/>
      <c r="T67" s="49"/>
      <c r="U67" s="49"/>
      <c r="V67" s="49"/>
      <c r="W67" s="49"/>
      <c r="X67" s="49"/>
      <c r="Y67" s="49"/>
      <c r="Z67" s="49"/>
      <c r="AA67" s="49"/>
      <c r="AB67" s="49"/>
      <c r="AC67" s="49"/>
      <c r="AD67" s="49"/>
      <c r="AE67" s="49"/>
      <c r="AF67" s="49"/>
      <c r="AG67" s="49"/>
      <c r="AH67" s="49"/>
      <c r="AI67" s="49"/>
      <c r="AJ67" s="49"/>
      <c r="AK67" s="49"/>
      <c r="AL67" s="49"/>
      <c r="AM67" s="49"/>
    </row>
    <row r="68" spans="17:46">
      <c r="Q68" s="1522" t="s">
        <v>148</v>
      </c>
      <c r="R68" s="1725">
        <f ca="1">AVERAGE(S63:AT63)</f>
        <v>-1.7494485443904449E-3</v>
      </c>
      <c r="S68" s="49"/>
      <c r="T68" s="49"/>
      <c r="U68" s="49"/>
      <c r="V68" s="49"/>
      <c r="W68" s="49"/>
      <c r="X68" s="49"/>
      <c r="Y68" s="49"/>
      <c r="Z68" s="49"/>
      <c r="AA68" s="49"/>
      <c r="AB68" s="49"/>
      <c r="AC68" s="49"/>
      <c r="AD68" s="49"/>
      <c r="AE68" s="49"/>
      <c r="AF68" s="49"/>
      <c r="AG68" s="49"/>
      <c r="AH68" s="49"/>
      <c r="AI68" s="49"/>
      <c r="AJ68" s="49"/>
      <c r="AK68" s="49"/>
      <c r="AL68" s="49"/>
      <c r="AM68" s="49"/>
    </row>
    <row r="69" spans="17:46">
      <c r="R69" s="1501"/>
      <c r="S69" s="49"/>
      <c r="T69" s="49"/>
      <c r="U69" s="49"/>
      <c r="V69" s="49"/>
      <c r="W69" s="49"/>
      <c r="X69" s="49"/>
      <c r="Y69" s="49"/>
      <c r="Z69" s="49"/>
      <c r="AA69" s="49"/>
      <c r="AB69" s="49"/>
      <c r="AC69" s="49"/>
      <c r="AD69" s="49"/>
      <c r="AE69" s="49"/>
      <c r="AF69" s="49"/>
      <c r="AG69" s="49"/>
      <c r="AH69" s="49"/>
      <c r="AI69" s="49"/>
      <c r="AJ69" s="49"/>
      <c r="AK69" s="49"/>
      <c r="AL69" s="49"/>
      <c r="AM69" s="49"/>
    </row>
    <row r="70" spans="17:46">
      <c r="R70" s="49"/>
      <c r="S70" s="49"/>
      <c r="T70" s="49"/>
      <c r="U70" s="49"/>
      <c r="V70" s="49"/>
      <c r="W70" s="49"/>
      <c r="X70" s="49"/>
      <c r="Y70" s="49"/>
      <c r="Z70" s="49"/>
      <c r="AA70" s="49"/>
      <c r="AB70" s="49"/>
      <c r="AC70" s="49"/>
      <c r="AD70" s="49"/>
      <c r="AE70" s="49"/>
      <c r="AF70" s="49"/>
      <c r="AG70" s="49"/>
      <c r="AH70" s="49"/>
      <c r="AI70" s="49"/>
      <c r="AJ70" s="49"/>
      <c r="AK70" s="49"/>
      <c r="AL70" s="49"/>
    </row>
  </sheetData>
  <sheetProtection sheet="1" objects="1" scenarios="1"/>
  <phoneticPr fontId="4" type="noConversion"/>
  <printOptions horizontalCentered="1"/>
  <pageMargins left="0.75" right="0.75" top="0.43" bottom="0.53" header="0.44" footer="0.31496062992125984"/>
  <pageSetup paperSize="9" scale="65" orientation="landscape" horizontalDpi="360" verticalDpi="300" r:id="rId1"/>
  <headerFooter alignWithMargins="0">
    <oddFooter>&amp;C&amp;"Tahoma,Normal"&amp;10&amp;A</oddFooter>
  </headerFooter>
  <legacy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F8DA2-3E32-46DF-9C86-4E4E48AECECA}">
  <sheetPr>
    <tabColor rgb="FF00B050"/>
  </sheetPr>
  <dimension ref="A1:J64"/>
  <sheetViews>
    <sheetView workbookViewId="0"/>
  </sheetViews>
  <sheetFormatPr baseColWidth="10" defaultRowHeight="15.75"/>
  <cols>
    <col min="2" max="2" width="46.375" customWidth="1"/>
    <col min="3" max="3" width="15.375" customWidth="1"/>
    <col min="4" max="8" width="9" customWidth="1"/>
  </cols>
  <sheetData>
    <row r="1" spans="1:9" ht="25.5">
      <c r="A1" s="572" t="s">
        <v>1291</v>
      </c>
      <c r="B1" s="36"/>
      <c r="C1" s="36"/>
      <c r="D1" s="1566"/>
      <c r="E1" s="1566"/>
      <c r="F1" s="1566"/>
      <c r="G1" s="1566"/>
      <c r="H1" s="1566"/>
      <c r="I1" s="36"/>
    </row>
    <row r="2" spans="1:9" ht="25.5">
      <c r="A2" s="572" t="str">
        <f>'Dados Básicos'!B9</f>
        <v>WWW, S.L.</v>
      </c>
      <c r="B2" s="36"/>
      <c r="C2" s="36"/>
      <c r="D2" s="1566"/>
      <c r="E2" s="1566"/>
      <c r="F2" s="1566"/>
      <c r="G2" s="1566"/>
      <c r="H2" s="1566"/>
      <c r="I2" s="36"/>
    </row>
    <row r="4" spans="1:9" ht="16.5" thickBot="1">
      <c r="A4" s="36"/>
      <c r="B4" s="36"/>
      <c r="C4" s="36"/>
      <c r="D4" s="1566"/>
      <c r="E4" s="1566"/>
      <c r="F4" s="1566"/>
      <c r="G4" s="1566"/>
      <c r="H4" s="1566"/>
      <c r="I4" s="36"/>
    </row>
    <row r="5" spans="1:9" ht="36.75" customHeight="1" thickBot="1">
      <c r="A5" s="3232" t="s">
        <v>1292</v>
      </c>
      <c r="B5" s="36"/>
      <c r="C5" s="3233" t="s">
        <v>1308</v>
      </c>
      <c r="D5" s="3234" t="str">
        <f t="array" ref="D5:H5">anni</f>
        <v>Ano 0:  2026</v>
      </c>
      <c r="E5" s="3235" t="str">
        <v>Ano 1:  2027</v>
      </c>
      <c r="F5" s="3235" t="str">
        <v>Ano 2:  2028</v>
      </c>
      <c r="G5" s="3235" t="str">
        <v>Ano 3:  2029</v>
      </c>
      <c r="H5" s="3236" t="str">
        <v>Ano 4:  2030</v>
      </c>
      <c r="I5" s="36"/>
    </row>
    <row r="6" spans="1:9" ht="26.25" customHeight="1">
      <c r="A6" s="36"/>
      <c r="B6" s="71" t="s">
        <v>1307</v>
      </c>
      <c r="C6" s="3237">
        <v>1.47</v>
      </c>
      <c r="D6" s="3238">
        <f ca="1">'Balanços anuais'!F13/'Balanços anuais'!F37</f>
        <v>-15.005444465404855</v>
      </c>
      <c r="E6" s="3239">
        <f ca="1">'Balanços anuais'!H13/'Balanços anuais'!H37</f>
        <v>-28.513169062322145</v>
      </c>
      <c r="F6" s="3239">
        <f ca="1">'Balanços anuais'!J13/'Balanços anuais'!J37</f>
        <v>-40.090906892105593</v>
      </c>
      <c r="G6" s="3239">
        <f ca="1">'Balanços anuais'!L13/'Balanços anuais'!L37</f>
        <v>-49.720396115880916</v>
      </c>
      <c r="H6" s="3240">
        <f ca="1">'Balanços anuais'!N13/'Balanços anuais'!N37</f>
        <v>-57.646585041793067</v>
      </c>
      <c r="I6" s="36"/>
    </row>
    <row r="7" spans="1:9" ht="26.25" customHeight="1">
      <c r="A7" s="36"/>
      <c r="B7" s="1375" t="s">
        <v>1306</v>
      </c>
      <c r="C7" s="3241">
        <v>0.4</v>
      </c>
      <c r="D7" s="3242">
        <f ca="1">'Balanços anuais'!F26/('Balanços anuais'!F32+'Balanços anuais'!F37)</f>
        <v>-16.00544446540485</v>
      </c>
      <c r="E7" s="3243">
        <f ca="1">'Balanços anuais'!H26/('Balanços anuais'!H32+'Balanços anuais'!H37)</f>
        <v>-29.513169062322142</v>
      </c>
      <c r="F7" s="3243">
        <f ca="1">'Balanços anuais'!J26/('Balanços anuais'!J32+'Balanços anuais'!J37)</f>
        <v>-41.090906892105579</v>
      </c>
      <c r="G7" s="3243">
        <f ca="1">'Balanços anuais'!L26/('Balanços anuais'!L32+'Balanços anuais'!L37)</f>
        <v>-50.720396115880916</v>
      </c>
      <c r="H7" s="3244">
        <f ca="1">'Balanços anuais'!N26/('Balanços anuais'!N32+'Balanços anuais'!N37)</f>
        <v>-58.646585041793067</v>
      </c>
      <c r="I7" s="36"/>
    </row>
    <row r="8" spans="1:9" ht="26.25" customHeight="1">
      <c r="A8" s="36"/>
      <c r="B8" s="1375" t="s">
        <v>1305</v>
      </c>
      <c r="C8" s="3241">
        <v>0.03</v>
      </c>
      <c r="D8" s="3242">
        <f ca="1">+'PPeGG anuais'!B33/'Balanços anuais'!F24</f>
        <v>1.3869833619297485</v>
      </c>
      <c r="E8" s="3243">
        <f ca="1">+'PPeGG anuais'!D33/'Balanços anuais'!H24</f>
        <v>0.52109695637951092</v>
      </c>
      <c r="F8" s="3243">
        <f ca="1">+'PPeGG anuais'!G33/'Balanços anuais'!J24</f>
        <v>0.34434001440965606</v>
      </c>
      <c r="G8" s="3243">
        <f ca="1">+'PPeGG anuais'!J33/'Balanços anuais'!L24</f>
        <v>0.25638277522245012</v>
      </c>
      <c r="H8" s="3244">
        <f ca="1">+'PPeGG anuais'!M33/'Balanços anuais'!N24</f>
        <v>0.20378015617731698</v>
      </c>
      <c r="I8" s="36"/>
    </row>
    <row r="9" spans="1:9" ht="26.25" customHeight="1">
      <c r="A9" s="36"/>
      <c r="B9" s="1375" t="s">
        <v>1304</v>
      </c>
      <c r="C9" s="3241">
        <v>0.02</v>
      </c>
      <c r="D9" s="3242">
        <f ca="1">+'PPeGG anuais'!B33/'PPeGG anuais'!B5</f>
        <v>-1.4041492424242428</v>
      </c>
      <c r="E9" s="3243">
        <f ca="1">+'PPeGG anuais'!D33/'PPeGG anuais'!D5</f>
        <v>-0.63775200794351283</v>
      </c>
      <c r="F9" s="3243">
        <f ca="1">+'PPeGG anuais'!G33/'PPeGG anuais'!G5</f>
        <v>-0.59261218249105674</v>
      </c>
      <c r="G9" s="3243">
        <f ca="1">+'PPeGG anuais'!J33/'PPeGG anuais'!J5</f>
        <v>-0.54727883989785497</v>
      </c>
      <c r="H9" s="3244">
        <f ca="1">+'PPeGG anuais'!M33/'PPeGG anuais'!M5</f>
        <v>-0.50438969364439357</v>
      </c>
      <c r="I9" s="1566"/>
    </row>
    <row r="10" spans="1:9" ht="26.25" customHeight="1" thickBot="1">
      <c r="A10" s="36"/>
      <c r="B10" s="72" t="s">
        <v>1279</v>
      </c>
      <c r="C10" s="3245">
        <v>0.06</v>
      </c>
      <c r="D10" s="3246">
        <f ca="1">+'PPeGG anuais'!B33/'Balanços anuais'!F26</f>
        <v>1.3003263893647159</v>
      </c>
      <c r="E10" s="3247">
        <f ca="1">+'PPeGG anuais'!D33/'Balanços anuais'!H26</f>
        <v>0.50344053475704398</v>
      </c>
      <c r="F10" s="3247">
        <f ca="1">+'PPeGG anuais'!G33/'Balanços anuais'!J26</f>
        <v>0.33596005785834893</v>
      </c>
      <c r="G10" s="3247">
        <f ca="1">+'PPeGG anuais'!J33/'Balanços anuais'!L26</f>
        <v>0.25132794925782842</v>
      </c>
      <c r="H10" s="3248">
        <f ca="1">+'PPeGG anuais'!M33/'Balanços anuais'!N26</f>
        <v>0.20030544139158651</v>
      </c>
      <c r="I10" s="1501"/>
    </row>
    <row r="15" spans="1:9">
      <c r="A15" s="3232" t="s">
        <v>1280</v>
      </c>
      <c r="B15" s="36"/>
      <c r="C15" s="36"/>
      <c r="D15" s="1566"/>
      <c r="E15" s="1566"/>
      <c r="F15" s="1566"/>
      <c r="G15" s="1566"/>
      <c r="H15" s="1566"/>
      <c r="I15" s="36"/>
    </row>
    <row r="17" spans="2:8">
      <c r="B17" s="36" t="s">
        <v>1293</v>
      </c>
      <c r="C17" s="36"/>
      <c r="D17" s="1566"/>
      <c r="E17" s="1566"/>
      <c r="F17" s="1566"/>
      <c r="G17" s="1566"/>
      <c r="H17" s="1566"/>
    </row>
    <row r="18" spans="2:8">
      <c r="B18" s="36" t="s">
        <v>1281</v>
      </c>
      <c r="C18" s="36"/>
      <c r="D18" s="1566"/>
      <c r="E18" s="1566"/>
      <c r="F18" s="1566"/>
      <c r="G18" s="1566"/>
      <c r="H18" s="1566"/>
    </row>
    <row r="19" spans="2:8" ht="16.5" thickBot="1">
      <c r="B19" s="36"/>
      <c r="C19" s="36"/>
      <c r="D19" s="1566"/>
      <c r="E19" s="1566"/>
      <c r="F19" s="1566"/>
      <c r="G19" s="1566"/>
      <c r="H19" s="1566"/>
    </row>
    <row r="20" spans="2:8" ht="30.75" thickBot="1">
      <c r="B20" s="3249" t="s">
        <v>1282</v>
      </c>
      <c r="C20" s="3233" t="s">
        <v>1283</v>
      </c>
      <c r="D20" s="3234" t="str">
        <f t="array" ref="D20:H20">anni</f>
        <v>Ano 0:  2026</v>
      </c>
      <c r="E20" s="3235" t="str">
        <v>Ano 1:  2027</v>
      </c>
      <c r="F20" s="3235" t="str">
        <v>Ano 2:  2028</v>
      </c>
      <c r="G20" s="3235" t="str">
        <v>Ano 3:  2029</v>
      </c>
      <c r="H20" s="3236" t="str">
        <v>Ano 4:  2030</v>
      </c>
    </row>
    <row r="21" spans="2:8" s="49" customFormat="1" ht="20.25" customHeight="1">
      <c r="B21" s="1402" t="s">
        <v>1301</v>
      </c>
      <c r="C21" s="3237">
        <v>1.2</v>
      </c>
      <c r="D21" s="3238">
        <f ca="1">+'Balanços anuais'!F13/'Balanços anuais'!F24</f>
        <v>1</v>
      </c>
      <c r="E21" s="3239">
        <f ca="1">+'Balanços anuais'!H13/'Balanços anuais'!H24</f>
        <v>1</v>
      </c>
      <c r="F21" s="3239">
        <f ca="1">+'Balanços anuais'!J13/'Balanços anuais'!J24</f>
        <v>1</v>
      </c>
      <c r="G21" s="3239">
        <f ca="1">+'Balanços anuais'!L13/'Balanços anuais'!L24</f>
        <v>1</v>
      </c>
      <c r="H21" s="3240">
        <f ca="1">+'Balanços anuais'!N13/'Balanços anuais'!N24</f>
        <v>1</v>
      </c>
    </row>
    <row r="22" spans="2:8" s="49" customFormat="1" ht="20.25" customHeight="1">
      <c r="B22" s="1375" t="s">
        <v>1300</v>
      </c>
      <c r="C22" s="3241">
        <v>1.4</v>
      </c>
      <c r="D22" s="3242">
        <f ca="1">'IRC Coletivas'!B31/'Balanços anuais'!F24</f>
        <v>0</v>
      </c>
      <c r="E22" s="3243">
        <f ca="1">'IRC Coletivas'!D31/'Balanços anuais'!H24</f>
        <v>0</v>
      </c>
      <c r="F22" s="3243">
        <f ca="1">'IRC Coletivas'!G31/'Balanços anuais'!J24</f>
        <v>0</v>
      </c>
      <c r="G22" s="3243">
        <f ca="1">'IRC Coletivas'!J31/'Balanços anuais'!L24</f>
        <v>0</v>
      </c>
      <c r="H22" s="3244">
        <f ca="1">'IRC Coletivas'!M31/'Balanços anuais'!N24</f>
        <v>0</v>
      </c>
    </row>
    <row r="23" spans="2:8" s="49" customFormat="1" ht="20.25" customHeight="1">
      <c r="B23" s="1375" t="s">
        <v>1299</v>
      </c>
      <c r="C23" s="3241">
        <v>3.3</v>
      </c>
      <c r="D23" s="3242">
        <f ca="1">'PPeGG anuais'!B20/'Balanços anuais'!F24</f>
        <v>1.3750312857741005</v>
      </c>
      <c r="E23" s="3243">
        <f ca="1">'PPeGG anuais'!D20/'Balanços anuais'!H24</f>
        <v>0.51121024007966875</v>
      </c>
      <c r="F23" s="3243">
        <f ca="1">'PPeGG anuais'!G20/'Balanços anuais'!J24</f>
        <v>0.33730925416297525</v>
      </c>
      <c r="G23" s="3243">
        <f ca="1">'PPeGG anuais'!J20/'Balanços anuais'!L24</f>
        <v>0.25071430906949133</v>
      </c>
      <c r="H23" s="3244">
        <f ca="1">'PPeGG anuais'!M20/'Balanços anuais'!N24</f>
        <v>0.19889159496995037</v>
      </c>
    </row>
    <row r="24" spans="2:8" s="49" customFormat="1" ht="20.25" customHeight="1">
      <c r="B24" s="1375" t="s">
        <v>1302</v>
      </c>
      <c r="C24" s="3241">
        <v>0.6</v>
      </c>
      <c r="D24" s="3242">
        <v>0</v>
      </c>
      <c r="E24" s="3243">
        <v>0</v>
      </c>
      <c r="F24" s="3243">
        <v>0</v>
      </c>
      <c r="G24" s="3243">
        <v>0</v>
      </c>
      <c r="H24" s="3244">
        <v>0</v>
      </c>
    </row>
    <row r="25" spans="2:8" s="49" customFormat="1" ht="20.25" customHeight="1" thickBot="1">
      <c r="B25" s="72" t="s">
        <v>1303</v>
      </c>
      <c r="C25" s="3250">
        <v>1</v>
      </c>
      <c r="D25" s="3246">
        <f ca="1">'PPeGG anuais'!B5/'Balanços anuais'!F24</f>
        <v>-0.98777488889652676</v>
      </c>
      <c r="E25" s="3247">
        <f ca="1">'PPeGG anuais'!D5/'Balanços anuais'!H24</f>
        <v>-0.81708399172247803</v>
      </c>
      <c r="F25" s="3247">
        <f ca="1">'PPeGG anuais'!G5/'Balanços anuais'!J24</f>
        <v>-0.58105456584138415</v>
      </c>
      <c r="G25" s="3247">
        <f ca="1">'PPeGG anuais'!J5/'Balanços anuais'!L24</f>
        <v>-0.46846827710404776</v>
      </c>
      <c r="H25" s="3248">
        <f ca="1">'PPeGG anuais'!M5/'Balanços anuais'!N24</f>
        <v>-0.40401332292286429</v>
      </c>
    </row>
    <row r="28" spans="2:8">
      <c r="B28" s="3251" t="s">
        <v>1284</v>
      </c>
      <c r="C28" s="1008"/>
      <c r="D28" s="3252">
        <f ca="1">SUMPRODUCT($C$21:$C$25,D21:D25)</f>
        <v>4.7498283541580042</v>
      </c>
      <c r="E28" s="3252">
        <f t="shared" ref="E28:G28" ca="1" si="0">SUMPRODUCT($C$21:$C$25,E21:E25)</f>
        <v>2.0699098005404286</v>
      </c>
      <c r="F28" s="3252">
        <f t="shared" ca="1" si="0"/>
        <v>1.7320659728964343</v>
      </c>
      <c r="G28" s="3252">
        <f t="shared" ca="1" si="0"/>
        <v>1.5588889428252735</v>
      </c>
      <c r="H28" s="3252">
        <f ca="1">SUMPRODUCT($C$21:$C$25,H21:H25)</f>
        <v>1.452328940477972</v>
      </c>
    </row>
    <row r="30" spans="2:8" ht="43.5" customHeight="1">
      <c r="B30" s="36"/>
      <c r="C30" s="36"/>
      <c r="D30" s="3253" t="str">
        <f t="shared" ref="D30:H30" ca="1" si="1">IF(D28&gt;=3,"Sem risco de suspensão",IF(D28&gt;=1.8,"Risco duvidoso","Risco alto"))</f>
        <v>Sem risco de suspensão</v>
      </c>
      <c r="E30" s="3253" t="str">
        <f t="shared" ca="1" si="1"/>
        <v>Risco duvidoso</v>
      </c>
      <c r="F30" s="3253" t="str">
        <f t="shared" ca="1" si="1"/>
        <v>Risco alto</v>
      </c>
      <c r="G30" s="3253" t="str">
        <f t="shared" ca="1" si="1"/>
        <v>Risco alto</v>
      </c>
      <c r="H30" s="3253" t="str">
        <f t="shared" ca="1" si="1"/>
        <v>Risco alto</v>
      </c>
    </row>
    <row r="34" spans="1:10" hidden="1"/>
    <row r="35" spans="1:10" hidden="1">
      <c r="A35" s="3232" t="s">
        <v>1298</v>
      </c>
      <c r="B35" s="36"/>
      <c r="C35" s="36"/>
      <c r="D35" s="1566"/>
      <c r="E35" s="1566"/>
      <c r="F35" s="1566"/>
      <c r="G35" s="1566"/>
      <c r="H35" s="1566"/>
      <c r="I35" s="36"/>
      <c r="J35" s="36"/>
    </row>
    <row r="36" spans="1:10" hidden="1">
      <c r="A36" s="3232"/>
      <c r="B36" s="36"/>
      <c r="C36" s="36"/>
      <c r="D36" s="1566"/>
      <c r="E36" s="1566"/>
      <c r="F36" s="1566"/>
      <c r="G36" s="1566"/>
      <c r="H36" s="1566"/>
      <c r="I36" s="36"/>
      <c r="J36" s="36"/>
    </row>
    <row r="37" spans="1:10" hidden="1">
      <c r="A37" s="36"/>
      <c r="B37" s="36" t="s">
        <v>1297</v>
      </c>
      <c r="C37" s="36"/>
      <c r="D37" s="1566"/>
      <c r="E37" s="1566"/>
      <c r="F37" s="1566"/>
      <c r="G37" s="1566"/>
      <c r="H37" s="1566"/>
      <c r="I37" s="36"/>
      <c r="J37" s="36"/>
    </row>
    <row r="38" spans="1:10" hidden="1">
      <c r="A38" s="36"/>
      <c r="B38" s="36"/>
      <c r="C38" s="36"/>
      <c r="D38" s="1566"/>
      <c r="E38" s="1566"/>
      <c r="F38" s="1566"/>
      <c r="G38" s="1566"/>
      <c r="H38" s="1566"/>
      <c r="I38" s="36"/>
      <c r="J38" s="36"/>
    </row>
    <row r="39" spans="1:10" ht="16.5" hidden="1" thickBot="1">
      <c r="A39" s="36"/>
      <c r="B39" s="36"/>
      <c r="C39" s="36"/>
      <c r="D39" s="1566"/>
      <c r="E39" s="1566"/>
      <c r="F39" s="1566"/>
      <c r="G39" s="1566"/>
      <c r="H39" s="1566"/>
      <c r="I39" s="36"/>
      <c r="J39" s="36"/>
    </row>
    <row r="40" spans="1:10" ht="30.75" hidden="1" thickBot="1">
      <c r="A40" s="36"/>
      <c r="B40" s="3249" t="s">
        <v>1282</v>
      </c>
      <c r="C40" s="3233" t="s">
        <v>1283</v>
      </c>
      <c r="D40" s="3234" t="str">
        <f t="array" ref="D40:H40">anni</f>
        <v>Ano 0:  2026</v>
      </c>
      <c r="E40" s="3235" t="str">
        <v>Ano 1:  2027</v>
      </c>
      <c r="F40" s="3235" t="str">
        <v>Ano 2:  2028</v>
      </c>
      <c r="G40" s="3235" t="str">
        <v>Ano 3:  2029</v>
      </c>
      <c r="H40" s="3236" t="str">
        <v>Ano 4:  2030</v>
      </c>
      <c r="I40" s="36"/>
      <c r="J40" s="36"/>
    </row>
    <row r="41" spans="1:10" ht="22.5" hidden="1" customHeight="1">
      <c r="A41" s="36"/>
      <c r="B41" s="3254" t="s">
        <v>1285</v>
      </c>
      <c r="C41" s="3237">
        <v>1.2</v>
      </c>
      <c r="D41" s="3238">
        <f ca="1">('Balanços anuais'!F13+'Balanços anuais'!F37)/'Balanços anuais'!F24</f>
        <v>0.93335752217766654</v>
      </c>
      <c r="E41" s="3239">
        <f ca="1">('Balanços anuais'!H13+'Balanços anuais'!H37)/'Balanços anuais'!H24</f>
        <v>0.96492848627894479</v>
      </c>
      <c r="F41" s="3239">
        <f ca="1">('Balanços anuais'!J13+'Balanços anuais'!J37)/'Balanços anuais'!J24</f>
        <v>0.97505668797437683</v>
      </c>
      <c r="G41" s="3239">
        <f ca="1">('Balanços anuais'!L13+'Balanços anuais'!L37)/'Balanços anuais'!L24</f>
        <v>0.97988752950259383</v>
      </c>
      <c r="H41" s="3240">
        <f ca="1">('Balanços anuais'!N13+'Balanços anuais'!N37)/'Balanços anuais'!N24</f>
        <v>0.98265291865467819</v>
      </c>
      <c r="I41" s="36"/>
      <c r="J41" s="36">
        <f t="shared" ref="J41:J44" ca="1" si="2">D41*C41</f>
        <v>1.1200290266131998</v>
      </c>
    </row>
    <row r="42" spans="1:10" ht="22.5" hidden="1" customHeight="1">
      <c r="A42" s="36"/>
      <c r="B42" s="3255" t="s">
        <v>1286</v>
      </c>
      <c r="C42" s="3241">
        <v>1.4</v>
      </c>
      <c r="D42" s="3242">
        <f ca="1">('Balanços anuais'!F26+'Balanços anuais'!F32)/'Balanços anuais'!F46</f>
        <v>1.0666424778223336</v>
      </c>
      <c r="E42" s="3243">
        <f ca="1">('Balanços anuais'!H26+'Balanços anuais'!H32)/'Balanços anuais'!H46</f>
        <v>1.0350715137210553</v>
      </c>
      <c r="F42" s="3243">
        <f ca="1">('Balanços anuais'!J26+'Balanços anuais'!J32)/'Balanços anuais'!J46</f>
        <v>1.0249433120256233</v>
      </c>
      <c r="G42" s="3243">
        <f ca="1">('Balanços anuais'!L26+'Balanços anuais'!L32)/'Balanços anuais'!L46</f>
        <v>1.0201124704974061</v>
      </c>
      <c r="H42" s="3244">
        <f ca="1">('Balanços anuais'!N26+'Balanços anuais'!N32)/'Balanços anuais'!N46</f>
        <v>1.0173470813453218</v>
      </c>
      <c r="I42" s="36"/>
      <c r="J42" s="36">
        <f t="shared" ca="1" si="2"/>
        <v>1.4932994689512669</v>
      </c>
    </row>
    <row r="43" spans="1:10" ht="22.5" hidden="1" customHeight="1">
      <c r="A43" s="36"/>
      <c r="B43" s="3255" t="s">
        <v>1287</v>
      </c>
      <c r="C43" s="3241">
        <v>3.3</v>
      </c>
      <c r="D43" s="3242">
        <f ca="1">'PPeGG anuais'!B26/'PPeGG anuais'!B5</f>
        <v>1.21E-2</v>
      </c>
      <c r="E43" s="3243">
        <f ca="1">'PPeGG anuais'!D26/'PPeGG anuais'!D5</f>
        <v>1.2099999999999996E-2</v>
      </c>
      <c r="F43" s="3243">
        <f ca="1">'PPeGG anuais'!G26/'PPeGG anuais'!G5</f>
        <v>1.2100000000000001E-2</v>
      </c>
      <c r="G43" s="3243">
        <f ca="1">'PPeGG anuais'!J26/'PPeGG anuais'!J5</f>
        <v>1.21E-2</v>
      </c>
      <c r="H43" s="3244">
        <f ca="1">'PPeGG anuais'!M26/'PPeGG anuais'!M5</f>
        <v>1.2100000000000005E-2</v>
      </c>
      <c r="I43" s="36"/>
      <c r="J43" s="36">
        <f t="shared" ca="1" si="2"/>
        <v>3.9929999999999993E-2</v>
      </c>
    </row>
    <row r="44" spans="1:10" ht="22.5" hidden="1" customHeight="1">
      <c r="A44" s="36"/>
      <c r="B44" s="3255" t="s">
        <v>1288</v>
      </c>
      <c r="C44" s="3241">
        <v>0.6</v>
      </c>
      <c r="D44" s="3242">
        <f ca="1">('PPeGG anuais'!B15+'PPeGG anuais'!B16)/('PPeGG anuais'!B13-'PPeGG anuais'!B17)</f>
        <v>2.7059426990493169</v>
      </c>
      <c r="E44" s="3243">
        <f ca="1">('PPeGG anuais'!D15+'PPeGG anuais'!D16)/('PPeGG anuais'!D13-'PPeGG anuais'!D17)</f>
        <v>1.7652517600935491</v>
      </c>
      <c r="F44" s="3243">
        <f ca="1">('PPeGG anuais'!G15+'PPeGG anuais'!G16)/('PPeGG anuais'!G13-'PPeGG anuais'!G17)</f>
        <v>1.7099592798809047</v>
      </c>
      <c r="G44" s="3243">
        <f ca="1">('PPeGG anuais'!J15+'PPeGG anuais'!J16)/('PPeGG anuais'!J13-'PPeGG anuais'!J17)</f>
        <v>1.6544447748398614</v>
      </c>
      <c r="H44" s="3244">
        <f ca="1">('PPeGG anuais'!M15+'PPeGG anuais'!M16)/('PPeGG anuais'!M13-'PPeGG anuais'!M17)</f>
        <v>1.6019346152854883</v>
      </c>
      <c r="I44" s="36"/>
      <c r="J44" s="36">
        <f t="shared" ca="1" si="2"/>
        <v>1.6235656194295902</v>
      </c>
    </row>
    <row r="45" spans="1:10" ht="22.5" hidden="1" customHeight="1" thickBot="1">
      <c r="A45" s="36"/>
      <c r="B45" s="3256" t="s">
        <v>1289</v>
      </c>
      <c r="C45" s="3245">
        <v>1</v>
      </c>
      <c r="D45" s="3246">
        <f ca="1">('PPeGG anuais'!B20-'PPeGG anuais'!B10)/('Balanços anuais'!F32+'Balanços anuais'!F37)</f>
        <v>-20.632955596877498</v>
      </c>
      <c r="E45" s="3247">
        <f ca="1">('PPeGG anuais'!D20-'PPeGG anuais'!D10)/('Balanços anuais'!H32+'Balanços anuais'!H37)</f>
        <v>-14.576224001781886</v>
      </c>
      <c r="F45" s="3247">
        <f ca="1">('PPeGG anuais'!G20-'PPeGG anuais'!G10)/('Balanços anuais'!J32+'Balanços anuais'!J37)</f>
        <v>-13.523033902493422</v>
      </c>
      <c r="G45" s="3247">
        <f ca="1">('PPeGG anuais'!J20-'PPeGG anuais'!J10)/('Balanços anuais'!L32+'Balanços anuais'!L37)</f>
        <v>-12.465614758854503</v>
      </c>
      <c r="H45" s="3248">
        <f ca="1">('PPeGG anuais'!M20-'PPeGG anuais'!M10)/('Balanços anuais'!N32+'Balanços anuais'!N37)</f>
        <v>-11.465421243533106</v>
      </c>
      <c r="I45" s="36"/>
      <c r="J45" s="36">
        <f ca="1">D45*C45</f>
        <v>-20.632955596877498</v>
      </c>
    </row>
    <row r="46" spans="1:10" hidden="1">
      <c r="A46" s="36"/>
      <c r="B46" s="36"/>
      <c r="C46" s="36"/>
      <c r="D46" s="1566"/>
      <c r="E46" s="1566"/>
      <c r="F46" s="1566"/>
      <c r="G46" s="1566"/>
      <c r="H46" s="1566"/>
      <c r="I46" s="36"/>
      <c r="J46" s="36"/>
    </row>
    <row r="47" spans="1:10" hidden="1">
      <c r="A47" s="36"/>
      <c r="B47" s="36"/>
      <c r="C47" s="3257" t="s">
        <v>1290</v>
      </c>
      <c r="D47" s="3243">
        <f t="shared" ref="D47:H47" ca="1" si="3">SUMPRODUCT($C$41:$C$45,D41:D45)</f>
        <v>-16.356131481883441</v>
      </c>
      <c r="E47" s="3243">
        <f t="shared" ca="1" si="3"/>
        <v>-10.870128642981545</v>
      </c>
      <c r="F47" s="3243">
        <f t="shared" ca="1" si="3"/>
        <v>-9.8521396721597547</v>
      </c>
      <c r="G47" s="3243">
        <f ca="1">SUMPRODUCT($C$41:$C$45,G41:G45)</f>
        <v>-8.8289953998511059</v>
      </c>
      <c r="H47" s="3243">
        <f t="shared" ca="1" si="3"/>
        <v>-7.8608610580927483</v>
      </c>
      <c r="I47" s="36"/>
      <c r="J47" s="36"/>
    </row>
    <row r="48" spans="1:10" hidden="1">
      <c r="A48" s="36"/>
      <c r="B48" s="36"/>
      <c r="C48" s="36"/>
      <c r="D48" s="1566"/>
      <c r="E48" s="1566"/>
      <c r="F48" s="1566"/>
      <c r="G48" s="1566"/>
      <c r="H48" s="1566"/>
      <c r="I48" s="36"/>
      <c r="J48" s="36"/>
    </row>
    <row r="49" spans="3:8" hidden="1">
      <c r="C49" s="1164" t="s">
        <v>1294</v>
      </c>
      <c r="D49" s="3258" t="e">
        <f ca="1">VLOOKUP(D47,$C$52:$D$61,2)</f>
        <v>#N/A</v>
      </c>
      <c r="E49" s="3258" t="e">
        <f t="shared" ref="E49:H49" ca="1" si="4">VLOOKUP(E47,$C$52:$D$61,2)</f>
        <v>#N/A</v>
      </c>
      <c r="F49" s="3258" t="e">
        <f t="shared" ca="1" si="4"/>
        <v>#N/A</v>
      </c>
      <c r="G49" s="3258" t="e">
        <f t="shared" ca="1" si="4"/>
        <v>#N/A</v>
      </c>
      <c r="H49" s="3258" t="e">
        <f t="shared" ca="1" si="4"/>
        <v>#N/A</v>
      </c>
    </row>
    <row r="50" spans="3:8" hidden="1">
      <c r="C50" s="36"/>
      <c r="D50" s="1566"/>
      <c r="E50" s="1566"/>
      <c r="F50" s="1566"/>
      <c r="G50" s="1566"/>
      <c r="H50" s="1566"/>
    </row>
    <row r="51" spans="3:8" hidden="1">
      <c r="C51" s="3257" t="s">
        <v>1290</v>
      </c>
      <c r="D51" s="3259" t="s">
        <v>1295</v>
      </c>
      <c r="E51" s="1566"/>
      <c r="F51" s="1566" t="s">
        <v>1296</v>
      </c>
      <c r="G51" s="1566"/>
      <c r="H51" s="1566"/>
    </row>
    <row r="52" spans="3:8" hidden="1">
      <c r="C52" s="3260">
        <v>0.21</v>
      </c>
      <c r="D52" s="3258">
        <v>1</v>
      </c>
      <c r="E52" s="1566"/>
      <c r="F52" s="1566"/>
      <c r="G52" s="1566"/>
      <c r="H52" s="1566"/>
    </row>
    <row r="53" spans="3:8" hidden="1">
      <c r="C53" s="3260">
        <v>4.8000000000000001E-2</v>
      </c>
      <c r="D53" s="3258">
        <v>0.9</v>
      </c>
      <c r="E53" s="1566"/>
      <c r="F53" s="1566"/>
      <c r="G53" s="1566"/>
      <c r="H53" s="1566"/>
    </row>
    <row r="54" spans="3:8" hidden="1">
      <c r="C54" s="3260">
        <v>-2E-3</v>
      </c>
      <c r="D54" s="3258">
        <v>0.8</v>
      </c>
      <c r="E54" s="1566"/>
      <c r="F54" s="1566"/>
      <c r="G54" s="1566"/>
      <c r="H54" s="1566"/>
    </row>
    <row r="55" spans="3:8" hidden="1">
      <c r="C55" s="3260">
        <v>-2.5999999999999999E-2</v>
      </c>
      <c r="D55" s="3258">
        <v>0.7</v>
      </c>
      <c r="E55" s="1566"/>
      <c r="F55" s="1566"/>
      <c r="G55" s="1566"/>
      <c r="H55" s="1566"/>
    </row>
    <row r="56" spans="3:8" hidden="1">
      <c r="C56" s="3260">
        <v>-6.8000000000000005E-2</v>
      </c>
      <c r="D56" s="3258">
        <v>0.5</v>
      </c>
      <c r="E56" s="1566"/>
      <c r="F56" s="1566"/>
      <c r="G56" s="1566"/>
      <c r="H56" s="1566"/>
    </row>
    <row r="57" spans="3:8" hidden="1">
      <c r="C57" s="3260">
        <v>-8.6999999999999994E-2</v>
      </c>
      <c r="D57" s="3258">
        <v>0.4</v>
      </c>
      <c r="E57" s="1566"/>
      <c r="F57" s="1566"/>
      <c r="G57" s="1566"/>
      <c r="H57" s="1566"/>
    </row>
    <row r="58" spans="3:8" hidden="1">
      <c r="C58" s="3260">
        <v>-0.107</v>
      </c>
      <c r="D58" s="3258">
        <v>0.3</v>
      </c>
      <c r="E58" s="1566"/>
      <c r="F58" s="1566"/>
      <c r="G58" s="1566"/>
      <c r="H58" s="1566"/>
    </row>
    <row r="59" spans="3:8" hidden="1">
      <c r="C59" s="3260">
        <v>-0.13100000000000001</v>
      </c>
      <c r="D59" s="3258">
        <v>0.2</v>
      </c>
      <c r="E59" s="1566"/>
      <c r="F59" s="1566"/>
      <c r="G59" s="1566"/>
      <c r="H59" s="1566"/>
    </row>
    <row r="60" spans="3:8" hidden="1">
      <c r="C60" s="3260">
        <v>-0.16400000000000001</v>
      </c>
      <c r="D60" s="3258">
        <v>0.1</v>
      </c>
      <c r="E60" s="1566"/>
      <c r="F60" s="1566"/>
      <c r="G60" s="1566"/>
      <c r="H60" s="1566"/>
    </row>
    <row r="61" spans="3:8" hidden="1">
      <c r="C61" s="3260">
        <v>-1</v>
      </c>
      <c r="D61" s="3258">
        <v>0</v>
      </c>
      <c r="E61" s="1566"/>
      <c r="F61" s="1566"/>
      <c r="G61" s="1566"/>
      <c r="H61" s="1566"/>
    </row>
    <row r="62" spans="3:8" hidden="1">
      <c r="C62" s="36"/>
      <c r="D62" s="1566"/>
      <c r="E62" s="1566"/>
      <c r="F62" s="1566"/>
      <c r="G62" s="1566"/>
      <c r="H62" s="1566"/>
    </row>
    <row r="63" spans="3:8">
      <c r="C63" s="36"/>
      <c r="D63" s="1566"/>
      <c r="E63" s="1566"/>
      <c r="F63" s="1566"/>
      <c r="G63" s="1566"/>
      <c r="H63" s="1566"/>
    </row>
    <row r="64" spans="3:8">
      <c r="C64" s="36"/>
      <c r="D64" s="1566"/>
      <c r="E64" s="1566"/>
      <c r="F64" s="1566"/>
      <c r="G64" s="1566"/>
      <c r="H64" s="1566"/>
    </row>
  </sheetData>
  <sheetProtection sheet="1" objects="1" scenarios="1"/>
  <conditionalFormatting sqref="D6:H10">
    <cfRule type="expression" dxfId="4" priority="1" stopIfTrue="1">
      <formula>D6&lt;$C6</formula>
    </cfRule>
    <cfRule type="expression" dxfId="3" priority="2">
      <formula>D6&gt;=$C6</formula>
    </cfRule>
  </conditionalFormatting>
  <conditionalFormatting sqref="D28:H28 D30:H30">
    <cfRule type="expression" dxfId="2" priority="3" stopIfTrue="1">
      <formula>D$28&gt;=3</formula>
    </cfRule>
    <cfRule type="expression" dxfId="1" priority="4">
      <formula>D$28&gt;=1.8</formula>
    </cfRule>
  </conditionalFormatting>
  <printOptions horizontalCentered="1"/>
  <pageMargins left="0.64" right="0.82" top="0.74803149606299213" bottom="0.74803149606299213" header="0.31496062992125984" footer="0.31496062992125984"/>
  <pageSetup paperSize="9" scale="59" orientation="portrait" horizontalDpi="300" verticalDpi="300"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61"/>
    <outlinePr summaryBelow="0"/>
    <pageSetUpPr fitToPage="1"/>
  </sheetPr>
  <dimension ref="A1:O699"/>
  <sheetViews>
    <sheetView workbookViewId="0"/>
  </sheetViews>
  <sheetFormatPr baseColWidth="10" defaultColWidth="8" defaultRowHeight="12.75"/>
  <cols>
    <col min="1" max="1" width="35.5" style="1874" customWidth="1"/>
    <col min="2" max="7" width="15.125" style="1874" customWidth="1"/>
    <col min="8" max="8" width="8" style="1874" customWidth="1"/>
    <col min="9" max="9" width="11.875" style="1874" customWidth="1"/>
    <col min="10" max="11" width="8" style="1874" customWidth="1"/>
    <col min="12" max="12" width="11.625" style="1874" customWidth="1"/>
    <col min="13" max="13" width="11.25" style="1874" bestFit="1" customWidth="1"/>
    <col min="14" max="14" width="8" style="1874" customWidth="1"/>
    <col min="15" max="15" width="9.875" style="1874" bestFit="1" customWidth="1"/>
    <col min="16" max="16384" width="8" style="1874"/>
  </cols>
  <sheetData>
    <row r="1" spans="1:15" ht="27" customHeight="1">
      <c r="A1" s="1880" t="s">
        <v>1046</v>
      </c>
      <c r="B1" s="1873"/>
      <c r="C1" s="1873"/>
      <c r="D1" s="1873"/>
      <c r="E1" s="1873"/>
      <c r="F1" s="1873"/>
      <c r="G1" s="1873"/>
      <c r="H1" s="1873"/>
    </row>
    <row r="2" spans="1:15" ht="22.5">
      <c r="A2" s="1880" t="str">
        <f>'Dados Básicos'!B9</f>
        <v>WWW, S.L.</v>
      </c>
      <c r="B2" s="1875"/>
      <c r="C2" s="1873"/>
      <c r="D2" s="1873"/>
      <c r="E2" s="1873"/>
      <c r="F2" s="1873"/>
      <c r="G2" s="1873"/>
      <c r="H2" s="1873"/>
    </row>
    <row r="3" spans="1:15" ht="22.5">
      <c r="A3" s="1880"/>
      <c r="B3" s="1875"/>
      <c r="C3" s="1873"/>
      <c r="D3" s="1873"/>
      <c r="E3" s="1873"/>
      <c r="F3" s="1873"/>
      <c r="G3" s="1873"/>
      <c r="H3" s="1873"/>
    </row>
    <row r="4" spans="1:15" ht="13.5" thickBot="1">
      <c r="A4" s="1877"/>
      <c r="H4" s="1873"/>
    </row>
    <row r="5" spans="1:15" ht="37.5" customHeight="1">
      <c r="A5" s="1947" t="s">
        <v>1020</v>
      </c>
      <c r="B5" s="1893" t="str">
        <f>"Inicial : 
"&amp;'Balanços anuais'!D3</f>
        <v>Inicial : 
mes de janeiro de 2026 (*)</v>
      </c>
      <c r="C5" s="1894" t="str">
        <f t="array" ref="C5:G5">anni</f>
        <v>Ano 0:  2026</v>
      </c>
      <c r="D5" s="1893" t="str">
        <v>Ano 1:  2027</v>
      </c>
      <c r="E5" s="1894" t="str">
        <v>Ano 2:  2028</v>
      </c>
      <c r="F5" s="1893" t="str">
        <v>Ano 3:  2029</v>
      </c>
      <c r="G5" s="1938" t="str">
        <v>Ano 4:  2030</v>
      </c>
      <c r="H5" s="1876"/>
    </row>
    <row r="6" spans="1:15" ht="17.25" customHeight="1">
      <c r="A6" s="1885"/>
      <c r="B6" s="1895" t="s">
        <v>188</v>
      </c>
      <c r="C6" s="1896" t="s">
        <v>189</v>
      </c>
      <c r="D6" s="1895" t="s">
        <v>190</v>
      </c>
      <c r="E6" s="1896" t="s">
        <v>191</v>
      </c>
      <c r="F6" s="1895" t="s">
        <v>192</v>
      </c>
      <c r="G6" s="1939" t="s">
        <v>193</v>
      </c>
      <c r="H6" s="1878"/>
    </row>
    <row r="7" spans="1:15" ht="17.25" customHeight="1">
      <c r="A7" s="1891" t="s">
        <v>1018</v>
      </c>
      <c r="B7" s="1889">
        <f>'Balanços anuais'!D30</f>
        <v>0</v>
      </c>
      <c r="C7" s="1888">
        <f ca="1">+'Balanços anuais'!F30</f>
        <v>-10109.874545454546</v>
      </c>
      <c r="D7" s="1889">
        <f ca="1">+'Balanços anuais'!H30</f>
        <v>-7882.6148181818189</v>
      </c>
      <c r="E7" s="1888">
        <f ca="1">+'Balanços anuais'!J30</f>
        <v>-7921.6485315000009</v>
      </c>
      <c r="F7" s="1889">
        <f ca="1">+'Balanços anuais'!L30</f>
        <v>-7915.4769656186982</v>
      </c>
      <c r="G7" s="1940">
        <f ca="1">+'Balanços anuais'!N30</f>
        <v>-7888.6903296170467</v>
      </c>
      <c r="H7" s="1878"/>
    </row>
    <row r="8" spans="1:15" ht="17.25" customHeight="1">
      <c r="A8" s="1892" t="s">
        <v>1019</v>
      </c>
      <c r="B8" s="1889">
        <v>0</v>
      </c>
      <c r="C8" s="1888">
        <f ca="1">-'PPeGG anuais'!B27</f>
        <v>87.11999999999999</v>
      </c>
      <c r="D8" s="1889">
        <f ca="1">-'PPeGG anuais'!D27</f>
        <v>149.55599999999995</v>
      </c>
      <c r="E8" s="1888">
        <f ca="1">-'PPeGG anuais'!G27</f>
        <v>161.74481399999999</v>
      </c>
      <c r="F8" s="1889">
        <f ca="1">-'PPeGG anuais'!J27</f>
        <v>175.00634832119999</v>
      </c>
      <c r="G8" s="1940">
        <f ca="1">-'PPeGG anuais'!M27</f>
        <v>189.24485212749605</v>
      </c>
      <c r="H8" s="1878"/>
      <c r="J8" s="1874" t="s">
        <v>1042</v>
      </c>
    </row>
    <row r="9" spans="1:15" ht="17.25" customHeight="1">
      <c r="A9" s="1892" t="s">
        <v>1021</v>
      </c>
      <c r="B9" s="1889">
        <v>0</v>
      </c>
      <c r="C9" s="1888">
        <f>'PPeGG anuais'!B22</f>
        <v>0</v>
      </c>
      <c r="D9" s="1889">
        <f>'PPeGG anuais'!D22</f>
        <v>0</v>
      </c>
      <c r="E9" s="1888">
        <f>'PPeGG anuais'!G22</f>
        <v>0</v>
      </c>
      <c r="F9" s="1889">
        <f>'PPeGG anuais'!J22</f>
        <v>0</v>
      </c>
      <c r="G9" s="1940">
        <f>+'PPeGG anuais'!M22</f>
        <v>0</v>
      </c>
      <c r="H9" s="1878"/>
      <c r="L9" s="1874" t="s">
        <v>1043</v>
      </c>
      <c r="M9" s="1874" t="s">
        <v>228</v>
      </c>
    </row>
    <row r="10" spans="1:15" ht="17.25" customHeight="1">
      <c r="A10" s="1892" t="s">
        <v>1022</v>
      </c>
      <c r="B10" s="1889">
        <f>-Amortiçações!D6</f>
        <v>0</v>
      </c>
      <c r="C10" s="1888">
        <f>-Amortiçações!D6*0</f>
        <v>0</v>
      </c>
      <c r="D10" s="1889">
        <f t="array" ref="D10:G10">-Amortiçações!E6:H6</f>
        <v>0</v>
      </c>
      <c r="E10" s="1888">
        <v>0</v>
      </c>
      <c r="F10" s="1889">
        <v>0</v>
      </c>
      <c r="G10" s="1940">
        <v>0</v>
      </c>
      <c r="H10" s="1878"/>
      <c r="J10" s="1874">
        <v>0</v>
      </c>
      <c r="K10" s="1874" t="s">
        <v>202</v>
      </c>
      <c r="L10" s="2373">
        <f>B14</f>
        <v>0</v>
      </c>
      <c r="M10" s="2373">
        <f>L10/(1+$B$27)^J10</f>
        <v>0</v>
      </c>
    </row>
    <row r="11" spans="1:15" ht="17.25" customHeight="1">
      <c r="A11" s="1892" t="s">
        <v>1023</v>
      </c>
      <c r="B11" s="1889">
        <f>-Amortiçações!D17</f>
        <v>0</v>
      </c>
      <c r="C11" s="1888">
        <f>-Amortiçações!D17*0</f>
        <v>0</v>
      </c>
      <c r="D11" s="1889">
        <f t="array" ref="D11:G11">-Amortiçações!E17:H17</f>
        <v>0</v>
      </c>
      <c r="E11" s="1888">
        <v>0</v>
      </c>
      <c r="F11" s="1889">
        <v>0</v>
      </c>
      <c r="G11" s="1940">
        <v>0</v>
      </c>
      <c r="H11" s="1878"/>
      <c r="J11" s="1874">
        <v>1</v>
      </c>
      <c r="K11" s="1874" t="s">
        <v>203</v>
      </c>
      <c r="L11" s="2373">
        <f ca="1">C14</f>
        <v>-10022.754545454545</v>
      </c>
      <c r="M11" s="2373">
        <f t="shared" ref="M11:M35" ca="1" si="0">L11/(1+$B$27)^J11</f>
        <v>-8869.6942880128736</v>
      </c>
      <c r="N11" s="1874" t="s">
        <v>229</v>
      </c>
      <c r="O11" s="2373">
        <f ca="1">SUM(M10:M15)</f>
        <v>-29230.142309713097</v>
      </c>
    </row>
    <row r="12" spans="1:15" ht="17.25" customHeight="1">
      <c r="A12" s="1892" t="s">
        <v>1024</v>
      </c>
      <c r="B12" s="1889">
        <f>-SUM('Investimentos AC'!H12:H15)-'Investimentos AC'!G24+'Finançamento Inicial'!B27</f>
        <v>0</v>
      </c>
      <c r="C12" s="1888">
        <f t="array" aca="1" ref="C12:G12" ca="1">-'Dados Evaluação'!B45:F45</f>
        <v>0</v>
      </c>
      <c r="D12" s="1889">
        <f ca="1"/>
        <v>0</v>
      </c>
      <c r="E12" s="1888">
        <f ca="1"/>
        <v>0</v>
      </c>
      <c r="F12" s="1889">
        <f ca="1"/>
        <v>0</v>
      </c>
      <c r="G12" s="1940">
        <f ca="1"/>
        <v>0</v>
      </c>
      <c r="H12" s="1879"/>
      <c r="J12" s="1874">
        <v>2</v>
      </c>
      <c r="K12" s="1874" t="s">
        <v>204</v>
      </c>
      <c r="L12" s="2373">
        <f ca="1">D14</f>
        <v>-7733.0588181818193</v>
      </c>
      <c r="M12" s="2373">
        <f t="shared" ca="1" si="0"/>
        <v>-6056.1193657935792</v>
      </c>
      <c r="N12" s="1874" t="s">
        <v>230</v>
      </c>
      <c r="O12" s="2373">
        <f>SUMIF(J16:J35,"&lt;="&amp;TEXT(B29,"##0"),M16:M35)</f>
        <v>0</v>
      </c>
    </row>
    <row r="13" spans="1:15" ht="17.25" customHeight="1" thickBot="1">
      <c r="A13" s="1886"/>
      <c r="B13" s="1890"/>
      <c r="C13" s="1887"/>
      <c r="D13" s="1890"/>
      <c r="E13" s="1887"/>
      <c r="F13" s="1890"/>
      <c r="G13" s="1941"/>
      <c r="H13" s="1878"/>
      <c r="J13" s="1874">
        <v>3</v>
      </c>
      <c r="K13" s="1874" t="s">
        <v>205</v>
      </c>
      <c r="L13" s="2373">
        <f ca="1">E14</f>
        <v>-7759.9037175000012</v>
      </c>
      <c r="M13" s="2373">
        <f t="shared" ca="1" si="0"/>
        <v>-5378.0025306726702</v>
      </c>
    </row>
    <row r="14" spans="1:15" ht="17.25" customHeight="1" thickBot="1">
      <c r="A14" s="1921" t="str">
        <f>$A$5</f>
        <v>Fluxos de Caixa Livres</v>
      </c>
      <c r="B14" s="1944">
        <f t="shared" ref="B14:G14" si="1">SUM(B7:B13)</f>
        <v>0</v>
      </c>
      <c r="C14" s="1936">
        <f t="shared" ca="1" si="1"/>
        <v>-10022.754545454545</v>
      </c>
      <c r="D14" s="1944">
        <f t="shared" ca="1" si="1"/>
        <v>-7733.0588181818193</v>
      </c>
      <c r="E14" s="1936">
        <f t="shared" ca="1" si="1"/>
        <v>-7759.9037175000012</v>
      </c>
      <c r="F14" s="1944">
        <f t="shared" ca="1" si="1"/>
        <v>-7740.4706172974984</v>
      </c>
      <c r="G14" s="1942">
        <f t="shared" ca="1" si="1"/>
        <v>-7699.4454774895503</v>
      </c>
      <c r="H14" s="1878"/>
      <c r="J14" s="1874">
        <v>4</v>
      </c>
      <c r="K14" s="1874" t="s">
        <v>206</v>
      </c>
      <c r="L14" s="2373">
        <f ca="1">F14</f>
        <v>-7740.4706172974984</v>
      </c>
      <c r="M14" s="2373">
        <f t="shared" ca="1" si="0"/>
        <v>-4747.3755906405022</v>
      </c>
    </row>
    <row r="15" spans="1:15" ht="13.5" thickBot="1">
      <c r="A15" s="1935"/>
      <c r="B15" s="1945"/>
      <c r="C15" s="1937"/>
      <c r="D15" s="1945"/>
      <c r="E15" s="1937"/>
      <c r="F15" s="1945"/>
      <c r="G15" s="1943"/>
      <c r="H15" s="1878"/>
      <c r="J15" s="1874">
        <v>5</v>
      </c>
      <c r="K15" s="1874" t="s">
        <v>207</v>
      </c>
      <c r="L15" s="2373">
        <f ca="1">G14</f>
        <v>-7699.4454774895503</v>
      </c>
      <c r="M15" s="2373">
        <f t="shared" ca="1" si="0"/>
        <v>-4178.9505345934722</v>
      </c>
    </row>
    <row r="16" spans="1:15" ht="18" customHeight="1" thickBot="1">
      <c r="A16" s="1921" t="s">
        <v>1025</v>
      </c>
      <c r="B16" s="1944">
        <f>B14</f>
        <v>0</v>
      </c>
      <c r="C16" s="1936">
        <f ca="1">C14+B16</f>
        <v>-10022.754545454545</v>
      </c>
      <c r="D16" s="1944">
        <f ca="1">D14+C16</f>
        <v>-17755.813363636364</v>
      </c>
      <c r="E16" s="1936">
        <f ca="1">E14+D16</f>
        <v>-25515.717081136365</v>
      </c>
      <c r="F16" s="1944">
        <f ca="1">F14+E16</f>
        <v>-33256.18769843386</v>
      </c>
      <c r="G16" s="1942">
        <f ca="1">G14+F16</f>
        <v>-40955.633175923409</v>
      </c>
      <c r="H16" s="1878"/>
      <c r="J16" s="1874">
        <v>6</v>
      </c>
      <c r="K16" s="1874" t="s">
        <v>208</v>
      </c>
      <c r="L16" s="2373">
        <f ca="1">L15*(1+$B$32)</f>
        <v>-7930.4288418142369</v>
      </c>
      <c r="M16" s="2373">
        <f t="shared" ca="1" si="0"/>
        <v>-3809.1319032135198</v>
      </c>
    </row>
    <row r="17" spans="1:13">
      <c r="A17" s="1882"/>
      <c r="H17" s="1878"/>
      <c r="J17" s="1874">
        <v>7</v>
      </c>
      <c r="K17" s="1874" t="s">
        <v>209</v>
      </c>
      <c r="L17" s="2373">
        <f t="shared" ref="L17:L35" ca="1" si="2">L16*(1+$B$32)</f>
        <v>-8168.3417070686646</v>
      </c>
      <c r="M17" s="2373">
        <f t="shared" ca="1" si="0"/>
        <v>-3472.0405843450671</v>
      </c>
    </row>
    <row r="18" spans="1:13" ht="15.75" thickBot="1">
      <c r="A18" s="1899"/>
      <c r="B18" s="1897"/>
      <c r="C18" s="1898"/>
      <c r="D18" s="1898"/>
      <c r="H18" s="1878"/>
      <c r="J18" s="1874">
        <v>8</v>
      </c>
      <c r="K18" s="1874" t="s">
        <v>210</v>
      </c>
      <c r="L18" s="2373">
        <f t="shared" ca="1" si="2"/>
        <v>-8413.3919582807248</v>
      </c>
      <c r="M18" s="2373">
        <f t="shared" ca="1" si="0"/>
        <v>-3164.780355641964</v>
      </c>
    </row>
    <row r="19" spans="1:13" ht="17.25" customHeight="1" thickBot="1">
      <c r="A19" s="1932" t="s">
        <v>1026</v>
      </c>
      <c r="B19" s="1933"/>
      <c r="C19" s="1934"/>
      <c r="D19" s="1898"/>
      <c r="E19" s="1948"/>
      <c r="F19" s="1966" t="s">
        <v>198</v>
      </c>
      <c r="G19" s="3118" t="str">
        <f ca="1">IF(G16&lt;0,"N/D",
IF(B16&gt;0,"N/D ( 0 )",
IF(C16&gt;0,0-B16/C14,
IF(D16&gt;0,1-C16/D14,
IF(E16&gt;0,2-D16/E14,
IF(F16&gt;0,3-E16/F14,
              4-F16/G14   ))))))</f>
        <v>N/D</v>
      </c>
      <c r="H19" s="1878"/>
      <c r="J19" s="1874">
        <v>9</v>
      </c>
      <c r="K19" s="1874" t="s">
        <v>211</v>
      </c>
      <c r="L19" s="2373">
        <f t="shared" ca="1" si="2"/>
        <v>-8665.7937170291461</v>
      </c>
      <c r="M19" s="2373">
        <f t="shared" ca="1" si="0"/>
        <v>-2884.7112976205512</v>
      </c>
    </row>
    <row r="20" spans="1:13" ht="21.75" customHeight="1" thickBot="1">
      <c r="A20" s="1907" t="s">
        <v>1045</v>
      </c>
      <c r="B20" s="1908">
        <v>0.03</v>
      </c>
      <c r="C20" s="1909" t="s">
        <v>1038</v>
      </c>
      <c r="D20" s="1873"/>
      <c r="E20" s="1878"/>
      <c r="F20" s="1878"/>
      <c r="G20" s="1878"/>
      <c r="H20" s="1878"/>
      <c r="J20" s="1874">
        <v>10</v>
      </c>
      <c r="K20" s="1874" t="s">
        <v>212</v>
      </c>
      <c r="L20" s="2373">
        <f t="shared" ca="1" si="2"/>
        <v>-8925.7675285400201</v>
      </c>
      <c r="M20" s="2373">
        <f t="shared" ca="1" si="0"/>
        <v>-2629.4271119904142</v>
      </c>
    </row>
    <row r="21" spans="1:13" ht="21" customHeight="1" thickBot="1">
      <c r="A21" s="1910" t="s">
        <v>1039</v>
      </c>
      <c r="B21" s="1911"/>
      <c r="C21" s="1912"/>
      <c r="D21" s="1883"/>
      <c r="E21" s="1946"/>
      <c r="F21" s="1965" t="s">
        <v>187</v>
      </c>
      <c r="G21" s="1924" t="str">
        <f ca="1">IF(ISERR(IRR(OFFSET(L10,0,0,IF($B$29="perpetuidade",50,$B$29),1))),"N/D",IRR(OFFSET(L10,0,0,IF($B$29="perpetuidade",50,$B$29),1)))</f>
        <v>N/D</v>
      </c>
      <c r="H21" s="1878"/>
      <c r="J21" s="1874">
        <v>11</v>
      </c>
      <c r="K21" s="1874" t="s">
        <v>213</v>
      </c>
      <c r="L21" s="2373">
        <f t="shared" ca="1" si="2"/>
        <v>-9193.5405543962206</v>
      </c>
      <c r="M21" s="2373">
        <f t="shared" ca="1" si="0"/>
        <v>-2396.7344472125019</v>
      </c>
    </row>
    <row r="22" spans="1:13" ht="17.25" customHeight="1" thickBot="1">
      <c r="A22" s="1913" t="s">
        <v>1040</v>
      </c>
      <c r="B22" s="1906">
        <v>0.06</v>
      </c>
      <c r="C22" s="1914" t="s">
        <v>194</v>
      </c>
      <c r="D22" s="1883"/>
      <c r="H22" s="1878"/>
      <c r="J22" s="1874">
        <v>12</v>
      </c>
      <c r="K22" s="1874" t="s">
        <v>214</v>
      </c>
      <c r="L22" s="2373">
        <f t="shared" ca="1" si="2"/>
        <v>-9469.3467710281075</v>
      </c>
      <c r="M22" s="2373">
        <f t="shared" ca="1" si="0"/>
        <v>-2184.6340536538737</v>
      </c>
    </row>
    <row r="23" spans="1:13" ht="17.25" customHeight="1" thickBot="1">
      <c r="A23" s="1913" t="s">
        <v>1035</v>
      </c>
      <c r="B23" s="1906">
        <f>50%*B22</f>
        <v>0.03</v>
      </c>
      <c r="C23" s="1914" t="s">
        <v>196</v>
      </c>
      <c r="D23" s="1883"/>
      <c r="E23" s="1946" t="s">
        <v>197</v>
      </c>
      <c r="F23" s="1927"/>
      <c r="G23" s="1924">
        <f ca="1">IF(ISERR(MIRR(OFFSET(L10,0,0,IF($B$29="perpetuidade",50,$B$29),1),G25,G26)),"N/D",MIRR(OFFSET(L10,0,0,IF($B$29="perpetuidade",50,$B$29),1),G25,G26))</f>
        <v>-1</v>
      </c>
      <c r="H23" s="1878"/>
      <c r="J23" s="1874">
        <v>13</v>
      </c>
      <c r="K23" s="1874" t="s">
        <v>215</v>
      </c>
      <c r="L23" s="2373">
        <f t="shared" ca="1" si="2"/>
        <v>-9753.4271741589509</v>
      </c>
      <c r="M23" s="2373">
        <f t="shared" ca="1" si="0"/>
        <v>-1991.3036064278674</v>
      </c>
    </row>
    <row r="24" spans="1:13" ht="17.25" customHeight="1" thickBot="1">
      <c r="A24" s="1915" t="s">
        <v>1036</v>
      </c>
      <c r="B24" s="1916">
        <v>0.01</v>
      </c>
      <c r="C24" s="1917" t="s">
        <v>195</v>
      </c>
      <c r="D24" s="1883"/>
      <c r="E24" s="1954" t="s">
        <v>1028</v>
      </c>
      <c r="F24" s="1928"/>
      <c r="G24" s="1926"/>
      <c r="H24" s="1878"/>
      <c r="J24" s="1874">
        <v>14</v>
      </c>
      <c r="K24" s="1874" t="s">
        <v>216</v>
      </c>
      <c r="L24" s="2373">
        <f t="shared" ca="1" si="2"/>
        <v>-10046.02998938372</v>
      </c>
      <c r="M24" s="2373">
        <f t="shared" ca="1" si="0"/>
        <v>-1815.0820483369062</v>
      </c>
    </row>
    <row r="25" spans="1:13" ht="18.75" customHeight="1" thickBot="1">
      <c r="A25" s="1918" t="s">
        <v>1037</v>
      </c>
      <c r="B25" s="1919">
        <f>SUM(B22:B24)</f>
        <v>9.9999999999999992E-2</v>
      </c>
      <c r="C25" s="1920"/>
      <c r="D25" s="1883"/>
      <c r="E25" s="1913" t="s">
        <v>1029</v>
      </c>
      <c r="F25" s="1905"/>
      <c r="G25" s="1961">
        <f ca="1">IF(ISERR(MAX('Ratios Básicos'!C42:G43,B27,0)),"N/D",MAX('Ratios Básicos'!C42:G43,B27,0))</f>
        <v>0.35869242999973044</v>
      </c>
      <c r="H25" s="1878"/>
      <c r="J25" s="1874">
        <v>15</v>
      </c>
      <c r="K25" s="1874" t="s">
        <v>217</v>
      </c>
      <c r="L25" s="2373">
        <f t="shared" ca="1" si="2"/>
        <v>-10347.410889065231</v>
      </c>
      <c r="M25" s="2373">
        <f t="shared" ca="1" si="0"/>
        <v>-1654.455318395587</v>
      </c>
    </row>
    <row r="26" spans="1:13" ht="19.5" customHeight="1" thickBot="1">
      <c r="A26" s="1886"/>
      <c r="B26" s="1930"/>
      <c r="C26" s="1931"/>
      <c r="D26" s="1883"/>
      <c r="E26" s="1915" t="s">
        <v>1030</v>
      </c>
      <c r="F26" s="1929"/>
      <c r="G26" s="1925">
        <v>0</v>
      </c>
      <c r="H26" s="1878"/>
      <c r="J26" s="1874">
        <v>16</v>
      </c>
      <c r="K26" s="1874" t="s">
        <v>218</v>
      </c>
      <c r="L26" s="2373">
        <f t="shared" ca="1" si="2"/>
        <v>-10657.833215737188</v>
      </c>
      <c r="M26" s="2373">
        <f t="shared" ca="1" si="0"/>
        <v>-1508.0433433163316</v>
      </c>
    </row>
    <row r="27" spans="1:13" ht="19.5" customHeight="1" thickBot="1">
      <c r="A27" s="1921" t="s">
        <v>1034</v>
      </c>
      <c r="B27" s="1923">
        <f>+B20+B25</f>
        <v>0.13</v>
      </c>
      <c r="C27" s="1922"/>
      <c r="D27" s="1883"/>
      <c r="H27" s="1878"/>
      <c r="J27" s="1874">
        <v>17</v>
      </c>
      <c r="K27" s="1874" t="s">
        <v>219</v>
      </c>
      <c r="L27" s="2373">
        <f t="shared" ca="1" si="2"/>
        <v>-10977.568212209304</v>
      </c>
      <c r="M27" s="2373">
        <f t="shared" ca="1" si="0"/>
        <v>-1374.5881801909927</v>
      </c>
    </row>
    <row r="28" spans="1:13" ht="20.25" customHeight="1" thickBot="1">
      <c r="D28" s="1883"/>
      <c r="E28" s="1951" t="s">
        <v>1031</v>
      </c>
      <c r="F28" s="1953"/>
      <c r="G28" s="1952"/>
      <c r="H28" s="1878"/>
      <c r="J28" s="1874">
        <v>18</v>
      </c>
      <c r="K28" s="1874" t="s">
        <v>220</v>
      </c>
      <c r="L28" s="2373">
        <f t="shared" ca="1" si="2"/>
        <v>-11306.895258575583</v>
      </c>
      <c r="M28" s="2373">
        <f t="shared" ca="1" si="0"/>
        <v>-1252.943208492675</v>
      </c>
    </row>
    <row r="29" spans="1:13" ht="19.5" customHeight="1" thickBot="1">
      <c r="A29" s="1935" t="s">
        <v>1033</v>
      </c>
      <c r="B29" s="1971" t="s">
        <v>1044</v>
      </c>
      <c r="C29" s="1967" t="str">
        <f>IF(B29="perpetuidade","","anos")</f>
        <v/>
      </c>
      <c r="D29" s="1884"/>
      <c r="E29" s="1955" t="s">
        <v>1032</v>
      </c>
      <c r="F29" s="1905"/>
      <c r="G29" s="1949">
        <f ca="1">NPV($B$27,C14:G14) + B14</f>
        <v>-29230.142309713097</v>
      </c>
      <c r="H29" s="1878"/>
      <c r="J29" s="1874">
        <v>19</v>
      </c>
      <c r="K29" s="1874" t="s">
        <v>221</v>
      </c>
      <c r="L29" s="2373">
        <f t="shared" ca="1" si="2"/>
        <v>-11646.102116332851</v>
      </c>
      <c r="M29" s="2373">
        <f t="shared" ca="1" si="0"/>
        <v>-1142.0632785375713</v>
      </c>
    </row>
    <row r="30" spans="1:13" ht="18.75" customHeight="1" thickBot="1">
      <c r="D30" s="1878"/>
      <c r="E30" s="1955" t="str">
        <f>"Valor residual  "&amp; IF(B29=5,"","( CF5 até "&amp;B29&amp;" "&amp;C29&amp;")")</f>
        <v>Valor residual  ( CF5 até perpetuidade )</v>
      </c>
      <c r="F30" s="1905"/>
      <c r="G30" s="1949">
        <f ca="1">G14* (  (1+B32 ) / (1+ B27) ^ 5 ) /  ( B27 -B32 )  - IF(B29="perpetuidade",0, G14 * (1+B32)^(B29-4) / (1+B27 )^B29 /  ( B27 -B32 )  )</f>
        <v>-43043.190506312763</v>
      </c>
      <c r="H30" s="1878"/>
      <c r="J30" s="1874">
        <v>20</v>
      </c>
      <c r="K30" s="1874" t="s">
        <v>222</v>
      </c>
      <c r="L30" s="2373">
        <f t="shared" ca="1" si="2"/>
        <v>-11995.485179822837</v>
      </c>
      <c r="M30" s="2373">
        <f t="shared" ca="1" si="0"/>
        <v>-1040.995731764335</v>
      </c>
    </row>
    <row r="31" spans="1:13" ht="21" customHeight="1" thickBot="1">
      <c r="A31" s="1958" t="s">
        <v>1027</v>
      </c>
      <c r="B31" s="1964">
        <f>+inflacion</f>
        <v>0.04</v>
      </c>
      <c r="C31" s="1909" t="s">
        <v>201</v>
      </c>
      <c r="D31" s="1878"/>
      <c r="E31" s="1962" t="s">
        <v>258</v>
      </c>
      <c r="F31" s="1963"/>
      <c r="G31" s="1950">
        <f ca="1">SUM(G29:G30)</f>
        <v>-72273.332816025853</v>
      </c>
      <c r="H31" s="1878"/>
      <c r="J31" s="1874">
        <v>21</v>
      </c>
      <c r="K31" s="1874" t="s">
        <v>223</v>
      </c>
      <c r="L31" s="2373">
        <f t="shared" ca="1" si="2"/>
        <v>-12355.349735217524</v>
      </c>
      <c r="M31" s="2373">
        <f t="shared" ca="1" si="0"/>
        <v>-948.87221567899587</v>
      </c>
    </row>
    <row r="32" spans="1:13" ht="18.75" customHeight="1" thickBot="1">
      <c r="A32" s="1958" t="s">
        <v>1041</v>
      </c>
      <c r="B32" s="1959">
        <v>0.03</v>
      </c>
      <c r="C32" s="1960" t="s">
        <v>200</v>
      </c>
      <c r="D32" s="1878"/>
      <c r="E32" s="1948" t="s">
        <v>199</v>
      </c>
      <c r="F32" s="1956"/>
      <c r="G32" s="1957" t="str">
        <f ca="1">IF(MIN(G31,SUM(G7:G9))&lt;0,"N/D",G31/SUM(G7:G9))</f>
        <v>N/D</v>
      </c>
      <c r="H32" s="1878"/>
      <c r="J32" s="1874">
        <v>22</v>
      </c>
      <c r="K32" s="1874" t="s">
        <v>224</v>
      </c>
      <c r="L32" s="2373">
        <f t="shared" ca="1" si="2"/>
        <v>-12726.01022727405</v>
      </c>
      <c r="M32" s="2373">
        <f t="shared" ca="1" si="0"/>
        <v>-864.90122314103178</v>
      </c>
    </row>
    <row r="33" spans="1:13" ht="18.75" customHeight="1">
      <c r="C33" s="1878"/>
      <c r="D33" s="1878"/>
      <c r="H33" s="1878"/>
      <c r="J33" s="1874">
        <v>23</v>
      </c>
      <c r="K33" s="1874" t="s">
        <v>225</v>
      </c>
      <c r="L33" s="2373">
        <f t="shared" ca="1" si="2"/>
        <v>-13107.790534092272</v>
      </c>
      <c r="M33" s="2373">
        <f t="shared" ca="1" si="0"/>
        <v>-788.36129188961309</v>
      </c>
    </row>
    <row r="34" spans="1:13" ht="18.75" customHeight="1">
      <c r="C34" s="1878"/>
      <c r="J34" s="1874">
        <v>24</v>
      </c>
      <c r="K34" s="1874" t="s">
        <v>226</v>
      </c>
      <c r="L34" s="2373">
        <f t="shared" ca="1" si="2"/>
        <v>-13501.024250115041</v>
      </c>
      <c r="M34" s="2373">
        <f t="shared" ca="1" si="0"/>
        <v>-718.59480588168276</v>
      </c>
    </row>
    <row r="35" spans="1:13">
      <c r="A35" s="1878"/>
      <c r="B35" s="1878"/>
      <c r="C35" s="1878"/>
      <c r="D35" s="1878"/>
      <c r="E35" s="1878"/>
      <c r="F35" s="1878"/>
      <c r="J35" s="1874">
        <v>25</v>
      </c>
      <c r="K35" s="1874" t="s">
        <v>227</v>
      </c>
      <c r="L35" s="2373">
        <f t="shared" ca="1" si="2"/>
        <v>-13906.054977618493</v>
      </c>
      <c r="M35" s="2373">
        <f t="shared" ca="1" si="0"/>
        <v>-655.00234518418881</v>
      </c>
    </row>
    <row r="36" spans="1:13">
      <c r="A36" s="1878"/>
      <c r="B36" s="1878"/>
      <c r="C36" s="1878"/>
      <c r="D36" s="1878"/>
      <c r="E36" s="1878"/>
      <c r="F36" s="1878"/>
      <c r="G36" s="1878"/>
      <c r="H36" s="1878"/>
      <c r="J36" s="1874">
        <v>26</v>
      </c>
      <c r="K36" s="1874" t="s">
        <v>233</v>
      </c>
      <c r="L36" s="2373">
        <f t="shared" ref="L36:L60" ca="1" si="3">L35*(1+$B$32)</f>
        <v>-14323.236626947048</v>
      </c>
      <c r="M36" s="2373">
        <f t="shared" ref="M36:M60" ca="1" si="4">L36/(1+$B$27)^J36</f>
        <v>-597.03753587585368</v>
      </c>
    </row>
    <row r="37" spans="1:13">
      <c r="A37" s="1878"/>
      <c r="B37" s="1878"/>
      <c r="C37" s="1878"/>
      <c r="D37" s="1878"/>
      <c r="E37" s="1878"/>
      <c r="F37" s="1878"/>
      <c r="G37" s="1878"/>
      <c r="H37" s="1878"/>
      <c r="J37" s="1874">
        <v>27</v>
      </c>
      <c r="K37" s="1874" t="s">
        <v>234</v>
      </c>
      <c r="L37" s="2373">
        <f t="shared" ca="1" si="3"/>
        <v>-14752.93372575546</v>
      </c>
      <c r="M37" s="2373">
        <f t="shared" ca="1" si="4"/>
        <v>-544.20235570984903</v>
      </c>
    </row>
    <row r="38" spans="1:13">
      <c r="A38" s="1878"/>
      <c r="B38" s="1878"/>
      <c r="C38" s="1878"/>
      <c r="E38" s="1878"/>
      <c r="F38" s="1878"/>
      <c r="G38" s="1878"/>
      <c r="H38" s="1878"/>
      <c r="J38" s="1874">
        <v>28</v>
      </c>
      <c r="K38" s="1874" t="s">
        <v>235</v>
      </c>
      <c r="L38" s="2373">
        <f t="shared" ca="1" si="3"/>
        <v>-15195.521737528125</v>
      </c>
      <c r="M38" s="2373">
        <f t="shared" ca="1" si="4"/>
        <v>-496.04285520455272</v>
      </c>
    </row>
    <row r="39" spans="1:13">
      <c r="A39" s="1878"/>
      <c r="B39" s="1968" t="s">
        <v>1044</v>
      </c>
      <c r="C39" s="1878"/>
      <c r="D39" s="1878"/>
      <c r="E39" s="1878"/>
      <c r="F39" s="1878"/>
      <c r="G39" s="1878"/>
      <c r="H39" s="1878"/>
      <c r="J39" s="1874">
        <v>29</v>
      </c>
      <c r="K39" s="1874" t="s">
        <v>236</v>
      </c>
      <c r="L39" s="2373">
        <f t="shared" ca="1" si="3"/>
        <v>-15651.387389653968</v>
      </c>
      <c r="M39" s="2373">
        <f t="shared" ca="1" si="4"/>
        <v>-452.1452573988401</v>
      </c>
    </row>
    <row r="40" spans="1:13">
      <c r="A40" s="1878"/>
      <c r="B40" s="1968">
        <v>5</v>
      </c>
      <c r="C40" s="1878"/>
      <c r="D40" s="1878"/>
      <c r="E40" s="1878"/>
      <c r="F40" s="1878"/>
      <c r="G40" s="1878"/>
      <c r="H40" s="1878"/>
      <c r="J40" s="1874">
        <v>30</v>
      </c>
      <c r="K40" s="1874" t="s">
        <v>237</v>
      </c>
      <c r="L40" s="2373">
        <f t="shared" ca="1" si="3"/>
        <v>-16120.929011343587</v>
      </c>
      <c r="M40" s="2373">
        <f t="shared" ca="1" si="4"/>
        <v>-412.1324027617747</v>
      </c>
    </row>
    <row r="41" spans="1:13">
      <c r="A41" s="1878"/>
      <c r="B41" s="1968">
        <v>6</v>
      </c>
      <c r="C41" s="1878"/>
      <c r="D41" s="1878"/>
      <c r="E41" s="1878"/>
      <c r="F41" s="1878"/>
      <c r="G41" s="1878"/>
      <c r="H41" s="1878"/>
      <c r="J41" s="1874">
        <v>31</v>
      </c>
      <c r="K41" s="1874" t="s">
        <v>238</v>
      </c>
      <c r="L41" s="2373">
        <f t="shared" ca="1" si="3"/>
        <v>-16604.556881683897</v>
      </c>
      <c r="M41" s="2373">
        <f t="shared" ca="1" si="4"/>
        <v>-375.66050871206016</v>
      </c>
    </row>
    <row r="42" spans="1:13">
      <c r="A42" s="1878"/>
      <c r="B42" s="1968">
        <v>7</v>
      </c>
      <c r="C42" s="1878"/>
      <c r="D42" s="1878"/>
      <c r="E42" s="1878"/>
      <c r="F42" s="1878"/>
      <c r="G42" s="1878"/>
      <c r="H42" s="1878"/>
      <c r="J42" s="1874">
        <v>32</v>
      </c>
      <c r="K42" s="1874" t="s">
        <v>239</v>
      </c>
      <c r="L42" s="2373">
        <f t="shared" ca="1" si="3"/>
        <v>-17102.693588134414</v>
      </c>
      <c r="M42" s="2373">
        <f t="shared" ca="1" si="4"/>
        <v>-342.4162159056832</v>
      </c>
    </row>
    <row r="43" spans="1:13">
      <c r="A43" s="1878"/>
      <c r="B43" s="1968">
        <v>8</v>
      </c>
      <c r="C43" s="1878"/>
      <c r="D43" s="1878"/>
      <c r="E43" s="1878"/>
      <c r="F43" s="1878"/>
      <c r="G43" s="1878"/>
      <c r="H43" s="1878"/>
      <c r="J43" s="1874">
        <v>33</v>
      </c>
      <c r="K43" s="1874" t="s">
        <v>240</v>
      </c>
      <c r="L43" s="2373">
        <f t="shared" ca="1" si="3"/>
        <v>-17615.774395778448</v>
      </c>
      <c r="M43" s="2373">
        <f t="shared" ca="1" si="4"/>
        <v>-312.11389591402991</v>
      </c>
    </row>
    <row r="44" spans="1:13">
      <c r="A44" s="1878"/>
      <c r="B44" s="1968">
        <v>9</v>
      </c>
      <c r="C44" s="1878"/>
      <c r="D44" s="1878"/>
      <c r="E44" s="1878"/>
      <c r="F44" s="1878"/>
      <c r="G44" s="1878"/>
      <c r="H44" s="1878"/>
      <c r="J44" s="1874">
        <v>34</v>
      </c>
      <c r="K44" s="1874" t="s">
        <v>241</v>
      </c>
      <c r="L44" s="2373">
        <f t="shared" ca="1" si="3"/>
        <v>-18144.247627651803</v>
      </c>
      <c r="M44" s="2373">
        <f t="shared" ca="1" si="4"/>
        <v>-284.49319716057596</v>
      </c>
    </row>
    <row r="45" spans="1:13">
      <c r="A45" s="1878"/>
      <c r="B45" s="1968">
        <v>10</v>
      </c>
      <c r="C45" s="1878"/>
      <c r="D45" s="1878"/>
      <c r="E45" s="1878"/>
      <c r="F45" s="1878"/>
      <c r="G45" s="1878"/>
      <c r="H45" s="1878"/>
      <c r="J45" s="1874">
        <v>35</v>
      </c>
      <c r="K45" s="1874" t="s">
        <v>242</v>
      </c>
      <c r="L45" s="2373">
        <f t="shared" ca="1" si="3"/>
        <v>-18688.575056481357</v>
      </c>
      <c r="M45" s="2373">
        <f t="shared" ca="1" si="4"/>
        <v>-259.3168080313215</v>
      </c>
    </row>
    <row r="46" spans="1:13">
      <c r="A46" s="1878"/>
      <c r="B46" s="1968">
        <v>12</v>
      </c>
      <c r="C46" s="1878"/>
      <c r="D46" s="1878"/>
      <c r="E46" s="1878"/>
      <c r="F46" s="1878"/>
      <c r="G46" s="1878"/>
      <c r="H46" s="1878"/>
      <c r="J46" s="1874">
        <v>36</v>
      </c>
      <c r="K46" s="1874" t="s">
        <v>243</v>
      </c>
      <c r="L46" s="2373">
        <f t="shared" ca="1" si="3"/>
        <v>-19249.232308175797</v>
      </c>
      <c r="M46" s="2373">
        <f t="shared" ca="1" si="4"/>
        <v>-236.36841794005412</v>
      </c>
    </row>
    <row r="47" spans="1:13">
      <c r="A47" s="1878"/>
      <c r="B47" s="1968">
        <v>14</v>
      </c>
      <c r="C47" s="1878"/>
      <c r="D47" s="1878"/>
      <c r="E47" s="1878"/>
      <c r="F47" s="1878"/>
      <c r="G47" s="1878"/>
      <c r="H47" s="1878"/>
      <c r="J47" s="1874">
        <v>37</v>
      </c>
      <c r="K47" s="1874" t="s">
        <v>244</v>
      </c>
      <c r="L47" s="2373">
        <f t="shared" ca="1" si="3"/>
        <v>-19826.709277421072</v>
      </c>
      <c r="M47" s="2373">
        <f t="shared" ca="1" si="4"/>
        <v>-215.45085883031487</v>
      </c>
    </row>
    <row r="48" spans="1:13">
      <c r="A48" s="1878"/>
      <c r="B48" s="1968">
        <v>16</v>
      </c>
      <c r="C48" s="1878"/>
      <c r="D48" s="1878"/>
      <c r="E48" s="1878"/>
      <c r="F48" s="1878"/>
      <c r="G48" s="1878"/>
      <c r="H48" s="1878"/>
      <c r="J48" s="1874">
        <v>38</v>
      </c>
      <c r="K48" s="1874" t="s">
        <v>245</v>
      </c>
      <c r="L48" s="2373">
        <f t="shared" ca="1" si="3"/>
        <v>-20421.510555743705</v>
      </c>
      <c r="M48" s="2373">
        <f t="shared" ca="1" si="4"/>
        <v>-196.38441114621625</v>
      </c>
    </row>
    <row r="49" spans="1:13">
      <c r="A49" s="1878"/>
      <c r="B49" s="1968">
        <v>18</v>
      </c>
      <c r="C49" s="1878"/>
      <c r="D49" s="1878"/>
      <c r="E49" s="1878"/>
      <c r="F49" s="1878"/>
      <c r="G49" s="1878"/>
      <c r="H49" s="1878"/>
      <c r="J49" s="1874">
        <v>39</v>
      </c>
      <c r="K49" s="1874" t="s">
        <v>246</v>
      </c>
      <c r="L49" s="2373">
        <f t="shared" ca="1" si="3"/>
        <v>-21034.155872416017</v>
      </c>
      <c r="M49" s="2373">
        <f t="shared" ca="1" si="4"/>
        <v>-179.00525971734757</v>
      </c>
    </row>
    <row r="50" spans="1:13">
      <c r="A50" s="1878"/>
      <c r="B50" s="1968">
        <v>20</v>
      </c>
      <c r="C50" s="1878"/>
      <c r="D50" s="1878"/>
      <c r="E50" s="1878"/>
      <c r="F50" s="1878"/>
      <c r="G50" s="1878"/>
      <c r="H50" s="1878"/>
      <c r="J50" s="1874">
        <v>40</v>
      </c>
      <c r="K50" s="1874" t="s">
        <v>247</v>
      </c>
      <c r="L50" s="2373">
        <f t="shared" ca="1" si="3"/>
        <v>-21665.180548588498</v>
      </c>
      <c r="M50" s="2373">
        <f t="shared" ca="1" si="4"/>
        <v>-163.16408629103364</v>
      </c>
    </row>
    <row r="51" spans="1:13">
      <c r="A51" s="1878"/>
      <c r="B51" s="1968">
        <v>25</v>
      </c>
      <c r="C51" s="1878"/>
      <c r="D51" s="1878"/>
      <c r="E51" s="1878"/>
      <c r="F51" s="1878"/>
      <c r="G51" s="1878"/>
      <c r="H51" s="1878"/>
      <c r="J51" s="1874">
        <v>41</v>
      </c>
      <c r="K51" s="1874" t="s">
        <v>248</v>
      </c>
      <c r="L51" s="2373">
        <f t="shared" ca="1" si="3"/>
        <v>-22315.135965046153</v>
      </c>
      <c r="M51" s="2373">
        <f t="shared" ca="1" si="4"/>
        <v>-148.72478661926075</v>
      </c>
    </row>
    <row r="52" spans="1:13">
      <c r="A52" s="1878"/>
      <c r="B52" s="1968">
        <v>30</v>
      </c>
      <c r="C52" s="1878"/>
      <c r="D52" s="1878"/>
      <c r="E52" s="1878"/>
      <c r="F52" s="1878"/>
      <c r="G52" s="1878"/>
      <c r="H52" s="1878"/>
      <c r="J52" s="1874">
        <v>42</v>
      </c>
      <c r="K52" s="1874" t="s">
        <v>249</v>
      </c>
      <c r="L52" s="2373">
        <f t="shared" ca="1" si="3"/>
        <v>-22984.590043997538</v>
      </c>
      <c r="M52" s="2373">
        <f t="shared" ca="1" si="4"/>
        <v>-135.56330107773329</v>
      </c>
    </row>
    <row r="53" spans="1:13">
      <c r="A53" s="1878"/>
      <c r="B53" s="1968">
        <v>35</v>
      </c>
      <c r="C53" s="1878"/>
      <c r="D53" s="1878"/>
      <c r="E53" s="1878"/>
      <c r="F53" s="1878"/>
      <c r="G53" s="1878"/>
      <c r="H53" s="1878"/>
      <c r="J53" s="1874">
        <v>43</v>
      </c>
      <c r="K53" s="1874" t="s">
        <v>250</v>
      </c>
      <c r="L53" s="2373">
        <f t="shared" ca="1" si="3"/>
        <v>-23674.127745317463</v>
      </c>
      <c r="M53" s="2373">
        <f t="shared" ca="1" si="4"/>
        <v>-123.56654876996927</v>
      </c>
    </row>
    <row r="54" spans="1:13">
      <c r="A54" s="1878"/>
      <c r="B54" s="1968">
        <v>40</v>
      </c>
      <c r="C54" s="1878"/>
      <c r="D54" s="1878"/>
      <c r="E54" s="1878"/>
      <c r="F54" s="1878"/>
      <c r="G54" s="1878"/>
      <c r="H54" s="1878"/>
      <c r="J54" s="1874">
        <v>44</v>
      </c>
      <c r="K54" s="1874" t="s">
        <v>251</v>
      </c>
      <c r="L54" s="2373">
        <f t="shared" ca="1" si="3"/>
        <v>-24384.351577676985</v>
      </c>
      <c r="M54" s="2373">
        <f t="shared" ca="1" si="4"/>
        <v>-112.63145595846758</v>
      </c>
    </row>
    <row r="55" spans="1:13">
      <c r="A55" s="1878"/>
      <c r="B55" s="1968">
        <v>45</v>
      </c>
      <c r="C55" s="1878"/>
      <c r="D55" s="1878"/>
      <c r="E55" s="1878"/>
      <c r="F55" s="1878"/>
      <c r="G55" s="1878"/>
      <c r="H55" s="1878"/>
      <c r="J55" s="1874">
        <v>45</v>
      </c>
      <c r="K55" s="1874" t="s">
        <v>252</v>
      </c>
      <c r="L55" s="2373">
        <f t="shared" ca="1" si="3"/>
        <v>-25115.882125007294</v>
      </c>
      <c r="M55" s="2373">
        <f t="shared" ca="1" si="4"/>
        <v>-102.66407047541735</v>
      </c>
    </row>
    <row r="56" spans="1:13">
      <c r="A56" s="1878"/>
      <c r="B56" s="1968">
        <v>50</v>
      </c>
      <c r="C56" s="1878"/>
      <c r="D56" s="1878"/>
      <c r="E56" s="1878"/>
      <c r="F56" s="1878"/>
      <c r="G56" s="1878"/>
      <c r="H56" s="1878"/>
      <c r="J56" s="1874">
        <v>46</v>
      </c>
      <c r="K56" s="1874" t="s">
        <v>253</v>
      </c>
      <c r="L56" s="2373">
        <f t="shared" ca="1" si="3"/>
        <v>-25869.358588757514</v>
      </c>
      <c r="M56" s="2373">
        <f t="shared" ca="1" si="4"/>
        <v>-93.578754504141529</v>
      </c>
    </row>
    <row r="57" spans="1:13">
      <c r="A57" s="1878"/>
      <c r="B57" s="1968">
        <v>60</v>
      </c>
      <c r="C57" s="1878"/>
      <c r="D57" s="1878"/>
      <c r="E57" s="1878"/>
      <c r="F57" s="1878"/>
      <c r="G57" s="1878"/>
      <c r="H57" s="1878"/>
      <c r="J57" s="1874">
        <v>47</v>
      </c>
      <c r="K57" s="1874" t="s">
        <v>254</v>
      </c>
      <c r="L57" s="2373">
        <f t="shared" ca="1" si="3"/>
        <v>-26645.43934642024</v>
      </c>
      <c r="M57" s="2373">
        <f t="shared" ca="1" si="4"/>
        <v>-85.297448795810411</v>
      </c>
    </row>
    <row r="58" spans="1:13">
      <c r="A58" s="1878"/>
      <c r="B58" s="1968">
        <v>75</v>
      </c>
      <c r="C58" s="1878"/>
      <c r="D58" s="1878"/>
      <c r="E58" s="1878"/>
      <c r="F58" s="1878"/>
      <c r="G58" s="1878"/>
      <c r="H58" s="1878"/>
      <c r="J58" s="1874">
        <v>48</v>
      </c>
      <c r="K58" s="1874" t="s">
        <v>255</v>
      </c>
      <c r="L58" s="2373">
        <f t="shared" ca="1" si="3"/>
        <v>-27444.802526812848</v>
      </c>
      <c r="M58" s="2373">
        <f t="shared" ca="1" si="4"/>
        <v>-77.749001999721003</v>
      </c>
    </row>
    <row r="59" spans="1:13">
      <c r="A59" s="1878"/>
      <c r="B59" s="1968">
        <v>99</v>
      </c>
      <c r="C59" s="1878"/>
      <c r="D59" s="1878"/>
      <c r="E59" s="1878"/>
      <c r="F59" s="1878"/>
      <c r="G59" s="1878"/>
      <c r="H59" s="1878"/>
      <c r="J59" s="1874">
        <v>49</v>
      </c>
      <c r="K59" s="1874" t="s">
        <v>256</v>
      </c>
      <c r="L59" s="2373">
        <f t="shared" ca="1" si="3"/>
        <v>-28268.146602617235</v>
      </c>
      <c r="M59" s="2373">
        <f t="shared" ca="1" si="4"/>
        <v>-70.868559344878449</v>
      </c>
    </row>
    <row r="60" spans="1:13">
      <c r="A60" s="1878"/>
      <c r="B60" s="1878"/>
      <c r="C60" s="1878"/>
      <c r="D60" s="1878"/>
      <c r="E60" s="1878"/>
      <c r="F60" s="1878"/>
      <c r="G60" s="1878"/>
      <c r="H60" s="1878"/>
      <c r="J60" s="1874">
        <v>50</v>
      </c>
      <c r="K60" s="1874" t="s">
        <v>257</v>
      </c>
      <c r="L60" s="2373">
        <f t="shared" ca="1" si="3"/>
        <v>-29116.191000695751</v>
      </c>
      <c r="M60" s="2373">
        <f t="shared" ca="1" si="4"/>
        <v>-64.597005420552918</v>
      </c>
    </row>
    <row r="61" spans="1:13">
      <c r="A61" s="1878"/>
      <c r="B61" s="1878"/>
      <c r="C61" s="1878"/>
      <c r="D61" s="1878"/>
      <c r="E61" s="1878"/>
      <c r="F61" s="1878"/>
      <c r="G61" s="1878"/>
      <c r="H61" s="1878"/>
      <c r="J61" s="1969"/>
      <c r="K61" s="1969"/>
      <c r="L61" s="1970"/>
      <c r="M61" s="1970"/>
    </row>
    <row r="62" spans="1:13">
      <c r="A62" s="1878"/>
      <c r="B62" s="1878"/>
      <c r="C62" s="1878"/>
      <c r="D62" s="1878"/>
      <c r="E62" s="1878"/>
      <c r="F62" s="1878"/>
      <c r="G62" s="1878"/>
      <c r="H62" s="1878"/>
      <c r="J62" s="1969"/>
      <c r="K62" s="1969"/>
      <c r="L62" s="1970"/>
      <c r="M62" s="1970"/>
    </row>
    <row r="63" spans="1:13">
      <c r="A63" s="1878"/>
      <c r="B63" s="1878"/>
      <c r="C63" s="1878"/>
      <c r="D63" s="1878"/>
      <c r="E63" s="1878"/>
      <c r="F63" s="1878"/>
      <c r="G63" s="1878"/>
      <c r="H63" s="1878"/>
      <c r="J63" s="1969"/>
      <c r="K63" s="1969"/>
      <c r="L63" s="1970"/>
      <c r="M63" s="1970"/>
    </row>
    <row r="64" spans="1:13">
      <c r="A64" s="1878"/>
      <c r="B64" s="1878"/>
      <c r="C64" s="1878"/>
      <c r="D64" s="1878"/>
      <c r="E64" s="1878"/>
      <c r="F64" s="1878"/>
      <c r="G64" s="1878"/>
      <c r="H64" s="1878"/>
      <c r="J64" s="1969"/>
      <c r="K64" s="1969"/>
      <c r="L64" s="1970"/>
      <c r="M64" s="1970"/>
    </row>
    <row r="65" spans="1:13">
      <c r="A65" s="1878"/>
      <c r="B65" s="1878"/>
      <c r="C65" s="1878"/>
      <c r="D65" s="1878"/>
      <c r="E65" s="1878"/>
      <c r="F65" s="1878"/>
      <c r="G65" s="1878"/>
      <c r="H65" s="1878"/>
      <c r="J65" s="1969"/>
      <c r="K65" s="1969"/>
      <c r="L65" s="1970"/>
      <c r="M65" s="1970"/>
    </row>
    <row r="66" spans="1:13">
      <c r="A66" s="1878"/>
      <c r="B66" s="1878"/>
      <c r="C66" s="1878"/>
      <c r="D66" s="1878"/>
      <c r="E66" s="1878"/>
      <c r="F66" s="1878"/>
      <c r="G66" s="1878"/>
      <c r="H66" s="1878"/>
      <c r="J66" s="1969"/>
      <c r="K66" s="1969"/>
      <c r="L66" s="1970"/>
      <c r="M66" s="1970"/>
    </row>
    <row r="67" spans="1:13">
      <c r="A67" s="1878"/>
      <c r="B67" s="1878"/>
      <c r="C67" s="1878"/>
      <c r="D67" s="1878"/>
      <c r="E67" s="1878"/>
      <c r="F67" s="1878"/>
      <c r="G67" s="1878"/>
      <c r="H67" s="1878"/>
    </row>
    <row r="68" spans="1:13">
      <c r="A68" s="1878"/>
      <c r="B68" s="1878"/>
      <c r="C68" s="1878"/>
      <c r="D68" s="1878"/>
      <c r="E68" s="1878"/>
      <c r="F68" s="1878"/>
      <c r="G68" s="1878"/>
      <c r="H68" s="1878"/>
    </row>
    <row r="69" spans="1:13">
      <c r="A69" s="1878"/>
      <c r="B69" s="1878"/>
      <c r="C69" s="1878"/>
      <c r="D69" s="1878"/>
      <c r="E69" s="1878"/>
      <c r="F69" s="1878"/>
      <c r="G69" s="1878"/>
      <c r="H69" s="1878"/>
    </row>
    <row r="70" spans="1:13">
      <c r="A70" s="1878"/>
      <c r="B70" s="1878"/>
      <c r="C70" s="1878"/>
      <c r="D70" s="1878"/>
      <c r="E70" s="1878"/>
      <c r="F70" s="1878"/>
      <c r="G70" s="1878"/>
      <c r="H70" s="1878"/>
    </row>
    <row r="71" spans="1:13">
      <c r="A71" s="1878"/>
      <c r="B71" s="1878"/>
      <c r="C71" s="1878"/>
      <c r="D71" s="1878"/>
      <c r="E71" s="1878"/>
      <c r="F71" s="1878"/>
      <c r="G71" s="1878"/>
      <c r="H71" s="1878"/>
    </row>
    <row r="72" spans="1:13">
      <c r="A72" s="1878"/>
      <c r="B72" s="1878"/>
      <c r="C72" s="1878"/>
      <c r="D72" s="1878"/>
      <c r="E72" s="1878"/>
      <c r="F72" s="1878"/>
      <c r="G72" s="1878"/>
      <c r="H72" s="1878"/>
    </row>
    <row r="73" spans="1:13">
      <c r="A73" s="1878"/>
      <c r="B73" s="1878"/>
      <c r="C73" s="1878"/>
      <c r="D73" s="1878"/>
      <c r="E73" s="1878"/>
      <c r="F73" s="1878"/>
      <c r="G73" s="1878"/>
      <c r="H73" s="1878"/>
    </row>
    <row r="74" spans="1:13">
      <c r="A74" s="1878"/>
      <c r="B74" s="1878"/>
      <c r="C74" s="1878"/>
      <c r="D74" s="1878"/>
      <c r="E74" s="1878"/>
      <c r="F74" s="1878"/>
      <c r="G74" s="1878"/>
      <c r="H74" s="1878"/>
    </row>
    <row r="75" spans="1:13">
      <c r="A75" s="1878"/>
      <c r="B75" s="1878"/>
      <c r="C75" s="1878"/>
      <c r="D75" s="1878"/>
      <c r="E75" s="1878"/>
      <c r="F75" s="1878"/>
      <c r="G75" s="1878"/>
      <c r="H75" s="1878"/>
    </row>
    <row r="76" spans="1:13">
      <c r="A76" s="1878"/>
      <c r="B76" s="1878"/>
      <c r="C76" s="1878"/>
      <c r="D76" s="1878"/>
      <c r="E76" s="1878"/>
      <c r="F76" s="1878"/>
      <c r="G76" s="1878"/>
      <c r="H76" s="1878"/>
    </row>
    <row r="77" spans="1:13">
      <c r="A77" s="1878"/>
      <c r="B77" s="1878"/>
      <c r="C77" s="1878"/>
      <c r="D77" s="1878"/>
      <c r="E77" s="1878"/>
      <c r="F77" s="1878"/>
      <c r="G77" s="1878"/>
      <c r="H77" s="1878"/>
    </row>
    <row r="78" spans="1:13">
      <c r="A78" s="1878"/>
      <c r="B78" s="1878"/>
      <c r="C78" s="1878"/>
      <c r="D78" s="1878"/>
      <c r="E78" s="1878"/>
      <c r="F78" s="1878"/>
      <c r="G78" s="1878"/>
      <c r="H78" s="1878"/>
    </row>
    <row r="79" spans="1:13">
      <c r="A79" s="1878"/>
      <c r="B79" s="1878"/>
      <c r="C79" s="1878"/>
      <c r="D79" s="1878"/>
      <c r="E79" s="1878"/>
      <c r="F79" s="1878"/>
      <c r="G79" s="1878"/>
      <c r="H79" s="1878"/>
    </row>
    <row r="80" spans="1:13">
      <c r="A80" s="1878"/>
      <c r="B80" s="1878"/>
      <c r="C80" s="1878"/>
      <c r="D80" s="1878"/>
      <c r="E80" s="1878"/>
      <c r="F80" s="1878"/>
      <c r="G80" s="1878"/>
      <c r="H80" s="1878"/>
    </row>
    <row r="81" spans="1:8">
      <c r="A81" s="1878"/>
      <c r="B81" s="1878"/>
      <c r="C81" s="1878"/>
      <c r="D81" s="1878"/>
      <c r="E81" s="1878"/>
      <c r="F81" s="1878"/>
      <c r="G81" s="1878"/>
      <c r="H81" s="1878"/>
    </row>
    <row r="82" spans="1:8">
      <c r="A82" s="1878"/>
      <c r="B82" s="1878"/>
      <c r="C82" s="1878"/>
      <c r="D82" s="1878"/>
      <c r="E82" s="1878"/>
      <c r="F82" s="1878"/>
      <c r="G82" s="1878"/>
      <c r="H82" s="1878"/>
    </row>
    <row r="83" spans="1:8">
      <c r="A83" s="1878"/>
      <c r="B83" s="1878"/>
      <c r="C83" s="1878"/>
      <c r="D83" s="1878"/>
      <c r="E83" s="1878"/>
      <c r="F83" s="1878"/>
      <c r="G83" s="1878"/>
      <c r="H83" s="1878"/>
    </row>
    <row r="84" spans="1:8">
      <c r="A84" s="1878"/>
      <c r="B84" s="1878"/>
      <c r="C84" s="1878"/>
      <c r="D84" s="1878"/>
      <c r="E84" s="1878"/>
      <c r="F84" s="1878"/>
      <c r="G84" s="1878"/>
      <c r="H84" s="1878"/>
    </row>
    <row r="85" spans="1:8">
      <c r="A85" s="1878"/>
      <c r="B85" s="1878"/>
      <c r="C85" s="1878"/>
      <c r="D85" s="1878"/>
      <c r="E85" s="1878"/>
      <c r="F85" s="1878"/>
      <c r="G85" s="1878"/>
      <c r="H85" s="1878"/>
    </row>
    <row r="86" spans="1:8">
      <c r="A86" s="1878"/>
      <c r="B86" s="1878"/>
      <c r="C86" s="1878"/>
      <c r="D86" s="1878"/>
      <c r="E86" s="1878"/>
      <c r="F86" s="1878"/>
      <c r="G86" s="1878"/>
      <c r="H86" s="1878"/>
    </row>
    <row r="87" spans="1:8">
      <c r="A87" s="1878"/>
      <c r="B87" s="1878"/>
      <c r="C87" s="1878"/>
      <c r="D87" s="1878"/>
      <c r="E87" s="1878"/>
      <c r="F87" s="1878"/>
      <c r="G87" s="1878"/>
      <c r="H87" s="1878"/>
    </row>
    <row r="88" spans="1:8">
      <c r="A88" s="1878"/>
      <c r="B88" s="1878"/>
      <c r="C88" s="1878"/>
      <c r="D88" s="1878"/>
      <c r="E88" s="1878"/>
      <c r="F88" s="1878"/>
      <c r="G88" s="1878"/>
      <c r="H88" s="1878"/>
    </row>
    <row r="89" spans="1:8">
      <c r="A89" s="1878"/>
      <c r="B89" s="1878"/>
      <c r="C89" s="1878"/>
      <c r="D89" s="1878"/>
      <c r="E89" s="1878"/>
      <c r="F89" s="1878"/>
      <c r="G89" s="1878"/>
      <c r="H89" s="1878"/>
    </row>
    <row r="90" spans="1:8">
      <c r="A90" s="1878"/>
      <c r="B90" s="1878"/>
      <c r="C90" s="1878"/>
      <c r="D90" s="1878"/>
      <c r="E90" s="1878"/>
      <c r="F90" s="1878"/>
      <c r="G90" s="1878"/>
      <c r="H90" s="1878"/>
    </row>
    <row r="91" spans="1:8">
      <c r="A91" s="1878"/>
      <c r="B91" s="1878"/>
      <c r="C91" s="1878"/>
      <c r="D91" s="1878"/>
      <c r="E91" s="1878"/>
      <c r="F91" s="1878"/>
      <c r="G91" s="1878"/>
      <c r="H91" s="1878"/>
    </row>
    <row r="92" spans="1:8">
      <c r="A92" s="1878"/>
      <c r="B92" s="1878"/>
      <c r="C92" s="1878"/>
      <c r="D92" s="1878"/>
      <c r="E92" s="1878"/>
      <c r="F92" s="1878"/>
      <c r="G92" s="1878"/>
      <c r="H92" s="1878"/>
    </row>
    <row r="93" spans="1:8">
      <c r="A93" s="1878"/>
      <c r="B93" s="1878"/>
      <c r="C93" s="1878"/>
      <c r="D93" s="1878"/>
      <c r="E93" s="1878"/>
      <c r="F93" s="1878"/>
      <c r="G93" s="1878"/>
      <c r="H93" s="1878"/>
    </row>
    <row r="94" spans="1:8">
      <c r="A94" s="1878"/>
      <c r="B94" s="1878"/>
      <c r="C94" s="1878"/>
      <c r="D94" s="1878"/>
      <c r="E94" s="1878"/>
      <c r="F94" s="1878"/>
      <c r="G94" s="1878"/>
      <c r="H94" s="1878"/>
    </row>
    <row r="95" spans="1:8">
      <c r="A95" s="1878"/>
      <c r="B95" s="1878"/>
      <c r="C95" s="1878"/>
      <c r="D95" s="1878"/>
      <c r="E95" s="1878"/>
      <c r="F95" s="1878"/>
      <c r="G95" s="1878"/>
      <c r="H95" s="1878"/>
    </row>
    <row r="96" spans="1:8">
      <c r="A96" s="1878"/>
      <c r="B96" s="1878"/>
      <c r="C96" s="1878"/>
      <c r="D96" s="1878"/>
      <c r="E96" s="1878"/>
      <c r="F96" s="1878"/>
      <c r="G96" s="1878"/>
      <c r="H96" s="1878"/>
    </row>
    <row r="97" spans="1:8">
      <c r="A97" s="1878"/>
      <c r="B97" s="1878"/>
      <c r="C97" s="1878"/>
      <c r="D97" s="1878"/>
      <c r="E97" s="1878"/>
      <c r="F97" s="1878"/>
      <c r="G97" s="1878"/>
      <c r="H97" s="1878"/>
    </row>
    <row r="98" spans="1:8">
      <c r="A98" s="1878"/>
      <c r="B98" s="1878"/>
      <c r="C98" s="1878"/>
      <c r="D98" s="1878"/>
      <c r="E98" s="1878"/>
      <c r="F98" s="1878"/>
      <c r="G98" s="1878"/>
      <c r="H98" s="1878"/>
    </row>
    <row r="99" spans="1:8">
      <c r="A99" s="1878"/>
      <c r="B99" s="1878"/>
      <c r="C99" s="1878"/>
      <c r="D99" s="1878"/>
      <c r="E99" s="1878"/>
      <c r="F99" s="1878"/>
      <c r="G99" s="1878"/>
      <c r="H99" s="1878"/>
    </row>
    <row r="100" spans="1:8">
      <c r="A100" s="1878"/>
      <c r="B100" s="1878"/>
      <c r="C100" s="1878"/>
      <c r="D100" s="1878"/>
      <c r="E100" s="1878"/>
      <c r="F100" s="1878"/>
      <c r="G100" s="1878"/>
      <c r="H100" s="1878"/>
    </row>
    <row r="101" spans="1:8">
      <c r="A101" s="1878"/>
      <c r="B101" s="1878"/>
      <c r="C101" s="1878"/>
      <c r="D101" s="1878"/>
      <c r="E101" s="1878"/>
      <c r="F101" s="1878"/>
      <c r="G101" s="1878"/>
      <c r="H101" s="1878"/>
    </row>
    <row r="102" spans="1:8">
      <c r="A102" s="1878"/>
      <c r="B102" s="1878"/>
      <c r="C102" s="1878"/>
      <c r="D102" s="1878"/>
      <c r="E102" s="1878"/>
      <c r="F102" s="1878"/>
      <c r="G102" s="1878"/>
      <c r="H102" s="1878"/>
    </row>
    <row r="103" spans="1:8">
      <c r="A103" s="1878"/>
      <c r="B103" s="1878"/>
      <c r="C103" s="1878"/>
      <c r="D103" s="1878"/>
      <c r="E103" s="1878"/>
      <c r="F103" s="1878"/>
      <c r="G103" s="1878"/>
      <c r="H103" s="1878"/>
    </row>
    <row r="104" spans="1:8">
      <c r="A104" s="1878"/>
      <c r="B104" s="1878"/>
      <c r="C104" s="1878"/>
      <c r="D104" s="1878"/>
      <c r="E104" s="1878"/>
      <c r="F104" s="1878"/>
      <c r="G104" s="1878"/>
      <c r="H104" s="1878"/>
    </row>
    <row r="105" spans="1:8">
      <c r="A105" s="1878"/>
      <c r="B105" s="1878"/>
      <c r="C105" s="1878"/>
      <c r="D105" s="1878"/>
      <c r="E105" s="1878"/>
      <c r="F105" s="1878"/>
      <c r="G105" s="1878"/>
      <c r="H105" s="1878"/>
    </row>
    <row r="106" spans="1:8">
      <c r="A106" s="1878"/>
      <c r="B106" s="1878"/>
      <c r="C106" s="1878"/>
      <c r="D106" s="1878"/>
      <c r="E106" s="1878"/>
      <c r="F106" s="1878"/>
      <c r="G106" s="1878"/>
      <c r="H106" s="1878"/>
    </row>
    <row r="107" spans="1:8">
      <c r="A107" s="1878"/>
      <c r="B107" s="1878"/>
      <c r="C107" s="1878"/>
      <c r="D107" s="1878"/>
      <c r="E107" s="1878"/>
      <c r="F107" s="1878"/>
      <c r="G107" s="1878"/>
      <c r="H107" s="1878"/>
    </row>
    <row r="108" spans="1:8">
      <c r="A108" s="1878"/>
      <c r="B108" s="1878"/>
      <c r="C108" s="1878"/>
      <c r="D108" s="1878"/>
      <c r="E108" s="1878"/>
      <c r="F108" s="1878"/>
      <c r="G108" s="1878"/>
      <c r="H108" s="1878"/>
    </row>
    <row r="109" spans="1:8">
      <c r="A109" s="1878"/>
      <c r="B109" s="1878"/>
      <c r="C109" s="1878"/>
      <c r="D109" s="1878"/>
      <c r="E109" s="1878"/>
      <c r="F109" s="1878"/>
      <c r="G109" s="1878"/>
      <c r="H109" s="1878"/>
    </row>
    <row r="110" spans="1:8">
      <c r="A110" s="1878"/>
      <c r="B110" s="1878"/>
      <c r="C110" s="1878"/>
      <c r="D110" s="1878"/>
      <c r="E110" s="1878"/>
      <c r="F110" s="1878"/>
      <c r="G110" s="1878"/>
      <c r="H110" s="1878"/>
    </row>
    <row r="111" spans="1:8">
      <c r="A111" s="1878"/>
      <c r="B111" s="1878"/>
      <c r="C111" s="1878"/>
      <c r="D111" s="1878"/>
      <c r="E111" s="1878"/>
      <c r="F111" s="1878"/>
      <c r="G111" s="1878"/>
      <c r="H111" s="1878"/>
    </row>
    <row r="112" spans="1:8">
      <c r="A112" s="1878"/>
      <c r="B112" s="1878"/>
      <c r="C112" s="1878"/>
      <c r="D112" s="1878"/>
      <c r="E112" s="1878"/>
      <c r="F112" s="1878"/>
      <c r="G112" s="1878"/>
      <c r="H112" s="1878"/>
    </row>
    <row r="113" spans="1:8">
      <c r="A113" s="1878"/>
      <c r="B113" s="1878"/>
      <c r="C113" s="1878"/>
      <c r="D113" s="1878"/>
      <c r="E113" s="1878"/>
      <c r="F113" s="1878"/>
      <c r="G113" s="1878"/>
      <c r="H113" s="1878"/>
    </row>
    <row r="114" spans="1:8">
      <c r="A114" s="1878"/>
      <c r="B114" s="1878"/>
      <c r="C114" s="1878"/>
      <c r="D114" s="1878"/>
      <c r="E114" s="1878"/>
      <c r="F114" s="1878"/>
      <c r="G114" s="1878"/>
      <c r="H114" s="1878"/>
    </row>
    <row r="115" spans="1:8">
      <c r="A115" s="1878"/>
      <c r="B115" s="1878"/>
      <c r="C115" s="1878"/>
      <c r="D115" s="1878"/>
      <c r="E115" s="1878"/>
      <c r="F115" s="1878"/>
      <c r="G115" s="1878"/>
      <c r="H115" s="1878"/>
    </row>
    <row r="116" spans="1:8">
      <c r="A116" s="1878"/>
      <c r="B116" s="1878"/>
      <c r="C116" s="1878"/>
      <c r="D116" s="1878"/>
      <c r="E116" s="1878"/>
      <c r="F116" s="1878"/>
      <c r="G116" s="1878"/>
      <c r="H116" s="1878"/>
    </row>
    <row r="117" spans="1:8">
      <c r="A117" s="1878"/>
      <c r="B117" s="1878"/>
      <c r="C117" s="1878"/>
      <c r="D117" s="1878"/>
      <c r="E117" s="1878"/>
      <c r="F117" s="1878"/>
      <c r="G117" s="1878"/>
      <c r="H117" s="1878"/>
    </row>
    <row r="118" spans="1:8">
      <c r="A118" s="1878"/>
      <c r="B118" s="1878"/>
      <c r="C118" s="1878"/>
      <c r="D118" s="1878"/>
      <c r="E118" s="1878"/>
      <c r="F118" s="1878"/>
      <c r="G118" s="1878"/>
      <c r="H118" s="1878"/>
    </row>
    <row r="119" spans="1:8">
      <c r="A119" s="1878"/>
      <c r="B119" s="1878"/>
      <c r="C119" s="1878"/>
      <c r="D119" s="1878"/>
      <c r="E119" s="1878"/>
      <c r="F119" s="1878"/>
      <c r="G119" s="1878"/>
      <c r="H119" s="1878"/>
    </row>
    <row r="120" spans="1:8">
      <c r="A120" s="1878"/>
      <c r="B120" s="1878"/>
      <c r="C120" s="1878"/>
      <c r="D120" s="1878"/>
      <c r="E120" s="1878"/>
      <c r="F120" s="1878"/>
      <c r="G120" s="1878"/>
      <c r="H120" s="1878"/>
    </row>
    <row r="121" spans="1:8">
      <c r="A121" s="1878"/>
      <c r="B121" s="1878"/>
      <c r="C121" s="1878"/>
      <c r="D121" s="1878"/>
      <c r="E121" s="1878"/>
      <c r="F121" s="1878"/>
      <c r="G121" s="1878"/>
      <c r="H121" s="1878"/>
    </row>
    <row r="122" spans="1:8">
      <c r="A122" s="1878"/>
      <c r="B122" s="1878"/>
      <c r="C122" s="1878"/>
      <c r="D122" s="1878"/>
      <c r="E122" s="1878"/>
      <c r="F122" s="1878"/>
      <c r="G122" s="1878"/>
      <c r="H122" s="1878"/>
    </row>
    <row r="123" spans="1:8">
      <c r="A123" s="1878"/>
      <c r="B123" s="1878"/>
      <c r="C123" s="1878"/>
      <c r="D123" s="1878"/>
      <c r="E123" s="1878"/>
      <c r="F123" s="1878"/>
      <c r="G123" s="1878"/>
      <c r="H123" s="1878"/>
    </row>
    <row r="124" spans="1:8">
      <c r="A124" s="1878"/>
      <c r="B124" s="1878"/>
      <c r="C124" s="1878"/>
      <c r="D124" s="1878"/>
      <c r="E124" s="1878"/>
      <c r="F124" s="1878"/>
      <c r="G124" s="1878"/>
      <c r="H124" s="1878"/>
    </row>
    <row r="125" spans="1:8">
      <c r="A125" s="1878"/>
      <c r="B125" s="1878"/>
      <c r="C125" s="1878"/>
      <c r="D125" s="1878"/>
      <c r="E125" s="1878"/>
      <c r="F125" s="1878"/>
      <c r="G125" s="1878"/>
      <c r="H125" s="1878"/>
    </row>
    <row r="126" spans="1:8">
      <c r="A126" s="1878"/>
      <c r="B126" s="1878"/>
      <c r="C126" s="1878"/>
      <c r="D126" s="1878"/>
      <c r="E126" s="1878"/>
      <c r="F126" s="1878"/>
      <c r="G126" s="1878"/>
      <c r="H126" s="1878"/>
    </row>
    <row r="127" spans="1:8">
      <c r="A127" s="1878"/>
      <c r="B127" s="1878"/>
      <c r="C127" s="1878"/>
      <c r="D127" s="1878"/>
      <c r="E127" s="1878"/>
      <c r="F127" s="1878"/>
      <c r="G127" s="1878"/>
      <c r="H127" s="1878"/>
    </row>
    <row r="128" spans="1:8">
      <c r="A128" s="1878"/>
      <c r="B128" s="1878"/>
      <c r="C128" s="1878"/>
      <c r="D128" s="1878"/>
      <c r="E128" s="1878"/>
      <c r="F128" s="1878"/>
      <c r="G128" s="1878"/>
      <c r="H128" s="1878"/>
    </row>
    <row r="129" spans="1:8">
      <c r="A129" s="1878"/>
      <c r="B129" s="1878"/>
      <c r="C129" s="1878"/>
      <c r="D129" s="1878"/>
      <c r="E129" s="1878"/>
      <c r="F129" s="1878"/>
      <c r="G129" s="1878"/>
      <c r="H129" s="1878"/>
    </row>
    <row r="130" spans="1:8">
      <c r="A130" s="1878"/>
      <c r="B130" s="1878"/>
      <c r="C130" s="1878"/>
      <c r="D130" s="1878"/>
      <c r="E130" s="1878"/>
      <c r="F130" s="1878"/>
      <c r="G130" s="1878"/>
      <c r="H130" s="1878"/>
    </row>
    <row r="131" spans="1:8">
      <c r="A131" s="1878"/>
      <c r="B131" s="1878"/>
      <c r="C131" s="1878"/>
      <c r="D131" s="1878"/>
      <c r="E131" s="1878"/>
      <c r="F131" s="1878"/>
      <c r="G131" s="1878"/>
      <c r="H131" s="1878"/>
    </row>
    <row r="132" spans="1:8">
      <c r="A132" s="1878"/>
      <c r="B132" s="1878"/>
      <c r="C132" s="1878"/>
      <c r="D132" s="1878"/>
      <c r="E132" s="1878"/>
      <c r="F132" s="1878"/>
      <c r="G132" s="1878"/>
      <c r="H132" s="1878"/>
    </row>
    <row r="133" spans="1:8">
      <c r="A133" s="1878"/>
      <c r="B133" s="1878"/>
      <c r="C133" s="1878"/>
      <c r="D133" s="1878"/>
      <c r="E133" s="1878"/>
      <c r="F133" s="1878"/>
      <c r="G133" s="1878"/>
      <c r="H133" s="1878"/>
    </row>
    <row r="134" spans="1:8">
      <c r="A134" s="1878"/>
      <c r="B134" s="1878"/>
      <c r="C134" s="1878"/>
      <c r="D134" s="1878"/>
      <c r="E134" s="1878"/>
      <c r="F134" s="1878"/>
      <c r="G134" s="1878"/>
      <c r="H134" s="1878"/>
    </row>
    <row r="135" spans="1:8">
      <c r="A135" s="1878"/>
      <c r="B135" s="1878"/>
      <c r="C135" s="1878"/>
      <c r="D135" s="1878"/>
      <c r="E135" s="1878"/>
      <c r="F135" s="1878"/>
      <c r="G135" s="1878"/>
      <c r="H135" s="1878"/>
    </row>
    <row r="136" spans="1:8">
      <c r="A136" s="1878"/>
      <c r="B136" s="1878"/>
      <c r="C136" s="1878"/>
      <c r="D136" s="1878"/>
      <c r="E136" s="1878"/>
      <c r="F136" s="1878"/>
      <c r="G136" s="1878"/>
      <c r="H136" s="1878"/>
    </row>
    <row r="137" spans="1:8">
      <c r="A137" s="1878"/>
      <c r="B137" s="1878"/>
      <c r="C137" s="1878"/>
      <c r="D137" s="1878"/>
      <c r="E137" s="1878"/>
      <c r="F137" s="1878"/>
      <c r="G137" s="1878"/>
      <c r="H137" s="1878"/>
    </row>
    <row r="138" spans="1:8">
      <c r="A138" s="1878"/>
      <c r="B138" s="1878"/>
      <c r="C138" s="1878"/>
      <c r="D138" s="1878"/>
      <c r="E138" s="1878"/>
      <c r="F138" s="1878"/>
      <c r="G138" s="1878"/>
      <c r="H138" s="1878"/>
    </row>
    <row r="139" spans="1:8">
      <c r="A139" s="1878"/>
      <c r="B139" s="1878"/>
      <c r="C139" s="1878"/>
      <c r="D139" s="1878"/>
      <c r="E139" s="1878"/>
      <c r="F139" s="1878"/>
      <c r="G139" s="1878"/>
      <c r="H139" s="1878"/>
    </row>
    <row r="140" spans="1:8">
      <c r="A140" s="1878"/>
      <c r="B140" s="1878"/>
      <c r="C140" s="1878"/>
      <c r="D140" s="1878"/>
      <c r="E140" s="1878"/>
      <c r="F140" s="1878"/>
      <c r="G140" s="1878"/>
      <c r="H140" s="1878"/>
    </row>
    <row r="141" spans="1:8">
      <c r="A141" s="1878"/>
      <c r="B141" s="1878"/>
      <c r="C141" s="1878"/>
      <c r="D141" s="1878"/>
      <c r="E141" s="1878"/>
      <c r="F141" s="1878"/>
      <c r="G141" s="1878"/>
      <c r="H141" s="1878"/>
    </row>
    <row r="142" spans="1:8">
      <c r="A142" s="1878"/>
      <c r="B142" s="1878"/>
      <c r="C142" s="1878"/>
      <c r="D142" s="1878"/>
      <c r="E142" s="1878"/>
      <c r="F142" s="1878"/>
      <c r="G142" s="1878"/>
      <c r="H142" s="1878"/>
    </row>
    <row r="143" spans="1:8">
      <c r="A143" s="1878"/>
      <c r="B143" s="1878"/>
      <c r="C143" s="1878"/>
      <c r="D143" s="1878"/>
      <c r="E143" s="1878"/>
      <c r="F143" s="1878"/>
      <c r="G143" s="1878"/>
      <c r="H143" s="1878"/>
    </row>
    <row r="144" spans="1:8">
      <c r="A144" s="1878"/>
      <c r="B144" s="1878"/>
      <c r="C144" s="1878"/>
      <c r="D144" s="1878"/>
      <c r="E144" s="1878"/>
      <c r="F144" s="1878"/>
      <c r="G144" s="1878"/>
      <c r="H144" s="1878"/>
    </row>
    <row r="145" spans="1:8">
      <c r="A145" s="1878"/>
      <c r="B145" s="1878"/>
      <c r="C145" s="1878"/>
      <c r="D145" s="1878"/>
      <c r="E145" s="1878"/>
      <c r="F145" s="1878"/>
      <c r="G145" s="1878"/>
      <c r="H145" s="1878"/>
    </row>
    <row r="146" spans="1:8">
      <c r="A146" s="1878"/>
      <c r="B146" s="1878"/>
      <c r="C146" s="1878"/>
      <c r="D146" s="1878"/>
      <c r="E146" s="1878"/>
      <c r="F146" s="1878"/>
      <c r="G146" s="1878"/>
      <c r="H146" s="1878"/>
    </row>
    <row r="147" spans="1:8">
      <c r="A147" s="1878"/>
      <c r="B147" s="1878"/>
      <c r="C147" s="1878"/>
      <c r="D147" s="1878"/>
      <c r="E147" s="1878"/>
      <c r="F147" s="1878"/>
      <c r="G147" s="1878"/>
      <c r="H147" s="1878"/>
    </row>
    <row r="148" spans="1:8">
      <c r="A148" s="1878"/>
      <c r="B148" s="1878"/>
      <c r="C148" s="1878"/>
      <c r="D148" s="1878"/>
      <c r="E148" s="1878"/>
      <c r="F148" s="1878"/>
      <c r="G148" s="1878"/>
      <c r="H148" s="1878"/>
    </row>
    <row r="149" spans="1:8">
      <c r="A149" s="1878"/>
      <c r="B149" s="1878"/>
      <c r="C149" s="1878"/>
      <c r="D149" s="1878"/>
      <c r="E149" s="1878"/>
      <c r="F149" s="1878"/>
      <c r="G149" s="1878"/>
      <c r="H149" s="1878"/>
    </row>
    <row r="150" spans="1:8">
      <c r="A150" s="1878"/>
      <c r="B150" s="1878"/>
      <c r="C150" s="1878"/>
      <c r="D150" s="1878"/>
      <c r="E150" s="1878"/>
      <c r="F150" s="1878"/>
      <c r="G150" s="1878"/>
      <c r="H150" s="1878"/>
    </row>
    <row r="151" spans="1:8">
      <c r="A151" s="1878"/>
      <c r="B151" s="1878"/>
      <c r="C151" s="1878"/>
      <c r="D151" s="1878"/>
      <c r="E151" s="1878"/>
      <c r="F151" s="1878"/>
      <c r="G151" s="1878"/>
      <c r="H151" s="1878"/>
    </row>
    <row r="152" spans="1:8">
      <c r="A152" s="1878"/>
      <c r="B152" s="1878"/>
      <c r="C152" s="1878"/>
      <c r="D152" s="1878"/>
      <c r="E152" s="1878"/>
      <c r="F152" s="1878"/>
      <c r="G152" s="1878"/>
      <c r="H152" s="1878"/>
    </row>
    <row r="153" spans="1:8">
      <c r="A153" s="1878"/>
      <c r="B153" s="1878"/>
      <c r="C153" s="1878"/>
      <c r="D153" s="1878"/>
      <c r="E153" s="1878"/>
      <c r="F153" s="1878"/>
      <c r="G153" s="1878"/>
      <c r="H153" s="1878"/>
    </row>
    <row r="154" spans="1:8">
      <c r="A154" s="1878"/>
      <c r="B154" s="1878"/>
      <c r="C154" s="1878"/>
      <c r="D154" s="1878"/>
      <c r="E154" s="1878"/>
      <c r="F154" s="1878"/>
      <c r="G154" s="1878"/>
      <c r="H154" s="1878"/>
    </row>
    <row r="155" spans="1:8">
      <c r="A155" s="1878"/>
      <c r="B155" s="1878"/>
      <c r="C155" s="1878"/>
      <c r="D155" s="1878"/>
      <c r="E155" s="1878"/>
      <c r="F155" s="1878"/>
      <c r="G155" s="1878"/>
      <c r="H155" s="1878"/>
    </row>
    <row r="156" spans="1:8">
      <c r="A156" s="1878"/>
      <c r="B156" s="1878"/>
      <c r="C156" s="1878"/>
      <c r="D156" s="1878"/>
      <c r="E156" s="1878"/>
      <c r="F156" s="1878"/>
      <c r="G156" s="1878"/>
      <c r="H156" s="1878"/>
    </row>
    <row r="157" spans="1:8">
      <c r="A157" s="1878"/>
      <c r="B157" s="1878"/>
      <c r="C157" s="1878"/>
      <c r="D157" s="1878"/>
      <c r="E157" s="1878"/>
      <c r="F157" s="1878"/>
      <c r="G157" s="1878"/>
      <c r="H157" s="1878"/>
    </row>
    <row r="158" spans="1:8">
      <c r="A158" s="1878"/>
      <c r="B158" s="1878"/>
      <c r="C158" s="1878"/>
      <c r="D158" s="1878"/>
      <c r="E158" s="1878"/>
      <c r="F158" s="1878"/>
      <c r="G158" s="1878"/>
      <c r="H158" s="1878"/>
    </row>
    <row r="159" spans="1:8">
      <c r="A159" s="1878"/>
      <c r="B159" s="1878"/>
      <c r="C159" s="1878"/>
      <c r="D159" s="1878"/>
      <c r="E159" s="1878"/>
      <c r="F159" s="1878"/>
      <c r="G159" s="1878"/>
      <c r="H159" s="1878"/>
    </row>
    <row r="160" spans="1:8">
      <c r="A160" s="1878"/>
      <c r="B160" s="1878"/>
      <c r="C160" s="1878"/>
      <c r="D160" s="1878"/>
      <c r="E160" s="1878"/>
      <c r="F160" s="1878"/>
      <c r="G160" s="1878"/>
      <c r="H160" s="1878"/>
    </row>
    <row r="161" spans="1:8">
      <c r="A161" s="1878"/>
      <c r="B161" s="1878"/>
      <c r="C161" s="1878"/>
      <c r="D161" s="1878"/>
      <c r="E161" s="1878"/>
      <c r="F161" s="1878"/>
      <c r="G161" s="1878"/>
      <c r="H161" s="1878"/>
    </row>
    <row r="162" spans="1:8">
      <c r="A162" s="1878"/>
      <c r="B162" s="1878"/>
      <c r="C162" s="1878"/>
      <c r="D162" s="1878"/>
      <c r="E162" s="1878"/>
      <c r="F162" s="1878"/>
      <c r="G162" s="1878"/>
      <c r="H162" s="1878"/>
    </row>
    <row r="163" spans="1:8">
      <c r="A163" s="1878"/>
      <c r="B163" s="1878"/>
      <c r="C163" s="1878"/>
      <c r="D163" s="1878"/>
      <c r="E163" s="1878"/>
      <c r="F163" s="1878"/>
      <c r="G163" s="1878"/>
      <c r="H163" s="1878"/>
    </row>
    <row r="164" spans="1:8">
      <c r="A164" s="1878"/>
      <c r="B164" s="1878"/>
      <c r="C164" s="1878"/>
      <c r="D164" s="1878"/>
      <c r="E164" s="1878"/>
      <c r="F164" s="1878"/>
      <c r="G164" s="1878"/>
      <c r="H164" s="1878"/>
    </row>
    <row r="165" spans="1:8">
      <c r="A165" s="1878"/>
      <c r="B165" s="1878"/>
      <c r="C165" s="1878"/>
      <c r="D165" s="1878"/>
      <c r="E165" s="1878"/>
      <c r="F165" s="1878"/>
      <c r="G165" s="1878"/>
      <c r="H165" s="1878"/>
    </row>
    <row r="166" spans="1:8">
      <c r="A166" s="1878"/>
      <c r="B166" s="1878"/>
      <c r="C166" s="1878"/>
      <c r="D166" s="1878"/>
      <c r="E166" s="1878"/>
      <c r="F166" s="1878"/>
      <c r="G166" s="1878"/>
      <c r="H166" s="1878"/>
    </row>
    <row r="167" spans="1:8">
      <c r="A167" s="1878"/>
      <c r="B167" s="1878"/>
      <c r="C167" s="1878"/>
      <c r="D167" s="1878"/>
      <c r="E167" s="1878"/>
      <c r="F167" s="1878"/>
      <c r="G167" s="1878"/>
      <c r="H167" s="1878"/>
    </row>
    <row r="168" spans="1:8">
      <c r="A168" s="1878"/>
      <c r="B168" s="1878"/>
      <c r="C168" s="1878"/>
      <c r="D168" s="1878"/>
      <c r="E168" s="1878"/>
      <c r="F168" s="1878"/>
      <c r="G168" s="1878"/>
      <c r="H168" s="1878"/>
    </row>
    <row r="169" spans="1:8">
      <c r="A169" s="1878"/>
      <c r="B169" s="1878"/>
      <c r="C169" s="1878"/>
      <c r="D169" s="1878"/>
      <c r="E169" s="1878"/>
      <c r="F169" s="1878"/>
      <c r="G169" s="1878"/>
      <c r="H169" s="1878"/>
    </row>
    <row r="170" spans="1:8">
      <c r="A170" s="1878"/>
      <c r="B170" s="1878"/>
      <c r="C170" s="1878"/>
      <c r="D170" s="1878"/>
      <c r="E170" s="1878"/>
      <c r="F170" s="1878"/>
      <c r="G170" s="1878"/>
      <c r="H170" s="1878"/>
    </row>
    <row r="171" spans="1:8">
      <c r="A171" s="1878"/>
      <c r="B171" s="1878"/>
      <c r="C171" s="1878"/>
      <c r="D171" s="1878"/>
      <c r="E171" s="1878"/>
      <c r="F171" s="1878"/>
      <c r="G171" s="1878"/>
      <c r="H171" s="1878"/>
    </row>
    <row r="172" spans="1:8">
      <c r="A172" s="1878"/>
      <c r="B172" s="1878"/>
      <c r="C172" s="1878"/>
      <c r="D172" s="1878"/>
      <c r="E172" s="1878"/>
      <c r="F172" s="1878"/>
      <c r="G172" s="1878"/>
      <c r="H172" s="1878"/>
    </row>
    <row r="173" spans="1:8">
      <c r="A173" s="1878"/>
      <c r="B173" s="1878"/>
      <c r="C173" s="1878"/>
      <c r="D173" s="1878"/>
      <c r="E173" s="1878"/>
      <c r="F173" s="1878"/>
      <c r="G173" s="1878"/>
      <c r="H173" s="1878"/>
    </row>
    <row r="174" spans="1:8">
      <c r="A174" s="1878"/>
      <c r="B174" s="1878"/>
      <c r="C174" s="1878"/>
      <c r="D174" s="1878"/>
      <c r="E174" s="1878"/>
      <c r="F174" s="1878"/>
      <c r="G174" s="1878"/>
      <c r="H174" s="1878"/>
    </row>
    <row r="175" spans="1:8">
      <c r="A175" s="1878"/>
      <c r="B175" s="1878"/>
      <c r="C175" s="1878"/>
      <c r="D175" s="1878"/>
      <c r="E175" s="1878"/>
      <c r="F175" s="1878"/>
      <c r="G175" s="1878"/>
      <c r="H175" s="1878"/>
    </row>
    <row r="176" spans="1:8">
      <c r="A176" s="1878"/>
      <c r="B176" s="1878"/>
      <c r="C176" s="1878"/>
      <c r="D176" s="1878"/>
      <c r="E176" s="1878"/>
      <c r="F176" s="1878"/>
      <c r="G176" s="1878"/>
      <c r="H176" s="1878"/>
    </row>
    <row r="177" spans="1:8">
      <c r="A177" s="1878"/>
      <c r="B177" s="1878"/>
      <c r="C177" s="1878"/>
      <c r="D177" s="1878"/>
      <c r="E177" s="1878"/>
      <c r="F177" s="1878"/>
      <c r="G177" s="1878"/>
      <c r="H177" s="1878"/>
    </row>
    <row r="178" spans="1:8">
      <c r="A178" s="1878"/>
      <c r="B178" s="1878"/>
      <c r="C178" s="1878"/>
      <c r="D178" s="1878"/>
      <c r="E178" s="1878"/>
      <c r="F178" s="1878"/>
      <c r="G178" s="1878"/>
      <c r="H178" s="1878"/>
    </row>
    <row r="179" spans="1:8">
      <c r="A179" s="1878"/>
      <c r="B179" s="1878"/>
      <c r="C179" s="1878"/>
      <c r="D179" s="1878"/>
      <c r="E179" s="1878"/>
      <c r="F179" s="1878"/>
      <c r="G179" s="1878"/>
      <c r="H179" s="1878"/>
    </row>
    <row r="180" spans="1:8">
      <c r="A180" s="1878"/>
      <c r="B180" s="1878"/>
      <c r="C180" s="1878"/>
      <c r="D180" s="1878"/>
      <c r="E180" s="1878"/>
      <c r="F180" s="1878"/>
      <c r="G180" s="1878"/>
      <c r="H180" s="1878"/>
    </row>
    <row r="181" spans="1:8">
      <c r="A181" s="1878"/>
      <c r="B181" s="1878"/>
      <c r="C181" s="1878"/>
      <c r="D181" s="1878"/>
      <c r="E181" s="1878"/>
      <c r="F181" s="1878"/>
      <c r="G181" s="1878"/>
      <c r="H181" s="1878"/>
    </row>
    <row r="182" spans="1:8">
      <c r="A182" s="1878"/>
      <c r="B182" s="1878"/>
      <c r="C182" s="1878"/>
      <c r="D182" s="1878"/>
      <c r="E182" s="1878"/>
      <c r="F182" s="1878"/>
      <c r="G182" s="1878"/>
      <c r="H182" s="1878"/>
    </row>
    <row r="183" spans="1:8">
      <c r="A183" s="1878"/>
      <c r="B183" s="1878"/>
      <c r="C183" s="1878"/>
      <c r="D183" s="1878"/>
      <c r="E183" s="1878"/>
      <c r="F183" s="1878"/>
      <c r="G183" s="1878"/>
      <c r="H183" s="1878"/>
    </row>
    <row r="184" spans="1:8">
      <c r="A184" s="1878"/>
      <c r="B184" s="1878"/>
      <c r="C184" s="1878"/>
      <c r="D184" s="1878"/>
      <c r="E184" s="1878"/>
      <c r="F184" s="1878"/>
      <c r="G184" s="1878"/>
      <c r="H184" s="1878"/>
    </row>
    <row r="185" spans="1:8">
      <c r="A185" s="1878"/>
      <c r="B185" s="1878"/>
      <c r="C185" s="1878"/>
      <c r="D185" s="1878"/>
      <c r="E185" s="1878"/>
      <c r="F185" s="1878"/>
      <c r="G185" s="1878"/>
      <c r="H185" s="1878"/>
    </row>
    <row r="186" spans="1:8">
      <c r="A186" s="1878"/>
      <c r="B186" s="1878"/>
      <c r="C186" s="1878"/>
      <c r="D186" s="1878"/>
      <c r="E186" s="1878"/>
      <c r="F186" s="1878"/>
      <c r="G186" s="1878"/>
      <c r="H186" s="1878"/>
    </row>
    <row r="187" spans="1:8">
      <c r="A187" s="1878"/>
      <c r="B187" s="1878"/>
      <c r="C187" s="1878"/>
      <c r="D187" s="1878"/>
      <c r="E187" s="1878"/>
      <c r="F187" s="1878"/>
      <c r="G187" s="1878"/>
      <c r="H187" s="1878"/>
    </row>
    <row r="188" spans="1:8">
      <c r="A188" s="1878"/>
      <c r="B188" s="1878"/>
      <c r="C188" s="1878"/>
      <c r="D188" s="1878"/>
      <c r="E188" s="1878"/>
      <c r="F188" s="1878"/>
      <c r="G188" s="1878"/>
      <c r="H188" s="1878"/>
    </row>
    <row r="189" spans="1:8">
      <c r="A189" s="1878"/>
      <c r="B189" s="1878"/>
      <c r="C189" s="1878"/>
      <c r="D189" s="1878"/>
      <c r="E189" s="1878"/>
      <c r="F189" s="1878"/>
      <c r="G189" s="1878"/>
      <c r="H189" s="1878"/>
    </row>
    <row r="190" spans="1:8">
      <c r="A190" s="1878"/>
      <c r="B190" s="1878"/>
      <c r="C190" s="1878"/>
      <c r="D190" s="1878"/>
      <c r="E190" s="1878"/>
      <c r="F190" s="1878"/>
      <c r="G190" s="1878"/>
      <c r="H190" s="1878"/>
    </row>
    <row r="191" spans="1:8">
      <c r="A191" s="1878"/>
      <c r="B191" s="1878"/>
      <c r="C191" s="1878"/>
      <c r="D191" s="1878"/>
      <c r="E191" s="1878"/>
      <c r="F191" s="1878"/>
      <c r="G191" s="1878"/>
      <c r="H191" s="1878"/>
    </row>
    <row r="192" spans="1:8">
      <c r="A192" s="1878"/>
      <c r="B192" s="1878"/>
      <c r="C192" s="1878"/>
      <c r="D192" s="1878"/>
      <c r="E192" s="1878"/>
      <c r="F192" s="1878"/>
      <c r="G192" s="1878"/>
      <c r="H192" s="1878"/>
    </row>
    <row r="193" spans="1:8">
      <c r="A193" s="1878"/>
      <c r="B193" s="1878"/>
      <c r="C193" s="1878"/>
      <c r="D193" s="1878"/>
      <c r="E193" s="1878"/>
      <c r="F193" s="1878"/>
      <c r="G193" s="1878"/>
      <c r="H193" s="1878"/>
    </row>
    <row r="194" spans="1:8">
      <c r="A194" s="1878"/>
      <c r="B194" s="1878"/>
      <c r="C194" s="1878"/>
      <c r="D194" s="1878"/>
      <c r="E194" s="1878"/>
      <c r="F194" s="1878"/>
      <c r="G194" s="1878"/>
      <c r="H194" s="1878"/>
    </row>
    <row r="195" spans="1:8">
      <c r="A195" s="1878"/>
      <c r="B195" s="1878"/>
      <c r="C195" s="1878"/>
      <c r="D195" s="1878"/>
      <c r="E195" s="1878"/>
      <c r="F195" s="1878"/>
      <c r="G195" s="1878"/>
      <c r="H195" s="1878"/>
    </row>
    <row r="196" spans="1:8">
      <c r="A196" s="1878"/>
      <c r="B196" s="1878"/>
      <c r="C196" s="1878"/>
      <c r="D196" s="1878"/>
      <c r="E196" s="1878"/>
      <c r="F196" s="1878"/>
      <c r="G196" s="1878"/>
      <c r="H196" s="1878"/>
    </row>
    <row r="197" spans="1:8">
      <c r="A197" s="1878"/>
      <c r="B197" s="1878"/>
      <c r="C197" s="1878"/>
      <c r="D197" s="1878"/>
      <c r="E197" s="1878"/>
      <c r="F197" s="1878"/>
      <c r="G197" s="1878"/>
      <c r="H197" s="1878"/>
    </row>
    <row r="198" spans="1:8">
      <c r="A198" s="1878"/>
      <c r="B198" s="1878"/>
      <c r="C198" s="1878"/>
      <c r="D198" s="1878"/>
      <c r="E198" s="1878"/>
      <c r="F198" s="1878"/>
      <c r="G198" s="1878"/>
      <c r="H198" s="1878"/>
    </row>
    <row r="199" spans="1:8">
      <c r="A199" s="1878"/>
      <c r="B199" s="1878"/>
      <c r="C199" s="1878"/>
      <c r="D199" s="1878"/>
      <c r="E199" s="1878"/>
      <c r="F199" s="1878"/>
      <c r="G199" s="1878"/>
      <c r="H199" s="1878"/>
    </row>
    <row r="200" spans="1:8">
      <c r="A200" s="1878"/>
      <c r="B200" s="1878"/>
      <c r="C200" s="1878"/>
      <c r="D200" s="1878"/>
      <c r="E200" s="1878"/>
      <c r="F200" s="1878"/>
      <c r="G200" s="1878"/>
      <c r="H200" s="1878"/>
    </row>
    <row r="201" spans="1:8">
      <c r="A201" s="1878"/>
      <c r="B201" s="1878"/>
      <c r="C201" s="1878"/>
      <c r="D201" s="1878"/>
      <c r="E201" s="1878"/>
      <c r="F201" s="1878"/>
      <c r="G201" s="1878"/>
      <c r="H201" s="1878"/>
    </row>
    <row r="202" spans="1:8">
      <c r="A202" s="1878"/>
      <c r="B202" s="1878"/>
      <c r="C202" s="1878"/>
      <c r="D202" s="1878"/>
      <c r="E202" s="1878"/>
      <c r="F202" s="1878"/>
      <c r="G202" s="1878"/>
      <c r="H202" s="1878"/>
    </row>
    <row r="203" spans="1:8">
      <c r="A203" s="1878"/>
      <c r="B203" s="1878"/>
      <c r="C203" s="1878"/>
      <c r="D203" s="1878"/>
      <c r="E203" s="1878"/>
      <c r="F203" s="1878"/>
      <c r="G203" s="1878"/>
      <c r="H203" s="1878"/>
    </row>
    <row r="204" spans="1:8">
      <c r="A204" s="1878"/>
      <c r="B204" s="1878"/>
      <c r="C204" s="1878"/>
      <c r="D204" s="1878"/>
      <c r="E204" s="1878"/>
      <c r="F204" s="1878"/>
      <c r="G204" s="1878"/>
      <c r="H204" s="1878"/>
    </row>
    <row r="205" spans="1:8">
      <c r="A205" s="1878"/>
      <c r="B205" s="1878"/>
      <c r="C205" s="1878"/>
      <c r="D205" s="1878"/>
      <c r="E205" s="1878"/>
      <c r="F205" s="1878"/>
      <c r="G205" s="1878"/>
      <c r="H205" s="1878"/>
    </row>
    <row r="206" spans="1:8">
      <c r="A206" s="1878"/>
      <c r="B206" s="1878"/>
      <c r="C206" s="1878"/>
      <c r="D206" s="1878"/>
      <c r="E206" s="1878"/>
      <c r="F206" s="1878"/>
      <c r="G206" s="1878"/>
      <c r="H206" s="1878"/>
    </row>
    <row r="207" spans="1:8">
      <c r="A207" s="1878"/>
      <c r="B207" s="1878"/>
      <c r="C207" s="1878"/>
      <c r="D207" s="1878"/>
      <c r="E207" s="1878"/>
      <c r="F207" s="1878"/>
      <c r="G207" s="1878"/>
      <c r="H207" s="1878"/>
    </row>
    <row r="208" spans="1:8">
      <c r="A208" s="1878"/>
      <c r="B208" s="1878"/>
      <c r="C208" s="1878"/>
      <c r="D208" s="1878"/>
      <c r="E208" s="1878"/>
      <c r="F208" s="1878"/>
      <c r="G208" s="1878"/>
      <c r="H208" s="1878"/>
    </row>
    <row r="209" spans="1:8">
      <c r="A209" s="1878"/>
      <c r="B209" s="1878"/>
      <c r="C209" s="1878"/>
      <c r="D209" s="1878"/>
      <c r="E209" s="1878"/>
      <c r="F209" s="1878"/>
      <c r="G209" s="1878"/>
      <c r="H209" s="1878"/>
    </row>
    <row r="210" spans="1:8">
      <c r="A210" s="1878"/>
      <c r="B210" s="1878"/>
      <c r="C210" s="1878"/>
      <c r="D210" s="1878"/>
      <c r="E210" s="1878"/>
      <c r="F210" s="1878"/>
      <c r="G210" s="1878"/>
      <c r="H210" s="1878"/>
    </row>
    <row r="211" spans="1:8">
      <c r="A211" s="1878"/>
      <c r="B211" s="1878"/>
      <c r="C211" s="1878"/>
      <c r="D211" s="1878"/>
      <c r="E211" s="1878"/>
      <c r="F211" s="1878"/>
      <c r="G211" s="1878"/>
      <c r="H211" s="1878"/>
    </row>
    <row r="212" spans="1:8">
      <c r="A212" s="1878"/>
      <c r="B212" s="1878"/>
      <c r="C212" s="1878"/>
      <c r="D212" s="1878"/>
      <c r="E212" s="1878"/>
      <c r="F212" s="1878"/>
      <c r="G212" s="1878"/>
      <c r="H212" s="1878"/>
    </row>
    <row r="213" spans="1:8">
      <c r="A213" s="1878"/>
      <c r="B213" s="1878"/>
      <c r="C213" s="1878"/>
      <c r="D213" s="1878"/>
      <c r="E213" s="1878"/>
      <c r="F213" s="1878"/>
      <c r="G213" s="1878"/>
      <c r="H213" s="1878"/>
    </row>
    <row r="214" spans="1:8">
      <c r="A214" s="1878"/>
      <c r="B214" s="1878"/>
      <c r="C214" s="1878"/>
      <c r="D214" s="1878"/>
      <c r="E214" s="1878"/>
      <c r="F214" s="1878"/>
      <c r="G214" s="1878"/>
      <c r="H214" s="1878"/>
    </row>
    <row r="215" spans="1:8">
      <c r="A215" s="1878"/>
      <c r="B215" s="1878"/>
      <c r="C215" s="1878"/>
      <c r="D215" s="1878"/>
      <c r="E215" s="1878"/>
      <c r="F215" s="1878"/>
      <c r="G215" s="1878"/>
      <c r="H215" s="1878"/>
    </row>
    <row r="216" spans="1:8">
      <c r="A216" s="1878"/>
      <c r="B216" s="1878"/>
      <c r="C216" s="1878"/>
      <c r="D216" s="1878"/>
      <c r="E216" s="1878"/>
      <c r="F216" s="1878"/>
      <c r="G216" s="1878"/>
      <c r="H216" s="1878"/>
    </row>
    <row r="217" spans="1:8">
      <c r="A217" s="1878"/>
      <c r="B217" s="1878"/>
      <c r="C217" s="1878"/>
      <c r="D217" s="1878"/>
      <c r="E217" s="1878"/>
      <c r="F217" s="1878"/>
      <c r="G217" s="1878"/>
      <c r="H217" s="1878"/>
    </row>
    <row r="218" spans="1:8">
      <c r="A218" s="1878"/>
      <c r="B218" s="1878"/>
      <c r="C218" s="1878"/>
      <c r="D218" s="1878"/>
      <c r="E218" s="1878"/>
      <c r="F218" s="1878"/>
      <c r="G218" s="1878"/>
      <c r="H218" s="1878"/>
    </row>
    <row r="219" spans="1:8">
      <c r="A219" s="1878"/>
      <c r="B219" s="1878"/>
      <c r="C219" s="1878"/>
      <c r="D219" s="1878"/>
      <c r="E219" s="1878"/>
      <c r="F219" s="1878"/>
      <c r="G219" s="1878"/>
      <c r="H219" s="1878"/>
    </row>
    <row r="220" spans="1:8">
      <c r="A220" s="1878"/>
      <c r="B220" s="1878"/>
      <c r="C220" s="1878"/>
      <c r="D220" s="1878"/>
      <c r="E220" s="1878"/>
      <c r="F220" s="1878"/>
      <c r="G220" s="1878"/>
      <c r="H220" s="1878"/>
    </row>
    <row r="221" spans="1:8">
      <c r="A221" s="1878"/>
      <c r="B221" s="1878"/>
      <c r="C221" s="1878"/>
      <c r="D221" s="1878"/>
      <c r="E221" s="1878"/>
      <c r="F221" s="1878"/>
      <c r="G221" s="1878"/>
      <c r="H221" s="1878"/>
    </row>
    <row r="222" spans="1:8">
      <c r="A222" s="1878"/>
      <c r="B222" s="1878"/>
      <c r="C222" s="1878"/>
      <c r="D222" s="1878"/>
      <c r="E222" s="1878"/>
      <c r="F222" s="1878"/>
      <c r="G222" s="1878"/>
      <c r="H222" s="1878"/>
    </row>
    <row r="223" spans="1:8">
      <c r="A223" s="1878"/>
      <c r="B223" s="1878"/>
      <c r="C223" s="1878"/>
      <c r="D223" s="1878"/>
      <c r="E223" s="1878"/>
      <c r="F223" s="1878"/>
      <c r="G223" s="1878"/>
      <c r="H223" s="1878"/>
    </row>
    <row r="224" spans="1:8">
      <c r="A224" s="1878"/>
      <c r="B224" s="1878"/>
      <c r="C224" s="1878"/>
      <c r="D224" s="1878"/>
      <c r="E224" s="1878"/>
      <c r="F224" s="1878"/>
      <c r="G224" s="1878"/>
      <c r="H224" s="1878"/>
    </row>
    <row r="225" spans="1:8">
      <c r="A225" s="1878"/>
      <c r="B225" s="1878"/>
      <c r="C225" s="1878"/>
      <c r="D225" s="1878"/>
      <c r="E225" s="1878"/>
      <c r="F225" s="1878"/>
      <c r="G225" s="1878"/>
      <c r="H225" s="1878"/>
    </row>
    <row r="226" spans="1:8">
      <c r="A226" s="1878"/>
      <c r="B226" s="1878"/>
      <c r="C226" s="1878"/>
      <c r="D226" s="1878"/>
      <c r="E226" s="1878"/>
      <c r="F226" s="1878"/>
      <c r="G226" s="1878"/>
      <c r="H226" s="1878"/>
    </row>
    <row r="227" spans="1:8">
      <c r="A227" s="1878"/>
      <c r="B227" s="1878"/>
      <c r="C227" s="1878"/>
      <c r="D227" s="1878"/>
      <c r="E227" s="1878"/>
      <c r="F227" s="1878"/>
      <c r="G227" s="1878"/>
      <c r="H227" s="1878"/>
    </row>
    <row r="228" spans="1:8">
      <c r="A228" s="1878"/>
      <c r="B228" s="1878"/>
      <c r="C228" s="1878"/>
      <c r="D228" s="1878"/>
      <c r="E228" s="1878"/>
      <c r="F228" s="1878"/>
      <c r="G228" s="1878"/>
      <c r="H228" s="1878"/>
    </row>
    <row r="229" spans="1:8">
      <c r="A229" s="1878"/>
      <c r="B229" s="1878"/>
      <c r="C229" s="1878"/>
      <c r="D229" s="1878"/>
      <c r="E229" s="1878"/>
      <c r="F229" s="1878"/>
      <c r="G229" s="1878"/>
      <c r="H229" s="1878"/>
    </row>
    <row r="230" spans="1:8">
      <c r="A230" s="1878"/>
      <c r="B230" s="1878"/>
      <c r="C230" s="1878"/>
      <c r="D230" s="1878"/>
      <c r="E230" s="1878"/>
      <c r="F230" s="1878"/>
      <c r="G230" s="1878"/>
      <c r="H230" s="1878"/>
    </row>
    <row r="231" spans="1:8">
      <c r="A231" s="1878"/>
      <c r="B231" s="1878"/>
      <c r="C231" s="1878"/>
      <c r="D231" s="1878"/>
      <c r="E231" s="1878"/>
      <c r="F231" s="1878"/>
      <c r="G231" s="1878"/>
      <c r="H231" s="1878"/>
    </row>
    <row r="232" spans="1:8">
      <c r="A232" s="1878"/>
      <c r="B232" s="1878"/>
      <c r="C232" s="1878"/>
      <c r="D232" s="1878"/>
      <c r="E232" s="1878"/>
      <c r="F232" s="1878"/>
      <c r="G232" s="1878"/>
      <c r="H232" s="1878"/>
    </row>
    <row r="233" spans="1:8">
      <c r="A233" s="1878"/>
      <c r="B233" s="1878"/>
      <c r="C233" s="1878"/>
      <c r="D233" s="1878"/>
      <c r="E233" s="1878"/>
      <c r="F233" s="1878"/>
      <c r="G233" s="1878"/>
      <c r="H233" s="1878"/>
    </row>
    <row r="234" spans="1:8">
      <c r="A234" s="1878"/>
      <c r="B234" s="1878"/>
      <c r="C234" s="1878"/>
      <c r="D234" s="1878"/>
      <c r="E234" s="1878"/>
      <c r="F234" s="1878"/>
      <c r="G234" s="1878"/>
      <c r="H234" s="1878"/>
    </row>
    <row r="235" spans="1:8">
      <c r="A235" s="1878"/>
      <c r="B235" s="1878"/>
      <c r="C235" s="1878"/>
      <c r="D235" s="1878"/>
      <c r="E235" s="1878"/>
      <c r="F235" s="1878"/>
      <c r="G235" s="1878"/>
      <c r="H235" s="1878"/>
    </row>
    <row r="236" spans="1:8">
      <c r="A236" s="1878"/>
      <c r="B236" s="1878"/>
      <c r="C236" s="1878"/>
      <c r="D236" s="1878"/>
      <c r="E236" s="1878"/>
      <c r="F236" s="1878"/>
      <c r="G236" s="1878"/>
      <c r="H236" s="1878"/>
    </row>
    <row r="237" spans="1:8">
      <c r="A237" s="1878"/>
      <c r="B237" s="1878"/>
      <c r="C237" s="1878"/>
      <c r="D237" s="1878"/>
      <c r="E237" s="1878"/>
      <c r="F237" s="1878"/>
      <c r="G237" s="1878"/>
      <c r="H237" s="1878"/>
    </row>
    <row r="238" spans="1:8">
      <c r="A238" s="1878"/>
      <c r="B238" s="1878"/>
      <c r="C238" s="1878"/>
      <c r="D238" s="1878"/>
      <c r="E238" s="1878"/>
      <c r="F238" s="1878"/>
      <c r="G238" s="1878"/>
      <c r="H238" s="1878"/>
    </row>
    <row r="239" spans="1:8">
      <c r="A239" s="1878"/>
      <c r="B239" s="1878"/>
      <c r="C239" s="1878"/>
      <c r="D239" s="1878"/>
      <c r="E239" s="1878"/>
      <c r="F239" s="1878"/>
      <c r="G239" s="1878"/>
      <c r="H239" s="1878"/>
    </row>
    <row r="240" spans="1:8">
      <c r="A240" s="1878"/>
      <c r="B240" s="1878"/>
      <c r="C240" s="1878"/>
      <c r="D240" s="1878"/>
      <c r="E240" s="1878"/>
      <c r="F240" s="1878"/>
      <c r="G240" s="1878"/>
      <c r="H240" s="1878"/>
    </row>
    <row r="241" spans="1:8">
      <c r="A241" s="1878"/>
      <c r="B241" s="1878"/>
      <c r="C241" s="1878"/>
      <c r="D241" s="1878"/>
      <c r="E241" s="1878"/>
      <c r="F241" s="1878"/>
      <c r="G241" s="1878"/>
      <c r="H241" s="1878"/>
    </row>
    <row r="242" spans="1:8">
      <c r="A242" s="1878"/>
      <c r="B242" s="1878"/>
      <c r="C242" s="1878"/>
      <c r="D242" s="1878"/>
      <c r="E242" s="1878"/>
      <c r="F242" s="1878"/>
      <c r="G242" s="1878"/>
      <c r="H242" s="1878"/>
    </row>
    <row r="243" spans="1:8">
      <c r="A243" s="1878"/>
      <c r="B243" s="1878"/>
      <c r="C243" s="1878"/>
      <c r="D243" s="1878"/>
      <c r="E243" s="1878"/>
      <c r="F243" s="1878"/>
      <c r="G243" s="1878"/>
      <c r="H243" s="1878"/>
    </row>
    <row r="244" spans="1:8">
      <c r="A244" s="1878"/>
      <c r="B244" s="1878"/>
      <c r="C244" s="1878"/>
      <c r="D244" s="1878"/>
      <c r="E244" s="1878"/>
      <c r="F244" s="1878"/>
      <c r="G244" s="1878"/>
      <c r="H244" s="1878"/>
    </row>
    <row r="245" spans="1:8">
      <c r="A245" s="1878"/>
      <c r="B245" s="1878"/>
      <c r="C245" s="1878"/>
      <c r="D245" s="1878"/>
      <c r="E245" s="1878"/>
      <c r="F245" s="1878"/>
      <c r="G245" s="1878"/>
      <c r="H245" s="1878"/>
    </row>
    <row r="246" spans="1:8">
      <c r="A246" s="1878"/>
      <c r="B246" s="1878"/>
      <c r="C246" s="1878"/>
      <c r="D246" s="1878"/>
      <c r="E246" s="1878"/>
      <c r="F246" s="1878"/>
      <c r="G246" s="1878"/>
      <c r="H246" s="1878"/>
    </row>
    <row r="247" spans="1:8">
      <c r="A247" s="1878"/>
      <c r="B247" s="1878"/>
      <c r="C247" s="1878"/>
      <c r="D247" s="1878"/>
      <c r="E247" s="1878"/>
      <c r="F247" s="1878"/>
      <c r="G247" s="1878"/>
      <c r="H247" s="1878"/>
    </row>
    <row r="248" spans="1:8">
      <c r="A248" s="1878"/>
      <c r="B248" s="1878"/>
      <c r="C248" s="1878"/>
      <c r="D248" s="1878"/>
      <c r="E248" s="1878"/>
      <c r="F248" s="1878"/>
      <c r="G248" s="1878"/>
      <c r="H248" s="1878"/>
    </row>
    <row r="249" spans="1:8">
      <c r="A249" s="1878"/>
      <c r="B249" s="1878"/>
      <c r="C249" s="1878"/>
      <c r="D249" s="1878"/>
      <c r="E249" s="1878"/>
      <c r="F249" s="1878"/>
      <c r="G249" s="1878"/>
      <c r="H249" s="1878"/>
    </row>
    <row r="250" spans="1:8">
      <c r="A250" s="1878"/>
      <c r="B250" s="1878"/>
      <c r="C250" s="1878"/>
      <c r="D250" s="1878"/>
      <c r="E250" s="1878"/>
      <c r="F250" s="1878"/>
      <c r="G250" s="1878"/>
      <c r="H250" s="1878"/>
    </row>
    <row r="251" spans="1:8">
      <c r="A251" s="1878"/>
      <c r="B251" s="1878"/>
      <c r="C251" s="1878"/>
      <c r="D251" s="1878"/>
      <c r="E251" s="1878"/>
      <c r="F251" s="1878"/>
      <c r="G251" s="1878"/>
      <c r="H251" s="1878"/>
    </row>
    <row r="252" spans="1:8">
      <c r="A252" s="1878"/>
      <c r="B252" s="1878"/>
      <c r="C252" s="1878"/>
      <c r="D252" s="1878"/>
      <c r="E252" s="1878"/>
      <c r="F252" s="1878"/>
      <c r="G252" s="1878"/>
      <c r="H252" s="1878"/>
    </row>
    <row r="253" spans="1:8">
      <c r="A253" s="1878"/>
      <c r="B253" s="1878"/>
      <c r="C253" s="1878"/>
      <c r="D253" s="1878"/>
      <c r="E253" s="1878"/>
      <c r="F253" s="1878"/>
      <c r="G253" s="1878"/>
      <c r="H253" s="1878"/>
    </row>
    <row r="254" spans="1:8">
      <c r="A254" s="1878"/>
      <c r="B254" s="1878"/>
      <c r="C254" s="1878"/>
      <c r="D254" s="1878"/>
      <c r="E254" s="1878"/>
      <c r="F254" s="1878"/>
      <c r="G254" s="1878"/>
      <c r="H254" s="1878"/>
    </row>
    <row r="255" spans="1:8">
      <c r="A255" s="1878"/>
      <c r="B255" s="1878"/>
      <c r="C255" s="1878"/>
      <c r="D255" s="1878"/>
      <c r="E255" s="1878"/>
      <c r="F255" s="1878"/>
      <c r="G255" s="1878"/>
      <c r="H255" s="1878"/>
    </row>
    <row r="256" spans="1:8">
      <c r="A256" s="1878"/>
      <c r="B256" s="1878"/>
      <c r="C256" s="1878"/>
      <c r="D256" s="1878"/>
      <c r="E256" s="1878"/>
      <c r="F256" s="1878"/>
      <c r="G256" s="1878"/>
      <c r="H256" s="1878"/>
    </row>
    <row r="257" spans="1:8">
      <c r="A257" s="1878"/>
      <c r="B257" s="1878"/>
      <c r="C257" s="1878"/>
      <c r="D257" s="1878"/>
      <c r="E257" s="1878"/>
      <c r="F257" s="1878"/>
      <c r="G257" s="1878"/>
      <c r="H257" s="1878"/>
    </row>
    <row r="258" spans="1:8">
      <c r="A258" s="1878"/>
      <c r="B258" s="1878"/>
      <c r="C258" s="1878"/>
      <c r="D258" s="1878"/>
      <c r="E258" s="1878"/>
      <c r="F258" s="1878"/>
      <c r="G258" s="1878"/>
      <c r="H258" s="1878"/>
    </row>
    <row r="259" spans="1:8">
      <c r="A259" s="1878"/>
      <c r="B259" s="1878"/>
      <c r="C259" s="1878"/>
      <c r="D259" s="1878"/>
      <c r="E259" s="1878"/>
      <c r="F259" s="1878"/>
      <c r="G259" s="1878"/>
      <c r="H259" s="1878"/>
    </row>
    <row r="260" spans="1:8">
      <c r="A260" s="1878"/>
      <c r="B260" s="1878"/>
      <c r="C260" s="1878"/>
      <c r="D260" s="1878"/>
      <c r="E260" s="1878"/>
      <c r="F260" s="1878"/>
      <c r="G260" s="1878"/>
      <c r="H260" s="1878"/>
    </row>
    <row r="261" spans="1:8">
      <c r="A261" s="1878"/>
      <c r="B261" s="1878"/>
      <c r="C261" s="1878"/>
      <c r="D261" s="1878"/>
      <c r="E261" s="1878"/>
      <c r="F261" s="1878"/>
      <c r="G261" s="1878"/>
      <c r="H261" s="1878"/>
    </row>
    <row r="262" spans="1:8">
      <c r="A262" s="1878"/>
      <c r="B262" s="1878"/>
      <c r="C262" s="1878"/>
      <c r="D262" s="1878"/>
      <c r="E262" s="1878"/>
      <c r="F262" s="1878"/>
      <c r="G262" s="1878"/>
      <c r="H262" s="1878"/>
    </row>
    <row r="263" spans="1:8">
      <c r="A263" s="1878"/>
      <c r="B263" s="1878"/>
      <c r="C263" s="1878"/>
      <c r="D263" s="1878"/>
      <c r="E263" s="1878"/>
      <c r="F263" s="1878"/>
      <c r="G263" s="1878"/>
      <c r="H263" s="1878"/>
    </row>
    <row r="264" spans="1:8">
      <c r="A264" s="1878"/>
      <c r="B264" s="1878"/>
      <c r="C264" s="1878"/>
      <c r="D264" s="1878"/>
      <c r="E264" s="1878"/>
      <c r="F264" s="1878"/>
      <c r="G264" s="1878"/>
      <c r="H264" s="1878"/>
    </row>
    <row r="265" spans="1:8">
      <c r="A265" s="1878"/>
      <c r="B265" s="1878"/>
      <c r="C265" s="1878"/>
      <c r="D265" s="1878"/>
      <c r="E265" s="1878"/>
      <c r="F265" s="1878"/>
      <c r="G265" s="1878"/>
      <c r="H265" s="1878"/>
    </row>
    <row r="266" spans="1:8">
      <c r="A266" s="1878"/>
      <c r="B266" s="1878"/>
      <c r="C266" s="1878"/>
      <c r="D266" s="1878"/>
      <c r="E266" s="1878"/>
      <c r="F266" s="1878"/>
      <c r="G266" s="1878"/>
      <c r="H266" s="1878"/>
    </row>
    <row r="267" spans="1:8">
      <c r="A267" s="1878"/>
      <c r="B267" s="1878"/>
      <c r="C267" s="1878"/>
      <c r="D267" s="1878"/>
      <c r="E267" s="1878"/>
      <c r="F267" s="1878"/>
      <c r="G267" s="1878"/>
      <c r="H267" s="1878"/>
    </row>
    <row r="268" spans="1:8">
      <c r="A268" s="1878"/>
      <c r="B268" s="1878"/>
      <c r="C268" s="1878"/>
      <c r="D268" s="1878"/>
      <c r="E268" s="1878"/>
      <c r="F268" s="1878"/>
      <c r="G268" s="1878"/>
      <c r="H268" s="1878"/>
    </row>
    <row r="269" spans="1:8">
      <c r="A269" s="1878"/>
      <c r="B269" s="1878"/>
      <c r="C269" s="1878"/>
      <c r="D269" s="1878"/>
      <c r="E269" s="1878"/>
      <c r="F269" s="1878"/>
      <c r="G269" s="1878"/>
      <c r="H269" s="1878"/>
    </row>
    <row r="270" spans="1:8">
      <c r="A270" s="1878"/>
      <c r="B270" s="1878"/>
      <c r="C270" s="1878"/>
      <c r="D270" s="1878"/>
      <c r="E270" s="1878"/>
      <c r="F270" s="1878"/>
      <c r="G270" s="1878"/>
      <c r="H270" s="1878"/>
    </row>
    <row r="271" spans="1:8">
      <c r="A271" s="1878"/>
      <c r="B271" s="1878"/>
      <c r="C271" s="1878"/>
      <c r="D271" s="1878"/>
      <c r="E271" s="1878"/>
      <c r="F271" s="1878"/>
      <c r="G271" s="1878"/>
      <c r="H271" s="1878"/>
    </row>
    <row r="272" spans="1:8">
      <c r="A272" s="1878"/>
      <c r="B272" s="1878"/>
      <c r="C272" s="1878"/>
      <c r="D272" s="1878"/>
      <c r="E272" s="1878"/>
      <c r="F272" s="1878"/>
      <c r="G272" s="1878"/>
      <c r="H272" s="1878"/>
    </row>
    <row r="273" spans="1:8">
      <c r="A273" s="1878"/>
      <c r="B273" s="1878"/>
      <c r="C273" s="1878"/>
      <c r="D273" s="1878"/>
      <c r="E273" s="1878"/>
      <c r="F273" s="1878"/>
      <c r="G273" s="1878"/>
      <c r="H273" s="1878"/>
    </row>
    <row r="274" spans="1:8">
      <c r="A274" s="1878"/>
      <c r="B274" s="1878"/>
      <c r="C274" s="1878"/>
      <c r="D274" s="1878"/>
      <c r="E274" s="1878"/>
      <c r="F274" s="1878"/>
      <c r="G274" s="1878"/>
      <c r="H274" s="1878"/>
    </row>
    <row r="275" spans="1:8">
      <c r="A275" s="1878"/>
      <c r="B275" s="1878"/>
      <c r="C275" s="1878"/>
      <c r="D275" s="1878"/>
      <c r="E275" s="1878"/>
      <c r="F275" s="1878"/>
      <c r="G275" s="1878"/>
      <c r="H275" s="1878"/>
    </row>
    <row r="276" spans="1:8">
      <c r="A276" s="1878"/>
      <c r="B276" s="1878"/>
      <c r="C276" s="1878"/>
      <c r="D276" s="1878"/>
      <c r="E276" s="1878"/>
      <c r="F276" s="1878"/>
      <c r="G276" s="1878"/>
      <c r="H276" s="1878"/>
    </row>
    <row r="277" spans="1:8">
      <c r="A277" s="1878"/>
      <c r="B277" s="1878"/>
      <c r="C277" s="1878"/>
      <c r="D277" s="1878"/>
      <c r="E277" s="1878"/>
      <c r="F277" s="1878"/>
      <c r="G277" s="1878"/>
      <c r="H277" s="1878"/>
    </row>
    <row r="278" spans="1:8">
      <c r="A278" s="1878"/>
      <c r="B278" s="1878"/>
      <c r="C278" s="1878"/>
      <c r="D278" s="1878"/>
      <c r="E278" s="1878"/>
      <c r="F278" s="1878"/>
      <c r="G278" s="1878"/>
      <c r="H278" s="1878"/>
    </row>
    <row r="279" spans="1:8">
      <c r="A279" s="1878"/>
      <c r="B279" s="1878"/>
      <c r="C279" s="1878"/>
      <c r="D279" s="1878"/>
      <c r="E279" s="1878"/>
      <c r="F279" s="1878"/>
      <c r="G279" s="1878"/>
      <c r="H279" s="1878"/>
    </row>
    <row r="280" spans="1:8">
      <c r="A280" s="1878"/>
      <c r="B280" s="1878"/>
      <c r="C280" s="1878"/>
      <c r="D280" s="1878"/>
      <c r="E280" s="1878"/>
      <c r="F280" s="1878"/>
      <c r="G280" s="1878"/>
      <c r="H280" s="1878"/>
    </row>
    <row r="281" spans="1:8">
      <c r="A281" s="1878"/>
      <c r="B281" s="1878"/>
      <c r="C281" s="1878"/>
      <c r="D281" s="1878"/>
      <c r="E281" s="1878"/>
      <c r="F281" s="1878"/>
      <c r="G281" s="1878"/>
      <c r="H281" s="1878"/>
    </row>
    <row r="282" spans="1:8">
      <c r="A282" s="1878"/>
      <c r="B282" s="1878"/>
      <c r="C282" s="1878"/>
      <c r="D282" s="1878"/>
      <c r="E282" s="1878"/>
      <c r="F282" s="1878"/>
      <c r="G282" s="1878"/>
      <c r="H282" s="1878"/>
    </row>
    <row r="283" spans="1:8">
      <c r="A283" s="1878"/>
      <c r="B283" s="1878"/>
      <c r="C283" s="1878"/>
      <c r="D283" s="1878"/>
      <c r="E283" s="1878"/>
      <c r="F283" s="1878"/>
      <c r="G283" s="1878"/>
      <c r="H283" s="1878"/>
    </row>
    <row r="284" spans="1:8">
      <c r="A284" s="1878"/>
      <c r="B284" s="1878"/>
      <c r="C284" s="1878"/>
      <c r="D284" s="1878"/>
      <c r="E284" s="1878"/>
      <c r="F284" s="1878"/>
      <c r="G284" s="1878"/>
      <c r="H284" s="1878"/>
    </row>
    <row r="285" spans="1:8">
      <c r="A285" s="1878"/>
      <c r="B285" s="1878"/>
      <c r="C285" s="1878"/>
      <c r="D285" s="1878"/>
      <c r="E285" s="1878"/>
      <c r="F285" s="1878"/>
      <c r="G285" s="1878"/>
      <c r="H285" s="1878"/>
    </row>
    <row r="286" spans="1:8">
      <c r="A286" s="1878"/>
      <c r="B286" s="1878"/>
      <c r="C286" s="1878"/>
      <c r="D286" s="1878"/>
      <c r="E286" s="1878"/>
      <c r="F286" s="1878"/>
      <c r="G286" s="1878"/>
      <c r="H286" s="1878"/>
    </row>
    <row r="287" spans="1:8">
      <c r="A287" s="1878"/>
      <c r="B287" s="1878"/>
      <c r="C287" s="1878"/>
      <c r="D287" s="1878"/>
      <c r="E287" s="1878"/>
      <c r="F287" s="1878"/>
      <c r="G287" s="1878"/>
      <c r="H287" s="1878"/>
    </row>
    <row r="288" spans="1:8">
      <c r="A288" s="1878"/>
      <c r="B288" s="1878"/>
      <c r="C288" s="1878"/>
      <c r="D288" s="1878"/>
      <c r="E288" s="1878"/>
      <c r="F288" s="1878"/>
      <c r="G288" s="1878"/>
      <c r="H288" s="1878"/>
    </row>
    <row r="289" spans="1:8">
      <c r="A289" s="1878"/>
      <c r="B289" s="1878"/>
      <c r="C289" s="1878"/>
      <c r="D289" s="1878"/>
      <c r="E289" s="1878"/>
      <c r="F289" s="1878"/>
      <c r="G289" s="1878"/>
      <c r="H289" s="1878"/>
    </row>
    <row r="290" spans="1:8">
      <c r="A290" s="1878"/>
      <c r="B290" s="1878"/>
      <c r="C290" s="1878"/>
      <c r="D290" s="1878"/>
      <c r="E290" s="1878"/>
      <c r="F290" s="1878"/>
      <c r="G290" s="1878"/>
      <c r="H290" s="1878"/>
    </row>
    <row r="291" spans="1:8">
      <c r="A291" s="1878"/>
      <c r="B291" s="1878"/>
      <c r="C291" s="1878"/>
      <c r="D291" s="1878"/>
      <c r="E291" s="1878"/>
      <c r="F291" s="1878"/>
      <c r="G291" s="1878"/>
      <c r="H291" s="1878"/>
    </row>
    <row r="292" spans="1:8">
      <c r="A292" s="1878"/>
      <c r="B292" s="1878"/>
      <c r="C292" s="1878"/>
      <c r="D292" s="1878"/>
      <c r="E292" s="1878"/>
      <c r="F292" s="1878"/>
      <c r="G292" s="1878"/>
      <c r="H292" s="1878"/>
    </row>
    <row r="293" spans="1:8">
      <c r="A293" s="1878"/>
      <c r="B293" s="1878"/>
      <c r="C293" s="1878"/>
      <c r="D293" s="1878"/>
      <c r="E293" s="1878"/>
      <c r="F293" s="1878"/>
      <c r="G293" s="1878"/>
      <c r="H293" s="1878"/>
    </row>
    <row r="294" spans="1:8">
      <c r="A294" s="1878"/>
      <c r="B294" s="1878"/>
      <c r="C294" s="1878"/>
      <c r="D294" s="1878"/>
      <c r="E294" s="1878"/>
      <c r="F294" s="1878"/>
      <c r="G294" s="1878"/>
      <c r="H294" s="1878"/>
    </row>
    <row r="295" spans="1:8">
      <c r="A295" s="1878"/>
      <c r="B295" s="1878"/>
      <c r="C295" s="1878"/>
      <c r="D295" s="1878"/>
      <c r="E295" s="1878"/>
      <c r="F295" s="1878"/>
      <c r="G295" s="1878"/>
      <c r="H295" s="1878"/>
    </row>
    <row r="296" spans="1:8">
      <c r="A296" s="1878"/>
      <c r="B296" s="1878"/>
      <c r="C296" s="1878"/>
      <c r="D296" s="1878"/>
      <c r="E296" s="1878"/>
      <c r="F296" s="1878"/>
      <c r="G296" s="1878"/>
      <c r="H296" s="1878"/>
    </row>
    <row r="297" spans="1:8">
      <c r="A297" s="1878"/>
      <c r="B297" s="1878"/>
      <c r="C297" s="1878"/>
      <c r="D297" s="1878"/>
      <c r="E297" s="1878"/>
      <c r="F297" s="1878"/>
      <c r="G297" s="1878"/>
      <c r="H297" s="1878"/>
    </row>
    <row r="298" spans="1:8">
      <c r="A298" s="1878"/>
      <c r="B298" s="1878"/>
      <c r="C298" s="1878"/>
      <c r="D298" s="1878"/>
      <c r="E298" s="1878"/>
      <c r="F298" s="1878"/>
      <c r="G298" s="1878"/>
      <c r="H298" s="1878"/>
    </row>
    <row r="299" spans="1:8">
      <c r="A299" s="1878"/>
      <c r="B299" s="1878"/>
      <c r="C299" s="1878"/>
      <c r="D299" s="1878"/>
      <c r="E299" s="1878"/>
      <c r="F299" s="1878"/>
      <c r="G299" s="1878"/>
      <c r="H299" s="1878"/>
    </row>
    <row r="300" spans="1:8">
      <c r="A300" s="1878"/>
      <c r="B300" s="1878"/>
      <c r="C300" s="1878"/>
      <c r="D300" s="1878"/>
      <c r="E300" s="1878"/>
      <c r="F300" s="1878"/>
      <c r="G300" s="1878"/>
      <c r="H300" s="1878"/>
    </row>
    <row r="301" spans="1:8">
      <c r="A301" s="1878"/>
      <c r="B301" s="1878"/>
      <c r="C301" s="1878"/>
      <c r="D301" s="1878"/>
      <c r="E301" s="1878"/>
      <c r="F301" s="1878"/>
      <c r="G301" s="1878"/>
      <c r="H301" s="1878"/>
    </row>
    <row r="302" spans="1:8">
      <c r="A302" s="1878"/>
      <c r="B302" s="1878"/>
      <c r="C302" s="1878"/>
      <c r="D302" s="1878"/>
      <c r="E302" s="1878"/>
      <c r="F302" s="1878"/>
      <c r="G302" s="1878"/>
      <c r="H302" s="1878"/>
    </row>
    <row r="303" spans="1:8">
      <c r="A303" s="1878"/>
      <c r="B303" s="1878"/>
      <c r="C303" s="1878"/>
      <c r="D303" s="1878"/>
      <c r="E303" s="1878"/>
      <c r="F303" s="1878"/>
      <c r="G303" s="1878"/>
      <c r="H303" s="1878"/>
    </row>
    <row r="304" spans="1:8">
      <c r="A304" s="1878"/>
      <c r="B304" s="1878"/>
      <c r="C304" s="1878"/>
      <c r="D304" s="1878"/>
      <c r="E304" s="1878"/>
      <c r="F304" s="1878"/>
      <c r="G304" s="1878"/>
      <c r="H304" s="1878"/>
    </row>
    <row r="305" spans="1:8">
      <c r="A305" s="1878"/>
      <c r="B305" s="1878"/>
      <c r="C305" s="1878"/>
      <c r="D305" s="1878"/>
      <c r="E305" s="1878"/>
      <c r="F305" s="1878"/>
      <c r="G305" s="1878"/>
      <c r="H305" s="1878"/>
    </row>
    <row r="306" spans="1:8">
      <c r="A306" s="1878"/>
      <c r="B306" s="1878"/>
      <c r="C306" s="1878"/>
      <c r="D306" s="1878"/>
      <c r="E306" s="1878"/>
      <c r="F306" s="1878"/>
      <c r="G306" s="1878"/>
      <c r="H306" s="1878"/>
    </row>
    <row r="307" spans="1:8">
      <c r="A307" s="1878"/>
      <c r="B307" s="1878"/>
      <c r="C307" s="1878"/>
      <c r="D307" s="1878"/>
      <c r="E307" s="1878"/>
      <c r="F307" s="1878"/>
      <c r="G307" s="1878"/>
      <c r="H307" s="1878"/>
    </row>
    <row r="308" spans="1:8">
      <c r="A308" s="1878"/>
      <c r="B308" s="1878"/>
      <c r="C308" s="1878"/>
      <c r="D308" s="1878"/>
      <c r="E308" s="1878"/>
      <c r="F308" s="1878"/>
      <c r="G308" s="1878"/>
      <c r="H308" s="1878"/>
    </row>
    <row r="309" spans="1:8">
      <c r="A309" s="1878"/>
      <c r="B309" s="1878"/>
      <c r="C309" s="1878"/>
      <c r="D309" s="1878"/>
      <c r="E309" s="1878"/>
      <c r="F309" s="1878"/>
      <c r="G309" s="1878"/>
      <c r="H309" s="1878"/>
    </row>
    <row r="310" spans="1:8">
      <c r="A310" s="1878"/>
      <c r="B310" s="1878"/>
      <c r="C310" s="1878"/>
      <c r="D310" s="1878"/>
      <c r="E310" s="1878"/>
      <c r="F310" s="1878"/>
      <c r="G310" s="1878"/>
      <c r="H310" s="1878"/>
    </row>
    <row r="311" spans="1:8">
      <c r="A311" s="1878"/>
      <c r="B311" s="1878"/>
      <c r="C311" s="1878"/>
      <c r="D311" s="1878"/>
      <c r="E311" s="1878"/>
      <c r="F311" s="1878"/>
      <c r="G311" s="1878"/>
      <c r="H311" s="1878"/>
    </row>
    <row r="312" spans="1:8">
      <c r="A312" s="1878"/>
      <c r="B312" s="1878"/>
      <c r="C312" s="1878"/>
      <c r="D312" s="1878"/>
      <c r="E312" s="1878"/>
      <c r="F312" s="1878"/>
      <c r="G312" s="1878"/>
      <c r="H312" s="1878"/>
    </row>
    <row r="313" spans="1:8">
      <c r="A313" s="1878"/>
      <c r="B313" s="1878"/>
      <c r="C313" s="1878"/>
      <c r="D313" s="1878"/>
      <c r="E313" s="1878"/>
      <c r="F313" s="1878"/>
      <c r="G313" s="1878"/>
      <c r="H313" s="1878"/>
    </row>
    <row r="314" spans="1:8">
      <c r="A314" s="1878"/>
      <c r="B314" s="1878"/>
      <c r="C314" s="1878"/>
      <c r="D314" s="1878"/>
      <c r="E314" s="1878"/>
      <c r="F314" s="1878"/>
      <c r="G314" s="1878"/>
      <c r="H314" s="1878"/>
    </row>
    <row r="315" spans="1:8">
      <c r="A315" s="1878"/>
      <c r="B315" s="1878"/>
      <c r="C315" s="1878"/>
      <c r="D315" s="1878"/>
      <c r="E315" s="1878"/>
      <c r="F315" s="1878"/>
      <c r="G315" s="1878"/>
      <c r="H315" s="1878"/>
    </row>
    <row r="316" spans="1:8">
      <c r="A316" s="1878"/>
      <c r="B316" s="1878"/>
      <c r="C316" s="1878"/>
      <c r="D316" s="1878"/>
      <c r="E316" s="1878"/>
      <c r="F316" s="1878"/>
      <c r="G316" s="1878"/>
      <c r="H316" s="1878"/>
    </row>
    <row r="317" spans="1:8">
      <c r="A317" s="1878"/>
      <c r="B317" s="1878"/>
      <c r="C317" s="1878"/>
      <c r="D317" s="1878"/>
      <c r="E317" s="1878"/>
      <c r="F317" s="1878"/>
      <c r="G317" s="1878"/>
      <c r="H317" s="1878"/>
    </row>
    <row r="318" spans="1:8">
      <c r="A318" s="1878"/>
      <c r="B318" s="1878"/>
      <c r="C318" s="1878"/>
      <c r="D318" s="1878"/>
      <c r="E318" s="1878"/>
      <c r="F318" s="1878"/>
      <c r="G318" s="1878"/>
      <c r="H318" s="1878"/>
    </row>
    <row r="319" spans="1:8">
      <c r="A319" s="1878"/>
      <c r="B319" s="1878"/>
      <c r="C319" s="1878"/>
      <c r="D319" s="1878"/>
      <c r="E319" s="1878"/>
      <c r="F319" s="1878"/>
      <c r="G319" s="1878"/>
      <c r="H319" s="1878"/>
    </row>
    <row r="320" spans="1:8">
      <c r="A320" s="1878"/>
      <c r="B320" s="1878"/>
      <c r="C320" s="1878"/>
      <c r="D320" s="1878"/>
      <c r="E320" s="1878"/>
      <c r="F320" s="1878"/>
      <c r="G320" s="1878"/>
      <c r="H320" s="1878"/>
    </row>
    <row r="321" spans="1:8">
      <c r="A321" s="1878"/>
      <c r="B321" s="1878"/>
      <c r="C321" s="1878"/>
      <c r="D321" s="1878"/>
      <c r="E321" s="1878"/>
      <c r="F321" s="1878"/>
      <c r="G321" s="1878"/>
      <c r="H321" s="1878"/>
    </row>
    <row r="322" spans="1:8">
      <c r="A322" s="1878"/>
      <c r="B322" s="1878"/>
      <c r="C322" s="1878"/>
      <c r="D322" s="1878"/>
      <c r="E322" s="1878"/>
      <c r="F322" s="1878"/>
      <c r="G322" s="1878"/>
      <c r="H322" s="1878"/>
    </row>
    <row r="323" spans="1:8">
      <c r="A323" s="1878"/>
      <c r="B323" s="1878"/>
      <c r="C323" s="1878"/>
      <c r="D323" s="1878"/>
      <c r="E323" s="1878"/>
      <c r="F323" s="1878"/>
      <c r="G323" s="1878"/>
      <c r="H323" s="1878"/>
    </row>
    <row r="324" spans="1:8">
      <c r="A324" s="1878"/>
      <c r="B324" s="1878"/>
      <c r="C324" s="1878"/>
      <c r="D324" s="1878"/>
      <c r="E324" s="1878"/>
      <c r="F324" s="1878"/>
      <c r="G324" s="1878"/>
      <c r="H324" s="1878"/>
    </row>
    <row r="325" spans="1:8">
      <c r="A325" s="1878"/>
      <c r="B325" s="1878"/>
      <c r="C325" s="1878"/>
      <c r="D325" s="1878"/>
      <c r="E325" s="1878"/>
      <c r="F325" s="1878"/>
      <c r="G325" s="1878"/>
      <c r="H325" s="1878"/>
    </row>
    <row r="326" spans="1:8">
      <c r="A326" s="1878"/>
      <c r="B326" s="1878"/>
      <c r="C326" s="1878"/>
      <c r="D326" s="1878"/>
      <c r="E326" s="1878"/>
      <c r="F326" s="1878"/>
      <c r="G326" s="1878"/>
      <c r="H326" s="1878"/>
    </row>
    <row r="327" spans="1:8">
      <c r="A327" s="1878"/>
      <c r="B327" s="1878"/>
      <c r="C327" s="1878"/>
      <c r="D327" s="1878"/>
      <c r="E327" s="1878"/>
      <c r="F327" s="1878"/>
      <c r="G327" s="1878"/>
      <c r="H327" s="1878"/>
    </row>
    <row r="328" spans="1:8">
      <c r="A328" s="1878"/>
      <c r="B328" s="1878"/>
      <c r="C328" s="1878"/>
      <c r="D328" s="1878"/>
      <c r="E328" s="1878"/>
      <c r="F328" s="1878"/>
      <c r="G328" s="1878"/>
      <c r="H328" s="1878"/>
    </row>
    <row r="329" spans="1:8">
      <c r="A329" s="1878"/>
      <c r="B329" s="1878"/>
      <c r="C329" s="1878"/>
      <c r="D329" s="1878"/>
      <c r="E329" s="1878"/>
      <c r="F329" s="1878"/>
      <c r="G329" s="1878"/>
      <c r="H329" s="1878"/>
    </row>
    <row r="330" spans="1:8">
      <c r="A330" s="1878"/>
      <c r="B330" s="1878"/>
      <c r="C330" s="1878"/>
      <c r="D330" s="1878"/>
      <c r="E330" s="1878"/>
      <c r="F330" s="1878"/>
      <c r="G330" s="1878"/>
      <c r="H330" s="1878"/>
    </row>
    <row r="331" spans="1:8">
      <c r="A331" s="1878"/>
      <c r="B331" s="1878"/>
      <c r="C331" s="1878"/>
      <c r="D331" s="1878"/>
      <c r="E331" s="1878"/>
      <c r="F331" s="1878"/>
      <c r="G331" s="1878"/>
      <c r="H331" s="1878"/>
    </row>
    <row r="332" spans="1:8">
      <c r="A332" s="1878"/>
      <c r="B332" s="1878"/>
      <c r="C332" s="1878"/>
      <c r="D332" s="1878"/>
      <c r="E332" s="1878"/>
      <c r="F332" s="1878"/>
      <c r="G332" s="1878"/>
      <c r="H332" s="1878"/>
    </row>
    <row r="333" spans="1:8">
      <c r="A333" s="1878"/>
      <c r="B333" s="1878"/>
      <c r="C333" s="1878"/>
      <c r="D333" s="1878"/>
      <c r="E333" s="1878"/>
      <c r="F333" s="1878"/>
      <c r="G333" s="1878"/>
      <c r="H333" s="1878"/>
    </row>
    <row r="334" spans="1:8">
      <c r="A334" s="1878"/>
      <c r="B334" s="1878"/>
      <c r="C334" s="1878"/>
      <c r="D334" s="1878"/>
      <c r="E334" s="1878"/>
      <c r="F334" s="1878"/>
      <c r="G334" s="1878"/>
      <c r="H334" s="1878"/>
    </row>
    <row r="335" spans="1:8">
      <c r="A335" s="1878"/>
      <c r="B335" s="1878"/>
      <c r="C335" s="1878"/>
      <c r="D335" s="1878"/>
      <c r="E335" s="1878"/>
      <c r="F335" s="1878"/>
      <c r="G335" s="1878"/>
      <c r="H335" s="1878"/>
    </row>
    <row r="336" spans="1:8">
      <c r="A336" s="1878"/>
      <c r="B336" s="1878"/>
      <c r="C336" s="1878"/>
      <c r="D336" s="1878"/>
      <c r="E336" s="1878"/>
      <c r="F336" s="1878"/>
      <c r="G336" s="1878"/>
      <c r="H336" s="1878"/>
    </row>
    <row r="337" spans="1:8">
      <c r="A337" s="1878"/>
      <c r="B337" s="1878"/>
      <c r="C337" s="1878"/>
      <c r="D337" s="1878"/>
      <c r="E337" s="1878"/>
      <c r="F337" s="1878"/>
      <c r="G337" s="1878"/>
      <c r="H337" s="1878"/>
    </row>
    <row r="338" spans="1:8">
      <c r="A338" s="1878"/>
      <c r="B338" s="1878"/>
      <c r="C338" s="1878"/>
      <c r="D338" s="1878"/>
      <c r="E338" s="1878"/>
      <c r="F338" s="1878"/>
      <c r="G338" s="1878"/>
      <c r="H338" s="1878"/>
    </row>
    <row r="339" spans="1:8">
      <c r="A339" s="1878"/>
      <c r="B339" s="1878"/>
      <c r="C339" s="1878"/>
      <c r="D339" s="1878"/>
      <c r="E339" s="1878"/>
      <c r="F339" s="1878"/>
      <c r="G339" s="1878"/>
      <c r="H339" s="1878"/>
    </row>
    <row r="340" spans="1:8">
      <c r="A340" s="1878"/>
      <c r="B340" s="1878"/>
      <c r="C340" s="1878"/>
      <c r="D340" s="1878"/>
      <c r="E340" s="1878"/>
      <c r="F340" s="1878"/>
      <c r="G340" s="1878"/>
      <c r="H340" s="1878"/>
    </row>
    <row r="341" spans="1:8">
      <c r="A341" s="1878"/>
      <c r="B341" s="1878"/>
      <c r="C341" s="1878"/>
      <c r="D341" s="1878"/>
      <c r="E341" s="1878"/>
      <c r="F341" s="1878"/>
      <c r="G341" s="1878"/>
      <c r="H341" s="1878"/>
    </row>
    <row r="342" spans="1:8">
      <c r="A342" s="1878"/>
      <c r="B342" s="1878"/>
      <c r="C342" s="1878"/>
      <c r="D342" s="1878"/>
      <c r="E342" s="1878"/>
      <c r="F342" s="1878"/>
      <c r="G342" s="1878"/>
      <c r="H342" s="1878"/>
    </row>
    <row r="343" spans="1:8">
      <c r="A343" s="1878"/>
      <c r="B343" s="1878"/>
      <c r="C343" s="1878"/>
      <c r="D343" s="1878"/>
      <c r="E343" s="1878"/>
      <c r="F343" s="1878"/>
      <c r="G343" s="1878"/>
      <c r="H343" s="1878"/>
    </row>
    <row r="344" spans="1:8">
      <c r="A344" s="1878"/>
      <c r="B344" s="1878"/>
      <c r="C344" s="1878"/>
      <c r="D344" s="1878"/>
      <c r="E344" s="1878"/>
      <c r="F344" s="1878"/>
      <c r="G344" s="1878"/>
      <c r="H344" s="1878"/>
    </row>
    <row r="345" spans="1:8">
      <c r="A345" s="1878"/>
      <c r="B345" s="1878"/>
      <c r="C345" s="1878"/>
      <c r="D345" s="1878"/>
      <c r="E345" s="1878"/>
      <c r="F345" s="1878"/>
      <c r="G345" s="1878"/>
      <c r="H345" s="1878"/>
    </row>
    <row r="346" spans="1:8">
      <c r="A346" s="1878"/>
      <c r="B346" s="1878"/>
      <c r="C346" s="1878"/>
      <c r="D346" s="1878"/>
      <c r="E346" s="1878"/>
      <c r="F346" s="1878"/>
      <c r="G346" s="1878"/>
      <c r="H346" s="1878"/>
    </row>
    <row r="347" spans="1:8">
      <c r="A347" s="1878"/>
      <c r="B347" s="1878"/>
      <c r="C347" s="1878"/>
      <c r="D347" s="1878"/>
      <c r="E347" s="1878"/>
      <c r="F347" s="1878"/>
      <c r="G347" s="1878"/>
      <c r="H347" s="1878"/>
    </row>
    <row r="348" spans="1:8">
      <c r="A348" s="1878"/>
      <c r="B348" s="1878"/>
      <c r="C348" s="1878"/>
      <c r="D348" s="1878"/>
      <c r="E348" s="1878"/>
      <c r="F348" s="1878"/>
      <c r="G348" s="1878"/>
      <c r="H348" s="1878"/>
    </row>
    <row r="349" spans="1:8">
      <c r="A349" s="1878"/>
      <c r="B349" s="1878"/>
      <c r="C349" s="1878"/>
      <c r="D349" s="1878"/>
      <c r="E349" s="1878"/>
      <c r="F349" s="1878"/>
      <c r="G349" s="1878"/>
      <c r="H349" s="1878"/>
    </row>
    <row r="350" spans="1:8">
      <c r="A350" s="1878"/>
      <c r="B350" s="1878"/>
      <c r="C350" s="1878"/>
      <c r="D350" s="1878"/>
      <c r="E350" s="1878"/>
      <c r="F350" s="1878"/>
      <c r="G350" s="1878"/>
      <c r="H350" s="1878"/>
    </row>
    <row r="351" spans="1:8">
      <c r="A351" s="1878"/>
      <c r="B351" s="1878"/>
      <c r="C351" s="1878"/>
      <c r="D351" s="1878"/>
      <c r="E351" s="1878"/>
      <c r="F351" s="1878"/>
      <c r="G351" s="1878"/>
      <c r="H351" s="1878"/>
    </row>
    <row r="352" spans="1:8">
      <c r="A352" s="1878"/>
      <c r="B352" s="1878"/>
      <c r="C352" s="1878"/>
      <c r="D352" s="1878"/>
      <c r="E352" s="1878"/>
      <c r="F352" s="1878"/>
      <c r="G352" s="1878"/>
      <c r="H352" s="1878"/>
    </row>
    <row r="353" spans="1:8">
      <c r="A353" s="1878"/>
      <c r="B353" s="1878"/>
      <c r="C353" s="1878"/>
      <c r="D353" s="1878"/>
      <c r="E353" s="1878"/>
      <c r="F353" s="1878"/>
      <c r="G353" s="1878"/>
      <c r="H353" s="1878"/>
    </row>
    <row r="354" spans="1:8">
      <c r="A354" s="1878"/>
      <c r="B354" s="1878"/>
      <c r="C354" s="1878"/>
      <c r="D354" s="1878"/>
      <c r="E354" s="1878"/>
      <c r="F354" s="1878"/>
      <c r="G354" s="1878"/>
      <c r="H354" s="1878"/>
    </row>
    <row r="355" spans="1:8">
      <c r="A355" s="1878"/>
      <c r="B355" s="1878"/>
      <c r="C355" s="1878"/>
      <c r="D355" s="1878"/>
      <c r="E355" s="1878"/>
      <c r="F355" s="1878"/>
      <c r="G355" s="1878"/>
      <c r="H355" s="1878"/>
    </row>
    <row r="356" spans="1:8">
      <c r="A356" s="1878"/>
      <c r="B356" s="1878"/>
      <c r="C356" s="1878"/>
      <c r="D356" s="1878"/>
      <c r="E356" s="1878"/>
      <c r="F356" s="1878"/>
      <c r="G356" s="1878"/>
      <c r="H356" s="1878"/>
    </row>
    <row r="357" spans="1:8">
      <c r="A357" s="1878"/>
      <c r="B357" s="1878"/>
      <c r="C357" s="1878"/>
      <c r="D357" s="1878"/>
      <c r="E357" s="1878"/>
      <c r="F357" s="1878"/>
      <c r="G357" s="1878"/>
      <c r="H357" s="1878"/>
    </row>
    <row r="358" spans="1:8">
      <c r="A358" s="1878"/>
      <c r="B358" s="1878"/>
      <c r="C358" s="1878"/>
      <c r="D358" s="1878"/>
      <c r="E358" s="1878"/>
      <c r="F358" s="1878"/>
      <c r="G358" s="1878"/>
      <c r="H358" s="1878"/>
    </row>
    <row r="359" spans="1:8">
      <c r="A359" s="1878"/>
      <c r="B359" s="1878"/>
      <c r="C359" s="1878"/>
      <c r="D359" s="1878"/>
      <c r="E359" s="1878"/>
      <c r="F359" s="1878"/>
      <c r="G359" s="1878"/>
      <c r="H359" s="1878"/>
    </row>
    <row r="360" spans="1:8">
      <c r="A360" s="1878"/>
      <c r="B360" s="1878"/>
      <c r="C360" s="1878"/>
      <c r="D360" s="1878"/>
      <c r="E360" s="1878"/>
      <c r="F360" s="1878"/>
      <c r="G360" s="1878"/>
      <c r="H360" s="1878"/>
    </row>
    <row r="361" spans="1:8">
      <c r="A361" s="1878"/>
      <c r="B361" s="1878"/>
      <c r="C361" s="1878"/>
      <c r="D361" s="1878"/>
      <c r="E361" s="1878"/>
      <c r="F361" s="1878"/>
      <c r="G361" s="1878"/>
      <c r="H361" s="1878"/>
    </row>
    <row r="362" spans="1:8">
      <c r="A362" s="1878"/>
      <c r="B362" s="1878"/>
      <c r="C362" s="1878"/>
      <c r="D362" s="1878"/>
      <c r="E362" s="1878"/>
      <c r="F362" s="1878"/>
      <c r="G362" s="1878"/>
      <c r="H362" s="1878"/>
    </row>
    <row r="363" spans="1:8">
      <c r="A363" s="1878"/>
      <c r="B363" s="1878"/>
      <c r="C363" s="1878"/>
      <c r="D363" s="1878"/>
      <c r="E363" s="1878"/>
      <c r="F363" s="1878"/>
      <c r="G363" s="1878"/>
      <c r="H363" s="1878"/>
    </row>
    <row r="364" spans="1:8">
      <c r="A364" s="1878"/>
      <c r="B364" s="1878"/>
      <c r="C364" s="1878"/>
      <c r="D364" s="1878"/>
      <c r="E364" s="1878"/>
      <c r="F364" s="1878"/>
      <c r="G364" s="1878"/>
      <c r="H364" s="1878"/>
    </row>
    <row r="365" spans="1:8">
      <c r="A365" s="1878"/>
      <c r="B365" s="1878"/>
      <c r="C365" s="1878"/>
      <c r="D365" s="1878"/>
      <c r="E365" s="1878"/>
      <c r="F365" s="1878"/>
      <c r="G365" s="1878"/>
      <c r="H365" s="1878"/>
    </row>
    <row r="366" spans="1:8">
      <c r="A366" s="1878"/>
      <c r="B366" s="1878"/>
      <c r="C366" s="1878"/>
      <c r="D366" s="1878"/>
      <c r="E366" s="1878"/>
      <c r="F366" s="1878"/>
      <c r="G366" s="1878"/>
      <c r="H366" s="1878"/>
    </row>
    <row r="367" spans="1:8">
      <c r="A367" s="1878"/>
      <c r="B367" s="1878"/>
      <c r="C367" s="1878"/>
      <c r="D367" s="1878"/>
      <c r="E367" s="1878"/>
      <c r="F367" s="1878"/>
      <c r="G367" s="1878"/>
      <c r="H367" s="1878"/>
    </row>
    <row r="368" spans="1:8">
      <c r="A368" s="1878"/>
      <c r="B368" s="1878"/>
      <c r="C368" s="1878"/>
      <c r="D368" s="1878"/>
      <c r="E368" s="1878"/>
      <c r="F368" s="1878"/>
      <c r="G368" s="1878"/>
      <c r="H368" s="1878"/>
    </row>
    <row r="369" spans="1:8">
      <c r="A369" s="1878"/>
      <c r="B369" s="1878"/>
      <c r="C369" s="1878"/>
      <c r="D369" s="1878"/>
      <c r="E369" s="1878"/>
      <c r="F369" s="1878"/>
      <c r="G369" s="1878"/>
      <c r="H369" s="1878"/>
    </row>
    <row r="370" spans="1:8">
      <c r="A370" s="1878"/>
      <c r="B370" s="1878"/>
      <c r="C370" s="1878"/>
      <c r="D370" s="1878"/>
      <c r="E370" s="1878"/>
      <c r="F370" s="1878"/>
      <c r="G370" s="1878"/>
      <c r="H370" s="1878"/>
    </row>
    <row r="371" spans="1:8">
      <c r="A371" s="1878"/>
      <c r="B371" s="1878"/>
      <c r="C371" s="1878"/>
      <c r="D371" s="1878"/>
      <c r="E371" s="1878"/>
      <c r="F371" s="1878"/>
      <c r="G371" s="1878"/>
      <c r="H371" s="1878"/>
    </row>
    <row r="372" spans="1:8">
      <c r="A372" s="1878"/>
      <c r="B372" s="1878"/>
      <c r="C372" s="1878"/>
      <c r="D372" s="1878"/>
      <c r="E372" s="1878"/>
      <c r="F372" s="1878"/>
      <c r="G372" s="1878"/>
      <c r="H372" s="1878"/>
    </row>
    <row r="373" spans="1:8">
      <c r="A373" s="1878"/>
      <c r="B373" s="1878"/>
      <c r="C373" s="1878"/>
      <c r="D373" s="1878"/>
      <c r="E373" s="1878"/>
      <c r="F373" s="1878"/>
      <c r="G373" s="1878"/>
      <c r="H373" s="1878"/>
    </row>
    <row r="374" spans="1:8">
      <c r="A374" s="1878"/>
      <c r="B374" s="1878"/>
      <c r="C374" s="1878"/>
      <c r="D374" s="1878"/>
      <c r="E374" s="1878"/>
      <c r="F374" s="1878"/>
      <c r="G374" s="1878"/>
      <c r="H374" s="1878"/>
    </row>
    <row r="375" spans="1:8">
      <c r="A375" s="1878"/>
      <c r="B375" s="1878"/>
      <c r="C375" s="1878"/>
      <c r="D375" s="1878"/>
      <c r="E375" s="1878"/>
      <c r="F375" s="1878"/>
      <c r="G375" s="1878"/>
      <c r="H375" s="1878"/>
    </row>
    <row r="376" spans="1:8">
      <c r="A376" s="1878"/>
      <c r="B376" s="1878"/>
      <c r="C376" s="1878"/>
      <c r="D376" s="1878"/>
      <c r="E376" s="1878"/>
      <c r="F376" s="1878"/>
      <c r="G376" s="1878"/>
      <c r="H376" s="1878"/>
    </row>
    <row r="377" spans="1:8">
      <c r="A377" s="1878"/>
      <c r="B377" s="1878"/>
      <c r="C377" s="1878"/>
      <c r="D377" s="1878"/>
      <c r="E377" s="1878"/>
      <c r="F377" s="1878"/>
      <c r="G377" s="1878"/>
      <c r="H377" s="1878"/>
    </row>
    <row r="378" spans="1:8">
      <c r="A378" s="1878"/>
      <c r="B378" s="1878"/>
      <c r="C378" s="1878"/>
      <c r="D378" s="1878"/>
      <c r="E378" s="1878"/>
      <c r="F378" s="1878"/>
      <c r="G378" s="1878"/>
      <c r="H378" s="1878"/>
    </row>
    <row r="379" spans="1:8">
      <c r="A379" s="1878"/>
      <c r="B379" s="1878"/>
      <c r="C379" s="1878"/>
      <c r="D379" s="1878"/>
      <c r="E379" s="1878"/>
      <c r="F379" s="1878"/>
      <c r="G379" s="1878"/>
      <c r="H379" s="1878"/>
    </row>
    <row r="380" spans="1:8">
      <c r="A380" s="1878"/>
      <c r="B380" s="1878"/>
      <c r="C380" s="1878"/>
      <c r="D380" s="1878"/>
      <c r="E380" s="1878"/>
      <c r="F380" s="1878"/>
      <c r="G380" s="1878"/>
      <c r="H380" s="1878"/>
    </row>
    <row r="381" spans="1:8">
      <c r="A381" s="1878"/>
      <c r="B381" s="1878"/>
      <c r="C381" s="1878"/>
      <c r="D381" s="1878"/>
      <c r="E381" s="1878"/>
      <c r="F381" s="1878"/>
      <c r="G381" s="1878"/>
      <c r="H381" s="1878"/>
    </row>
    <row r="382" spans="1:8">
      <c r="A382" s="1878"/>
      <c r="B382" s="1878"/>
      <c r="C382" s="1878"/>
      <c r="D382" s="1878"/>
      <c r="E382" s="1878"/>
      <c r="F382" s="1878"/>
      <c r="G382" s="1878"/>
      <c r="H382" s="1878"/>
    </row>
    <row r="383" spans="1:8">
      <c r="A383" s="1878"/>
      <c r="B383" s="1878"/>
      <c r="C383" s="1878"/>
      <c r="D383" s="1878"/>
      <c r="E383" s="1878"/>
      <c r="F383" s="1878"/>
      <c r="G383" s="1878"/>
      <c r="H383" s="1878"/>
    </row>
    <row r="384" spans="1:8">
      <c r="A384" s="1878"/>
      <c r="B384" s="1878"/>
      <c r="C384" s="1878"/>
      <c r="D384" s="1878"/>
      <c r="E384" s="1878"/>
      <c r="F384" s="1878"/>
      <c r="G384" s="1878"/>
      <c r="H384" s="1878"/>
    </row>
    <row r="385" spans="1:8">
      <c r="A385" s="1878"/>
      <c r="B385" s="1878"/>
      <c r="C385" s="1878"/>
      <c r="D385" s="1878"/>
      <c r="E385" s="1878"/>
      <c r="F385" s="1878"/>
      <c r="G385" s="1878"/>
      <c r="H385" s="1878"/>
    </row>
    <row r="386" spans="1:8">
      <c r="A386" s="1878"/>
      <c r="B386" s="1878"/>
      <c r="C386" s="1878"/>
      <c r="D386" s="1878"/>
      <c r="E386" s="1878"/>
      <c r="F386" s="1878"/>
      <c r="G386" s="1878"/>
      <c r="H386" s="1878"/>
    </row>
    <row r="387" spans="1:8">
      <c r="A387" s="1878"/>
      <c r="B387" s="1878"/>
      <c r="C387" s="1878"/>
      <c r="D387" s="1878"/>
      <c r="E387" s="1878"/>
      <c r="F387" s="1878"/>
      <c r="G387" s="1878"/>
      <c r="H387" s="1878"/>
    </row>
    <row r="388" spans="1:8">
      <c r="A388" s="1878"/>
      <c r="B388" s="1878"/>
      <c r="C388" s="1878"/>
      <c r="D388" s="1878"/>
      <c r="E388" s="1878"/>
      <c r="F388" s="1878"/>
      <c r="G388" s="1878"/>
      <c r="H388" s="1878"/>
    </row>
    <row r="389" spans="1:8">
      <c r="A389" s="1878"/>
      <c r="B389" s="1878"/>
      <c r="C389" s="1878"/>
      <c r="D389" s="1878"/>
      <c r="E389" s="1878"/>
      <c r="F389" s="1878"/>
      <c r="G389" s="1878"/>
      <c r="H389" s="1878"/>
    </row>
    <row r="390" spans="1:8">
      <c r="A390" s="1878"/>
      <c r="B390" s="1878"/>
      <c r="C390" s="1878"/>
      <c r="D390" s="1878"/>
      <c r="E390" s="1878"/>
      <c r="F390" s="1878"/>
      <c r="G390" s="1878"/>
      <c r="H390" s="1878"/>
    </row>
    <row r="391" spans="1:8">
      <c r="A391" s="1878"/>
      <c r="B391" s="1878"/>
      <c r="C391" s="1878"/>
      <c r="D391" s="1878"/>
      <c r="E391" s="1878"/>
      <c r="F391" s="1878"/>
      <c r="G391" s="1878"/>
      <c r="H391" s="1878"/>
    </row>
    <row r="392" spans="1:8">
      <c r="A392" s="1878"/>
      <c r="B392" s="1878"/>
      <c r="C392" s="1878"/>
      <c r="D392" s="1878"/>
      <c r="E392" s="1878"/>
      <c r="F392" s="1878"/>
      <c r="G392" s="1878"/>
      <c r="H392" s="1878"/>
    </row>
    <row r="393" spans="1:8">
      <c r="A393" s="1878"/>
      <c r="B393" s="1878"/>
      <c r="C393" s="1878"/>
      <c r="D393" s="1878"/>
      <c r="E393" s="1878"/>
      <c r="F393" s="1878"/>
      <c r="G393" s="1878"/>
      <c r="H393" s="1878"/>
    </row>
    <row r="394" spans="1:8">
      <c r="A394" s="1878"/>
      <c r="B394" s="1878"/>
      <c r="C394" s="1878"/>
      <c r="D394" s="1878"/>
      <c r="E394" s="1878"/>
      <c r="F394" s="1878"/>
      <c r="G394" s="1878"/>
      <c r="H394" s="1878"/>
    </row>
    <row r="395" spans="1:8">
      <c r="A395" s="1878"/>
      <c r="B395" s="1878"/>
      <c r="C395" s="1878"/>
      <c r="D395" s="1878"/>
      <c r="E395" s="1878"/>
      <c r="F395" s="1878"/>
      <c r="G395" s="1878"/>
      <c r="H395" s="1878"/>
    </row>
    <row r="396" spans="1:8">
      <c r="A396" s="1878"/>
      <c r="B396" s="1878"/>
      <c r="C396" s="1878"/>
      <c r="D396" s="1878"/>
      <c r="E396" s="1878"/>
      <c r="F396" s="1878"/>
      <c r="G396" s="1878"/>
      <c r="H396" s="1878"/>
    </row>
    <row r="397" spans="1:8">
      <c r="A397" s="1878"/>
      <c r="B397" s="1878"/>
      <c r="C397" s="1878"/>
      <c r="D397" s="1878"/>
      <c r="E397" s="1878"/>
      <c r="F397" s="1878"/>
      <c r="G397" s="1878"/>
      <c r="H397" s="1878"/>
    </row>
    <row r="398" spans="1:8">
      <c r="A398" s="1878"/>
      <c r="B398" s="1878"/>
      <c r="C398" s="1878"/>
      <c r="D398" s="1878"/>
      <c r="E398" s="1878"/>
      <c r="F398" s="1878"/>
      <c r="G398" s="1878"/>
      <c r="H398" s="1878"/>
    </row>
    <row r="399" spans="1:8">
      <c r="A399" s="1878"/>
      <c r="B399" s="1878"/>
      <c r="C399" s="1878"/>
      <c r="D399" s="1878"/>
      <c r="E399" s="1878"/>
      <c r="F399" s="1878"/>
      <c r="G399" s="1878"/>
      <c r="H399" s="1878"/>
    </row>
    <row r="400" spans="1:8">
      <c r="A400" s="1878"/>
      <c r="B400" s="1878"/>
      <c r="C400" s="1878"/>
      <c r="D400" s="1878"/>
      <c r="E400" s="1878"/>
      <c r="F400" s="1878"/>
      <c r="G400" s="1878"/>
      <c r="H400" s="1878"/>
    </row>
    <row r="401" spans="1:8">
      <c r="A401" s="1878"/>
      <c r="B401" s="1878"/>
      <c r="C401" s="1878"/>
      <c r="D401" s="1878"/>
      <c r="E401" s="1878"/>
      <c r="F401" s="1878"/>
      <c r="G401" s="1878"/>
      <c r="H401" s="1878"/>
    </row>
    <row r="402" spans="1:8">
      <c r="A402" s="1878"/>
      <c r="B402" s="1878"/>
      <c r="C402" s="1878"/>
      <c r="D402" s="1878"/>
      <c r="E402" s="1878"/>
      <c r="F402" s="1878"/>
      <c r="G402" s="1878"/>
      <c r="H402" s="1878"/>
    </row>
    <row r="403" spans="1:8">
      <c r="A403" s="1878"/>
      <c r="B403" s="1878"/>
      <c r="C403" s="1878"/>
      <c r="D403" s="1878"/>
      <c r="E403" s="1878"/>
      <c r="F403" s="1878"/>
      <c r="G403" s="1878"/>
      <c r="H403" s="1878"/>
    </row>
    <row r="404" spans="1:8">
      <c r="A404" s="1878"/>
      <c r="B404" s="1878"/>
      <c r="C404" s="1878"/>
      <c r="D404" s="1878"/>
      <c r="E404" s="1878"/>
      <c r="F404" s="1878"/>
      <c r="G404" s="1878"/>
      <c r="H404" s="1878"/>
    </row>
    <row r="405" spans="1:8">
      <c r="A405" s="1878"/>
      <c r="B405" s="1878"/>
      <c r="C405" s="1878"/>
      <c r="D405" s="1878"/>
      <c r="E405" s="1878"/>
      <c r="F405" s="1878"/>
      <c r="G405" s="1878"/>
      <c r="H405" s="1878"/>
    </row>
    <row r="406" spans="1:8">
      <c r="A406" s="1878"/>
      <c r="B406" s="1878"/>
      <c r="C406" s="1878"/>
      <c r="D406" s="1878"/>
      <c r="E406" s="1878"/>
      <c r="F406" s="1878"/>
      <c r="G406" s="1878"/>
      <c r="H406" s="1878"/>
    </row>
    <row r="407" spans="1:8">
      <c r="A407" s="1878"/>
      <c r="B407" s="1878"/>
      <c r="C407" s="1878"/>
      <c r="D407" s="1878"/>
      <c r="E407" s="1878"/>
      <c r="F407" s="1878"/>
      <c r="G407" s="1878"/>
      <c r="H407" s="1878"/>
    </row>
    <row r="408" spans="1:8">
      <c r="A408" s="1878"/>
      <c r="B408" s="1878"/>
      <c r="C408" s="1878"/>
      <c r="D408" s="1878"/>
      <c r="E408" s="1878"/>
      <c r="F408" s="1878"/>
      <c r="G408" s="1878"/>
      <c r="H408" s="1878"/>
    </row>
    <row r="409" spans="1:8">
      <c r="A409" s="1878"/>
      <c r="B409" s="1878"/>
      <c r="C409" s="1878"/>
      <c r="D409" s="1878"/>
      <c r="E409" s="1878"/>
      <c r="F409" s="1878"/>
      <c r="G409" s="1878"/>
      <c r="H409" s="1878"/>
    </row>
    <row r="410" spans="1:8">
      <c r="A410" s="1878"/>
      <c r="B410" s="1878"/>
      <c r="C410" s="1878"/>
      <c r="D410" s="1878"/>
      <c r="E410" s="1878"/>
      <c r="F410" s="1878"/>
      <c r="G410" s="1878"/>
      <c r="H410" s="1878"/>
    </row>
    <row r="411" spans="1:8">
      <c r="A411" s="1878"/>
      <c r="B411" s="1878"/>
      <c r="C411" s="1878"/>
      <c r="D411" s="1878"/>
      <c r="E411" s="1878"/>
      <c r="F411" s="1878"/>
      <c r="G411" s="1878"/>
      <c r="H411" s="1878"/>
    </row>
    <row r="412" spans="1:8">
      <c r="A412" s="1878"/>
      <c r="B412" s="1878"/>
      <c r="C412" s="1878"/>
      <c r="D412" s="1878"/>
      <c r="E412" s="1878"/>
      <c r="F412" s="1878"/>
      <c r="G412" s="1878"/>
      <c r="H412" s="1878"/>
    </row>
    <row r="413" spans="1:8">
      <c r="A413" s="1878"/>
      <c r="B413" s="1878"/>
      <c r="C413" s="1878"/>
      <c r="D413" s="1878"/>
      <c r="E413" s="1878"/>
      <c r="F413" s="1878"/>
      <c r="G413" s="1878"/>
      <c r="H413" s="1878"/>
    </row>
    <row r="414" spans="1:8">
      <c r="A414" s="1878"/>
      <c r="B414" s="1878"/>
      <c r="C414" s="1878"/>
      <c r="D414" s="1878"/>
      <c r="E414" s="1878"/>
      <c r="F414" s="1878"/>
      <c r="G414" s="1878"/>
      <c r="H414" s="1878"/>
    </row>
    <row r="415" spans="1:8">
      <c r="A415" s="1878"/>
      <c r="B415" s="1878"/>
      <c r="C415" s="1878"/>
      <c r="D415" s="1878"/>
      <c r="E415" s="1878"/>
      <c r="F415" s="1878"/>
      <c r="G415" s="1878"/>
      <c r="H415" s="1878"/>
    </row>
    <row r="416" spans="1:8">
      <c r="A416" s="1878"/>
      <c r="B416" s="1878"/>
      <c r="C416" s="1878"/>
      <c r="D416" s="1878"/>
      <c r="E416" s="1878"/>
      <c r="F416" s="1878"/>
      <c r="G416" s="1878"/>
      <c r="H416" s="1878"/>
    </row>
    <row r="417" spans="1:8">
      <c r="A417" s="1878"/>
      <c r="B417" s="1878"/>
      <c r="C417" s="1878"/>
      <c r="D417" s="1878"/>
      <c r="E417" s="1878"/>
      <c r="F417" s="1878"/>
      <c r="G417" s="1878"/>
      <c r="H417" s="1878"/>
    </row>
    <row r="418" spans="1:8">
      <c r="A418" s="1878"/>
      <c r="B418" s="1878"/>
      <c r="C418" s="1878"/>
      <c r="D418" s="1878"/>
      <c r="E418" s="1878"/>
      <c r="F418" s="1878"/>
      <c r="G418" s="1878"/>
      <c r="H418" s="1878"/>
    </row>
    <row r="419" spans="1:8">
      <c r="A419" s="1878"/>
      <c r="B419" s="1878"/>
      <c r="C419" s="1878"/>
      <c r="D419" s="1878"/>
      <c r="E419" s="1878"/>
      <c r="F419" s="1878"/>
      <c r="G419" s="1878"/>
      <c r="H419" s="1878"/>
    </row>
    <row r="420" spans="1:8">
      <c r="A420" s="1878"/>
      <c r="B420" s="1878"/>
      <c r="C420" s="1878"/>
      <c r="D420" s="1878"/>
      <c r="E420" s="1878"/>
      <c r="F420" s="1878"/>
      <c r="G420" s="1878"/>
      <c r="H420" s="1878"/>
    </row>
    <row r="421" spans="1:8">
      <c r="A421" s="1878"/>
      <c r="B421" s="1878"/>
      <c r="C421" s="1878"/>
      <c r="D421" s="1878"/>
      <c r="E421" s="1878"/>
      <c r="F421" s="1878"/>
      <c r="G421" s="1878"/>
      <c r="H421" s="1878"/>
    </row>
    <row r="422" spans="1:8">
      <c r="A422" s="1878"/>
      <c r="B422" s="1878"/>
      <c r="C422" s="1878"/>
      <c r="D422" s="1878"/>
      <c r="E422" s="1878"/>
      <c r="F422" s="1878"/>
      <c r="G422" s="1878"/>
      <c r="H422" s="1878"/>
    </row>
    <row r="423" spans="1:8">
      <c r="A423" s="1878"/>
      <c r="B423" s="1878"/>
      <c r="C423" s="1878"/>
      <c r="D423" s="1878"/>
      <c r="E423" s="1878"/>
      <c r="F423" s="1878"/>
      <c r="G423" s="1878"/>
      <c r="H423" s="1878"/>
    </row>
    <row r="424" spans="1:8">
      <c r="A424" s="1878"/>
      <c r="B424" s="1878"/>
      <c r="C424" s="1878"/>
      <c r="D424" s="1878"/>
      <c r="E424" s="1878"/>
      <c r="F424" s="1878"/>
      <c r="G424" s="1878"/>
      <c r="H424" s="1878"/>
    </row>
    <row r="425" spans="1:8">
      <c r="A425" s="1878"/>
      <c r="B425" s="1878"/>
      <c r="C425" s="1878"/>
      <c r="D425" s="1878"/>
      <c r="E425" s="1878"/>
      <c r="F425" s="1878"/>
      <c r="G425" s="1878"/>
      <c r="H425" s="1878"/>
    </row>
    <row r="426" spans="1:8">
      <c r="A426" s="1878"/>
      <c r="B426" s="1878"/>
      <c r="C426" s="1878"/>
      <c r="D426" s="1878"/>
      <c r="E426" s="1878"/>
      <c r="F426" s="1878"/>
      <c r="G426" s="1878"/>
      <c r="H426" s="1878"/>
    </row>
    <row r="427" spans="1:8">
      <c r="A427" s="1878"/>
      <c r="B427" s="1878"/>
      <c r="C427" s="1878"/>
      <c r="D427" s="1878"/>
      <c r="E427" s="1878"/>
      <c r="F427" s="1878"/>
      <c r="G427" s="1878"/>
      <c r="H427" s="1878"/>
    </row>
    <row r="428" spans="1:8">
      <c r="A428" s="1878"/>
      <c r="B428" s="1878"/>
      <c r="C428" s="1878"/>
      <c r="D428" s="1878"/>
      <c r="E428" s="1878"/>
      <c r="F428" s="1878"/>
      <c r="G428" s="1878"/>
      <c r="H428" s="1878"/>
    </row>
    <row r="429" spans="1:8">
      <c r="A429" s="1878"/>
      <c r="B429" s="1878"/>
      <c r="C429" s="1878"/>
      <c r="D429" s="1878"/>
      <c r="E429" s="1878"/>
      <c r="F429" s="1878"/>
      <c r="G429" s="1878"/>
      <c r="H429" s="1878"/>
    </row>
    <row r="430" spans="1:8">
      <c r="A430" s="1878"/>
      <c r="B430" s="1878"/>
      <c r="C430" s="1878"/>
      <c r="D430" s="1878"/>
      <c r="E430" s="1878"/>
      <c r="F430" s="1878"/>
      <c r="G430" s="1878"/>
      <c r="H430" s="1878"/>
    </row>
    <row r="431" spans="1:8">
      <c r="A431" s="1878"/>
      <c r="B431" s="1878"/>
      <c r="C431" s="1878"/>
      <c r="D431" s="1878"/>
      <c r="E431" s="1878"/>
      <c r="F431" s="1878"/>
      <c r="G431" s="1878"/>
      <c r="H431" s="1878"/>
    </row>
    <row r="432" spans="1:8">
      <c r="A432" s="1878"/>
      <c r="B432" s="1878"/>
      <c r="C432" s="1878"/>
      <c r="D432" s="1878"/>
      <c r="E432" s="1878"/>
      <c r="F432" s="1878"/>
      <c r="G432" s="1878"/>
      <c r="H432" s="1878"/>
    </row>
    <row r="433" spans="1:8">
      <c r="A433" s="1878"/>
      <c r="B433" s="1878"/>
      <c r="C433" s="1878"/>
      <c r="D433" s="1878"/>
      <c r="E433" s="1878"/>
      <c r="F433" s="1878"/>
      <c r="G433" s="1878"/>
      <c r="H433" s="1878"/>
    </row>
    <row r="434" spans="1:8">
      <c r="A434" s="1878"/>
      <c r="B434" s="1878"/>
      <c r="C434" s="1878"/>
      <c r="D434" s="1878"/>
      <c r="E434" s="1878"/>
      <c r="F434" s="1878"/>
      <c r="G434" s="1878"/>
      <c r="H434" s="1878"/>
    </row>
    <row r="435" spans="1:8">
      <c r="A435" s="1878"/>
      <c r="B435" s="1878"/>
      <c r="C435" s="1878"/>
      <c r="D435" s="1878"/>
      <c r="E435" s="1878"/>
      <c r="F435" s="1878"/>
      <c r="G435" s="1878"/>
      <c r="H435" s="1878"/>
    </row>
    <row r="436" spans="1:8">
      <c r="A436" s="1878"/>
      <c r="B436" s="1878"/>
      <c r="C436" s="1878"/>
      <c r="D436" s="1878"/>
      <c r="E436" s="1878"/>
      <c r="F436" s="1878"/>
      <c r="G436" s="1878"/>
      <c r="H436" s="1878"/>
    </row>
    <row r="437" spans="1:8">
      <c r="A437" s="1878"/>
      <c r="B437" s="1878"/>
      <c r="C437" s="1878"/>
      <c r="D437" s="1878"/>
      <c r="E437" s="1878"/>
      <c r="F437" s="1878"/>
      <c r="G437" s="1878"/>
      <c r="H437" s="1878"/>
    </row>
    <row r="438" spans="1:8">
      <c r="A438" s="1878"/>
      <c r="B438" s="1878"/>
      <c r="C438" s="1878"/>
      <c r="D438" s="1878"/>
      <c r="E438" s="1878"/>
      <c r="F438" s="1878"/>
      <c r="G438" s="1878"/>
      <c r="H438" s="1878"/>
    </row>
    <row r="439" spans="1:8">
      <c r="A439" s="1878"/>
      <c r="B439" s="1878"/>
      <c r="C439" s="1878"/>
      <c r="D439" s="1878"/>
      <c r="E439" s="1878"/>
      <c r="F439" s="1878"/>
      <c r="G439" s="1878"/>
      <c r="H439" s="1878"/>
    </row>
    <row r="440" spans="1:8">
      <c r="A440" s="1878"/>
      <c r="B440" s="1878"/>
      <c r="C440" s="1878"/>
      <c r="D440" s="1878"/>
      <c r="E440" s="1878"/>
      <c r="F440" s="1878"/>
      <c r="G440" s="1878"/>
      <c r="H440" s="1878"/>
    </row>
    <row r="441" spans="1:8">
      <c r="A441" s="1878"/>
      <c r="B441" s="1878"/>
      <c r="C441" s="1878"/>
      <c r="D441" s="1878"/>
      <c r="E441" s="1878"/>
      <c r="F441" s="1878"/>
      <c r="G441" s="1878"/>
      <c r="H441" s="1878"/>
    </row>
    <row r="442" spans="1:8">
      <c r="A442" s="1878"/>
      <c r="B442" s="1878"/>
      <c r="C442" s="1878"/>
      <c r="D442" s="1878"/>
      <c r="E442" s="1878"/>
      <c r="F442" s="1878"/>
      <c r="G442" s="1878"/>
      <c r="H442" s="1878"/>
    </row>
    <row r="443" spans="1:8">
      <c r="A443" s="1878"/>
      <c r="B443" s="1878"/>
      <c r="C443" s="1878"/>
      <c r="D443" s="1878"/>
      <c r="E443" s="1878"/>
      <c r="F443" s="1878"/>
      <c r="G443" s="1878"/>
      <c r="H443" s="1878"/>
    </row>
    <row r="444" spans="1:8">
      <c r="A444" s="1878"/>
      <c r="B444" s="1878"/>
      <c r="C444" s="1878"/>
      <c r="D444" s="1878"/>
      <c r="E444" s="1878"/>
      <c r="F444" s="1878"/>
      <c r="G444" s="1878"/>
      <c r="H444" s="1878"/>
    </row>
    <row r="445" spans="1:8">
      <c r="A445" s="1878"/>
      <c r="B445" s="1878"/>
      <c r="C445" s="1878"/>
      <c r="D445" s="1878"/>
      <c r="E445" s="1878"/>
      <c r="F445" s="1878"/>
      <c r="G445" s="1878"/>
      <c r="H445" s="1878"/>
    </row>
    <row r="446" spans="1:8">
      <c r="A446" s="1878"/>
      <c r="B446" s="1878"/>
      <c r="C446" s="1878"/>
      <c r="D446" s="1878"/>
      <c r="E446" s="1878"/>
      <c r="F446" s="1878"/>
      <c r="G446" s="1878"/>
      <c r="H446" s="1878"/>
    </row>
    <row r="447" spans="1:8">
      <c r="A447" s="1878"/>
      <c r="B447" s="1878"/>
      <c r="C447" s="1878"/>
      <c r="D447" s="1878"/>
      <c r="E447" s="1878"/>
      <c r="F447" s="1878"/>
      <c r="G447" s="1878"/>
      <c r="H447" s="1878"/>
    </row>
    <row r="448" spans="1:8">
      <c r="A448" s="1878"/>
      <c r="B448" s="1878"/>
      <c r="C448" s="1878"/>
      <c r="D448" s="1878"/>
      <c r="E448" s="1878"/>
      <c r="F448" s="1878"/>
      <c r="G448" s="1878"/>
      <c r="H448" s="1878"/>
    </row>
    <row r="449" spans="1:8">
      <c r="A449" s="1878"/>
      <c r="B449" s="1878"/>
      <c r="C449" s="1878"/>
      <c r="D449" s="1878"/>
      <c r="E449" s="1878"/>
      <c r="F449" s="1878"/>
      <c r="G449" s="1878"/>
      <c r="H449" s="1878"/>
    </row>
    <row r="450" spans="1:8">
      <c r="A450" s="1878"/>
      <c r="B450" s="1878"/>
      <c r="C450" s="1878"/>
      <c r="D450" s="1878"/>
      <c r="E450" s="1878"/>
      <c r="F450" s="1878"/>
      <c r="G450" s="1878"/>
      <c r="H450" s="1878"/>
    </row>
    <row r="451" spans="1:8">
      <c r="A451" s="1878"/>
      <c r="B451" s="1878"/>
      <c r="C451" s="1878"/>
      <c r="D451" s="1878"/>
      <c r="E451" s="1878"/>
      <c r="F451" s="1878"/>
      <c r="G451" s="1878"/>
      <c r="H451" s="1878"/>
    </row>
    <row r="452" spans="1:8">
      <c r="A452" s="1878"/>
      <c r="B452" s="1878"/>
      <c r="C452" s="1878"/>
      <c r="D452" s="1878"/>
      <c r="E452" s="1878"/>
      <c r="F452" s="1878"/>
      <c r="G452" s="1878"/>
      <c r="H452" s="1878"/>
    </row>
    <row r="453" spans="1:8">
      <c r="A453" s="1878"/>
      <c r="B453" s="1878"/>
      <c r="C453" s="1878"/>
      <c r="D453" s="1878"/>
      <c r="E453" s="1878"/>
      <c r="F453" s="1878"/>
      <c r="G453" s="1878"/>
      <c r="H453" s="1878"/>
    </row>
    <row r="454" spans="1:8">
      <c r="A454" s="1878"/>
      <c r="B454" s="1878"/>
      <c r="C454" s="1878"/>
      <c r="D454" s="1878"/>
      <c r="E454" s="1878"/>
      <c r="F454" s="1878"/>
      <c r="G454" s="1878"/>
      <c r="H454" s="1878"/>
    </row>
    <row r="455" spans="1:8">
      <c r="A455" s="1878"/>
      <c r="B455" s="1878"/>
      <c r="C455" s="1878"/>
      <c r="D455" s="1878"/>
      <c r="E455" s="1878"/>
      <c r="F455" s="1878"/>
      <c r="G455" s="1878"/>
      <c r="H455" s="1878"/>
    </row>
    <row r="456" spans="1:8">
      <c r="A456" s="1878"/>
      <c r="B456" s="1878"/>
      <c r="C456" s="1878"/>
      <c r="D456" s="1878"/>
      <c r="E456" s="1878"/>
      <c r="F456" s="1878"/>
      <c r="G456" s="1878"/>
      <c r="H456" s="1878"/>
    </row>
    <row r="457" spans="1:8">
      <c r="A457" s="1878"/>
      <c r="B457" s="1878"/>
      <c r="C457" s="1878"/>
      <c r="D457" s="1878"/>
      <c r="E457" s="1878"/>
      <c r="F457" s="1878"/>
      <c r="G457" s="1878"/>
      <c r="H457" s="1878"/>
    </row>
    <row r="458" spans="1:8">
      <c r="A458" s="1878"/>
      <c r="B458" s="1878"/>
      <c r="C458" s="1878"/>
      <c r="D458" s="1878"/>
      <c r="E458" s="1878"/>
      <c r="F458" s="1878"/>
      <c r="G458" s="1878"/>
      <c r="H458" s="1878"/>
    </row>
    <row r="459" spans="1:8">
      <c r="A459" s="1878"/>
      <c r="B459" s="1878"/>
      <c r="C459" s="1878"/>
      <c r="D459" s="1878"/>
      <c r="E459" s="1878"/>
      <c r="F459" s="1878"/>
      <c r="G459" s="1878"/>
      <c r="H459" s="1878"/>
    </row>
    <row r="460" spans="1:8">
      <c r="A460" s="1878"/>
      <c r="B460" s="1878"/>
      <c r="C460" s="1878"/>
      <c r="D460" s="1878"/>
      <c r="E460" s="1878"/>
      <c r="F460" s="1878"/>
      <c r="G460" s="1878"/>
      <c r="H460" s="1878"/>
    </row>
    <row r="461" spans="1:8">
      <c r="A461" s="1878"/>
      <c r="B461" s="1878"/>
      <c r="C461" s="1878"/>
      <c r="D461" s="1878"/>
      <c r="E461" s="1878"/>
      <c r="F461" s="1878"/>
      <c r="G461" s="1878"/>
      <c r="H461" s="1878"/>
    </row>
    <row r="462" spans="1:8">
      <c r="A462" s="1878"/>
      <c r="B462" s="1878"/>
      <c r="C462" s="1878"/>
      <c r="D462" s="1878"/>
      <c r="E462" s="1878"/>
      <c r="F462" s="1878"/>
      <c r="G462" s="1878"/>
      <c r="H462" s="1878"/>
    </row>
    <row r="463" spans="1:8">
      <c r="A463" s="1878"/>
      <c r="B463" s="1878"/>
      <c r="C463" s="1878"/>
      <c r="D463" s="1878"/>
      <c r="E463" s="1878"/>
      <c r="F463" s="1878"/>
      <c r="G463" s="1878"/>
      <c r="H463" s="1878"/>
    </row>
    <row r="464" spans="1:8">
      <c r="A464" s="1878"/>
      <c r="B464" s="1878"/>
      <c r="C464" s="1878"/>
      <c r="D464" s="1878"/>
      <c r="E464" s="1878"/>
      <c r="F464" s="1878"/>
      <c r="G464" s="1878"/>
      <c r="H464" s="1878"/>
    </row>
    <row r="465" spans="1:8">
      <c r="A465" s="1878"/>
      <c r="B465" s="1878"/>
      <c r="C465" s="1878"/>
      <c r="D465" s="1878"/>
      <c r="E465" s="1878"/>
      <c r="F465" s="1878"/>
      <c r="G465" s="1878"/>
      <c r="H465" s="1878"/>
    </row>
    <row r="466" spans="1:8">
      <c r="A466" s="1878"/>
      <c r="B466" s="1878"/>
      <c r="C466" s="1878"/>
      <c r="D466" s="1878"/>
      <c r="E466" s="1878"/>
      <c r="F466" s="1878"/>
      <c r="G466" s="1878"/>
      <c r="H466" s="1878"/>
    </row>
    <row r="467" spans="1:8">
      <c r="A467" s="1878"/>
      <c r="B467" s="1878"/>
      <c r="C467" s="1878"/>
      <c r="D467" s="1878"/>
      <c r="E467" s="1878"/>
      <c r="F467" s="1878"/>
      <c r="G467" s="1878"/>
      <c r="H467" s="1878"/>
    </row>
    <row r="468" spans="1:8">
      <c r="A468" s="1878"/>
      <c r="B468" s="1878"/>
      <c r="C468" s="1878"/>
      <c r="D468" s="1878"/>
      <c r="E468" s="1878"/>
      <c r="F468" s="1878"/>
      <c r="G468" s="1878"/>
      <c r="H468" s="1878"/>
    </row>
    <row r="469" spans="1:8">
      <c r="A469" s="1878"/>
      <c r="B469" s="1878"/>
      <c r="C469" s="1878"/>
      <c r="D469" s="1878"/>
      <c r="E469" s="1878"/>
      <c r="F469" s="1878"/>
      <c r="G469" s="1878"/>
      <c r="H469" s="1878"/>
    </row>
    <row r="470" spans="1:8">
      <c r="A470" s="1878"/>
      <c r="B470" s="1878"/>
      <c r="C470" s="1878"/>
      <c r="D470" s="1878"/>
      <c r="E470" s="1878"/>
      <c r="F470" s="1878"/>
      <c r="G470" s="1878"/>
      <c r="H470" s="1878"/>
    </row>
    <row r="471" spans="1:8">
      <c r="A471" s="1878"/>
      <c r="B471" s="1878"/>
      <c r="C471" s="1878"/>
      <c r="D471" s="1878"/>
      <c r="E471" s="1878"/>
      <c r="F471" s="1878"/>
      <c r="G471" s="1878"/>
      <c r="H471" s="1878"/>
    </row>
    <row r="472" spans="1:8">
      <c r="A472" s="1878"/>
      <c r="B472" s="1878"/>
      <c r="C472" s="1878"/>
      <c r="D472" s="1878"/>
      <c r="E472" s="1878"/>
      <c r="F472" s="1878"/>
      <c r="G472" s="1878"/>
      <c r="H472" s="1878"/>
    </row>
    <row r="473" spans="1:8">
      <c r="A473" s="1878"/>
      <c r="B473" s="1878"/>
      <c r="C473" s="1878"/>
      <c r="D473" s="1878"/>
      <c r="E473" s="1878"/>
      <c r="F473" s="1878"/>
      <c r="G473" s="1878"/>
      <c r="H473" s="1878"/>
    </row>
    <row r="474" spans="1:8">
      <c r="A474" s="1878"/>
      <c r="B474" s="1878"/>
      <c r="C474" s="1878"/>
      <c r="D474" s="1878"/>
      <c r="E474" s="1878"/>
      <c r="F474" s="1878"/>
      <c r="G474" s="1878"/>
      <c r="H474" s="1878"/>
    </row>
    <row r="475" spans="1:8">
      <c r="A475" s="1878"/>
      <c r="B475" s="1878"/>
      <c r="C475" s="1878"/>
      <c r="D475" s="1878"/>
      <c r="E475" s="1878"/>
      <c r="F475" s="1878"/>
      <c r="G475" s="1878"/>
      <c r="H475" s="1878"/>
    </row>
    <row r="476" spans="1:8">
      <c r="A476" s="1878"/>
      <c r="B476" s="1878"/>
      <c r="C476" s="1878"/>
      <c r="D476" s="1878"/>
      <c r="E476" s="1878"/>
      <c r="F476" s="1878"/>
      <c r="G476" s="1878"/>
      <c r="H476" s="1878"/>
    </row>
    <row r="477" spans="1:8">
      <c r="A477" s="1878"/>
      <c r="B477" s="1878"/>
      <c r="C477" s="1878"/>
      <c r="D477" s="1878"/>
      <c r="E477" s="1878"/>
      <c r="F477" s="1878"/>
      <c r="G477" s="1878"/>
      <c r="H477" s="1878"/>
    </row>
    <row r="478" spans="1:8">
      <c r="A478" s="1878"/>
      <c r="B478" s="1878"/>
      <c r="C478" s="1878"/>
      <c r="D478" s="1878"/>
      <c r="E478" s="1878"/>
      <c r="F478" s="1878"/>
      <c r="G478" s="1878"/>
      <c r="H478" s="1878"/>
    </row>
    <row r="479" spans="1:8">
      <c r="A479" s="1878"/>
      <c r="B479" s="1878"/>
      <c r="C479" s="1878"/>
      <c r="D479" s="1878"/>
      <c r="E479" s="1878"/>
      <c r="F479" s="1878"/>
      <c r="G479" s="1878"/>
      <c r="H479" s="1878"/>
    </row>
    <row r="480" spans="1:8">
      <c r="A480" s="1878"/>
      <c r="B480" s="1878"/>
      <c r="C480" s="1878"/>
      <c r="D480" s="1878"/>
      <c r="E480" s="1878"/>
      <c r="F480" s="1878"/>
      <c r="G480" s="1878"/>
      <c r="H480" s="1878"/>
    </row>
    <row r="481" spans="1:8">
      <c r="A481" s="1878"/>
      <c r="B481" s="1878"/>
      <c r="C481" s="1878"/>
      <c r="D481" s="1878"/>
      <c r="E481" s="1878"/>
      <c r="F481" s="1878"/>
      <c r="G481" s="1878"/>
      <c r="H481" s="1878"/>
    </row>
    <row r="482" spans="1:8">
      <c r="A482" s="1878"/>
      <c r="B482" s="1878"/>
      <c r="C482" s="1878"/>
      <c r="D482" s="1878"/>
      <c r="E482" s="1878"/>
      <c r="F482" s="1878"/>
      <c r="G482" s="1878"/>
      <c r="H482" s="1878"/>
    </row>
    <row r="483" spans="1:8">
      <c r="A483" s="1878"/>
      <c r="B483" s="1878"/>
      <c r="C483" s="1878"/>
      <c r="D483" s="1878"/>
      <c r="E483" s="1878"/>
      <c r="F483" s="1878"/>
      <c r="G483" s="1878"/>
      <c r="H483" s="1878"/>
    </row>
    <row r="484" spans="1:8">
      <c r="A484" s="1878"/>
      <c r="B484" s="1878"/>
      <c r="C484" s="1878"/>
      <c r="D484" s="1878"/>
      <c r="E484" s="1878"/>
      <c r="F484" s="1878"/>
      <c r="G484" s="1878"/>
      <c r="H484" s="1878"/>
    </row>
    <row r="485" spans="1:8">
      <c r="A485" s="1878"/>
      <c r="B485" s="1878"/>
      <c r="C485" s="1878"/>
      <c r="D485" s="1878"/>
      <c r="E485" s="1878"/>
      <c r="F485" s="1878"/>
      <c r="G485" s="1878"/>
      <c r="H485" s="1878"/>
    </row>
    <row r="486" spans="1:8">
      <c r="A486" s="1878"/>
      <c r="B486" s="1878"/>
      <c r="C486" s="1878"/>
      <c r="D486" s="1878"/>
      <c r="E486" s="1878"/>
      <c r="F486" s="1878"/>
      <c r="G486" s="1878"/>
      <c r="H486" s="1878"/>
    </row>
    <row r="487" spans="1:8">
      <c r="A487" s="1878"/>
      <c r="B487" s="1878"/>
      <c r="C487" s="1878"/>
      <c r="D487" s="1878"/>
      <c r="E487" s="1878"/>
      <c r="F487" s="1878"/>
      <c r="G487" s="1878"/>
      <c r="H487" s="1878"/>
    </row>
    <row r="488" spans="1:8">
      <c r="A488" s="1878"/>
      <c r="B488" s="1878"/>
      <c r="C488" s="1878"/>
      <c r="D488" s="1878"/>
      <c r="E488" s="1878"/>
      <c r="F488" s="1878"/>
      <c r="G488" s="1878"/>
      <c r="H488" s="1878"/>
    </row>
    <row r="489" spans="1:8">
      <c r="A489" s="1878"/>
      <c r="B489" s="1878"/>
      <c r="C489" s="1878"/>
      <c r="D489" s="1878"/>
      <c r="E489" s="1878"/>
      <c r="F489" s="1878"/>
      <c r="G489" s="1878"/>
      <c r="H489" s="1878"/>
    </row>
    <row r="490" spans="1:8">
      <c r="A490" s="1878"/>
      <c r="B490" s="1878"/>
      <c r="C490" s="1878"/>
      <c r="D490" s="1878"/>
      <c r="E490" s="1878"/>
      <c r="F490" s="1878"/>
      <c r="G490" s="1878"/>
      <c r="H490" s="1878"/>
    </row>
    <row r="491" spans="1:8">
      <c r="A491" s="1878"/>
      <c r="B491" s="1878"/>
      <c r="C491" s="1878"/>
      <c r="D491" s="1878"/>
      <c r="E491" s="1878"/>
      <c r="F491" s="1878"/>
      <c r="G491" s="1878"/>
      <c r="H491" s="1878"/>
    </row>
    <row r="492" spans="1:8">
      <c r="A492" s="1878"/>
      <c r="B492" s="1878"/>
      <c r="C492" s="1878"/>
      <c r="D492" s="1878"/>
      <c r="E492" s="1878"/>
      <c r="F492" s="1878"/>
      <c r="G492" s="1878"/>
      <c r="H492" s="1878"/>
    </row>
    <row r="493" spans="1:8">
      <c r="A493" s="1878"/>
      <c r="B493" s="1878"/>
      <c r="C493" s="1878"/>
      <c r="D493" s="1878"/>
      <c r="E493" s="1878"/>
      <c r="F493" s="1878"/>
      <c r="G493" s="1878"/>
      <c r="H493" s="1878"/>
    </row>
    <row r="494" spans="1:8">
      <c r="A494" s="1878"/>
      <c r="B494" s="1878"/>
      <c r="C494" s="1878"/>
      <c r="D494" s="1878"/>
      <c r="E494" s="1878"/>
      <c r="F494" s="1878"/>
      <c r="G494" s="1878"/>
      <c r="H494" s="1878"/>
    </row>
    <row r="495" spans="1:8">
      <c r="A495" s="1878"/>
      <c r="B495" s="1878"/>
      <c r="C495" s="1878"/>
      <c r="D495" s="1878"/>
      <c r="E495" s="1878"/>
      <c r="F495" s="1878"/>
      <c r="G495" s="1878"/>
      <c r="H495" s="1878"/>
    </row>
    <row r="496" spans="1:8">
      <c r="A496" s="1878"/>
      <c r="B496" s="1878"/>
      <c r="C496" s="1878"/>
      <c r="D496" s="1878"/>
      <c r="E496" s="1878"/>
      <c r="F496" s="1878"/>
      <c r="G496" s="1878"/>
      <c r="H496" s="1878"/>
    </row>
    <row r="497" spans="1:8">
      <c r="A497" s="1878"/>
      <c r="B497" s="1878"/>
      <c r="C497" s="1878"/>
      <c r="D497" s="1878"/>
      <c r="E497" s="1878"/>
      <c r="F497" s="1878"/>
      <c r="G497" s="1878"/>
      <c r="H497" s="1878"/>
    </row>
    <row r="498" spans="1:8">
      <c r="A498" s="1878"/>
      <c r="B498" s="1878"/>
      <c r="C498" s="1878"/>
      <c r="D498" s="1878"/>
      <c r="E498" s="1878"/>
      <c r="F498" s="1878"/>
      <c r="G498" s="1878"/>
      <c r="H498" s="1878"/>
    </row>
    <row r="499" spans="1:8">
      <c r="A499" s="1878"/>
      <c r="B499" s="1878"/>
      <c r="C499" s="1878"/>
      <c r="D499" s="1878"/>
      <c r="E499" s="1878"/>
      <c r="F499" s="1878"/>
      <c r="G499" s="1878"/>
      <c r="H499" s="1878"/>
    </row>
    <row r="500" spans="1:8">
      <c r="A500" s="1878"/>
      <c r="B500" s="1878"/>
      <c r="C500" s="1878"/>
      <c r="D500" s="1878"/>
      <c r="E500" s="1878"/>
      <c r="F500" s="1878"/>
      <c r="G500" s="1878"/>
      <c r="H500" s="1878"/>
    </row>
    <row r="501" spans="1:8">
      <c r="A501" s="1878"/>
      <c r="B501" s="1878"/>
      <c r="C501" s="1878"/>
      <c r="D501" s="1878"/>
      <c r="E501" s="1878"/>
      <c r="F501" s="1878"/>
      <c r="G501" s="1878"/>
      <c r="H501" s="1878"/>
    </row>
    <row r="502" spans="1:8">
      <c r="A502" s="1878"/>
      <c r="B502" s="1878"/>
      <c r="C502" s="1878"/>
      <c r="D502" s="1878"/>
      <c r="E502" s="1878"/>
      <c r="F502" s="1878"/>
      <c r="G502" s="1878"/>
      <c r="H502" s="1878"/>
    </row>
    <row r="503" spans="1:8">
      <c r="A503" s="1878"/>
      <c r="B503" s="1878"/>
      <c r="C503" s="1878"/>
      <c r="D503" s="1878"/>
      <c r="E503" s="1878"/>
      <c r="F503" s="1878"/>
      <c r="G503" s="1878"/>
      <c r="H503" s="1878"/>
    </row>
    <row r="504" spans="1:8">
      <c r="A504" s="1878"/>
      <c r="B504" s="1878"/>
      <c r="C504" s="1878"/>
      <c r="D504" s="1878"/>
      <c r="E504" s="1878"/>
      <c r="F504" s="1878"/>
      <c r="G504" s="1878"/>
      <c r="H504" s="1878"/>
    </row>
    <row r="505" spans="1:8">
      <c r="A505" s="1878"/>
      <c r="B505" s="1878"/>
      <c r="C505" s="1878"/>
      <c r="D505" s="1878"/>
      <c r="E505" s="1878"/>
      <c r="F505" s="1878"/>
      <c r="G505" s="1878"/>
      <c r="H505" s="1878"/>
    </row>
    <row r="506" spans="1:8">
      <c r="A506" s="1878"/>
      <c r="B506" s="1878"/>
      <c r="C506" s="1878"/>
      <c r="D506" s="1878"/>
      <c r="E506" s="1878"/>
      <c r="F506" s="1878"/>
      <c r="G506" s="1878"/>
      <c r="H506" s="1878"/>
    </row>
    <row r="507" spans="1:8">
      <c r="A507" s="1878"/>
      <c r="B507" s="1878"/>
      <c r="C507" s="1878"/>
      <c r="D507" s="1878"/>
      <c r="E507" s="1878"/>
      <c r="F507" s="1878"/>
      <c r="G507" s="1878"/>
      <c r="H507" s="1878"/>
    </row>
    <row r="508" spans="1:8">
      <c r="A508" s="1878"/>
      <c r="B508" s="1878"/>
      <c r="C508" s="1878"/>
      <c r="D508" s="1878"/>
      <c r="E508" s="1878"/>
      <c r="F508" s="1878"/>
      <c r="G508" s="1878"/>
      <c r="H508" s="1878"/>
    </row>
    <row r="509" spans="1:8">
      <c r="A509" s="1878"/>
      <c r="B509" s="1878"/>
      <c r="C509" s="1878"/>
      <c r="D509" s="1878"/>
      <c r="E509" s="1878"/>
      <c r="F509" s="1878"/>
      <c r="G509" s="1878"/>
      <c r="H509" s="1878"/>
    </row>
    <row r="510" spans="1:8">
      <c r="A510" s="1878"/>
      <c r="B510" s="1878"/>
      <c r="C510" s="1878"/>
      <c r="D510" s="1878"/>
      <c r="E510" s="1878"/>
      <c r="F510" s="1878"/>
      <c r="G510" s="1878"/>
      <c r="H510" s="1878"/>
    </row>
    <row r="511" spans="1:8">
      <c r="A511" s="1878"/>
      <c r="B511" s="1878"/>
      <c r="C511" s="1878"/>
      <c r="D511" s="1878"/>
      <c r="E511" s="1878"/>
      <c r="F511" s="1878"/>
      <c r="G511" s="1878"/>
      <c r="H511" s="1878"/>
    </row>
    <row r="512" spans="1:8">
      <c r="A512" s="1878"/>
      <c r="B512" s="1878"/>
      <c r="C512" s="1878"/>
      <c r="D512" s="1878"/>
      <c r="E512" s="1878"/>
      <c r="F512" s="1878"/>
      <c r="G512" s="1878"/>
      <c r="H512" s="1878"/>
    </row>
    <row r="513" spans="1:8">
      <c r="A513" s="1878"/>
      <c r="B513" s="1878"/>
      <c r="C513" s="1878"/>
      <c r="D513" s="1878"/>
      <c r="E513" s="1878"/>
      <c r="F513" s="1878"/>
      <c r="G513" s="1878"/>
      <c r="H513" s="1878"/>
    </row>
    <row r="514" spans="1:8">
      <c r="A514" s="1878"/>
      <c r="B514" s="1878"/>
      <c r="C514" s="1878"/>
      <c r="D514" s="1878"/>
      <c r="E514" s="1878"/>
      <c r="F514" s="1878"/>
      <c r="G514" s="1878"/>
      <c r="H514" s="1878"/>
    </row>
    <row r="515" spans="1:8">
      <c r="A515" s="1878"/>
      <c r="B515" s="1878"/>
      <c r="C515" s="1878"/>
      <c r="D515" s="1878"/>
      <c r="E515" s="1878"/>
      <c r="F515" s="1878"/>
      <c r="G515" s="1878"/>
      <c r="H515" s="1878"/>
    </row>
    <row r="516" spans="1:8">
      <c r="A516" s="1878"/>
      <c r="B516" s="1878"/>
      <c r="C516" s="1878"/>
      <c r="D516" s="1878"/>
      <c r="E516" s="1878"/>
      <c r="F516" s="1878"/>
      <c r="G516" s="1878"/>
      <c r="H516" s="1878"/>
    </row>
    <row r="517" spans="1:8">
      <c r="A517" s="1878"/>
      <c r="B517" s="1878"/>
      <c r="C517" s="1878"/>
      <c r="D517" s="1878"/>
      <c r="E517" s="1878"/>
      <c r="F517" s="1878"/>
      <c r="G517" s="1878"/>
      <c r="H517" s="1878"/>
    </row>
    <row r="518" spans="1:8">
      <c r="A518" s="1878"/>
      <c r="B518" s="1878"/>
      <c r="C518" s="1878"/>
      <c r="D518" s="1878"/>
      <c r="E518" s="1878"/>
      <c r="F518" s="1878"/>
      <c r="G518" s="1878"/>
      <c r="H518" s="1878"/>
    </row>
    <row r="519" spans="1:8">
      <c r="A519" s="1878"/>
      <c r="B519" s="1878"/>
      <c r="C519" s="1878"/>
      <c r="D519" s="1878"/>
      <c r="E519" s="1878"/>
      <c r="F519" s="1878"/>
      <c r="G519" s="1878"/>
      <c r="H519" s="1878"/>
    </row>
    <row r="520" spans="1:8">
      <c r="A520" s="1878"/>
      <c r="B520" s="1878"/>
      <c r="C520" s="1878"/>
      <c r="D520" s="1878"/>
      <c r="E520" s="1878"/>
      <c r="F520" s="1878"/>
      <c r="G520" s="1878"/>
      <c r="H520" s="1878"/>
    </row>
    <row r="521" spans="1:8">
      <c r="A521" s="1878"/>
      <c r="B521" s="1878"/>
      <c r="C521" s="1878"/>
      <c r="D521" s="1878"/>
      <c r="E521" s="1878"/>
      <c r="F521" s="1878"/>
      <c r="G521" s="1878"/>
      <c r="H521" s="1878"/>
    </row>
    <row r="522" spans="1:8">
      <c r="A522" s="1878"/>
      <c r="B522" s="1878"/>
      <c r="C522" s="1878"/>
      <c r="D522" s="1878"/>
      <c r="E522" s="1878"/>
      <c r="F522" s="1878"/>
      <c r="G522" s="1878"/>
      <c r="H522" s="1878"/>
    </row>
    <row r="523" spans="1:8">
      <c r="A523" s="1878"/>
      <c r="B523" s="1878"/>
      <c r="C523" s="1878"/>
      <c r="D523" s="1878"/>
      <c r="E523" s="1878"/>
      <c r="F523" s="1878"/>
      <c r="G523" s="1878"/>
      <c r="H523" s="1878"/>
    </row>
    <row r="524" spans="1:8">
      <c r="A524" s="1878"/>
      <c r="B524" s="1878"/>
      <c r="C524" s="1878"/>
      <c r="D524" s="1878"/>
      <c r="E524" s="1878"/>
      <c r="F524" s="1878"/>
      <c r="G524" s="1878"/>
      <c r="H524" s="1878"/>
    </row>
    <row r="525" spans="1:8">
      <c r="A525" s="1878"/>
      <c r="B525" s="1878"/>
      <c r="C525" s="1878"/>
      <c r="D525" s="1878"/>
      <c r="E525" s="1878"/>
      <c r="F525" s="1878"/>
      <c r="G525" s="1878"/>
      <c r="H525" s="1878"/>
    </row>
    <row r="526" spans="1:8">
      <c r="A526" s="1878"/>
      <c r="B526" s="1878"/>
      <c r="C526" s="1878"/>
      <c r="D526" s="1878"/>
      <c r="E526" s="1878"/>
      <c r="F526" s="1878"/>
      <c r="G526" s="1878"/>
      <c r="H526" s="1878"/>
    </row>
    <row r="527" spans="1:8">
      <c r="A527" s="1878"/>
      <c r="B527" s="1878"/>
      <c r="C527" s="1878"/>
      <c r="D527" s="1878"/>
      <c r="E527" s="1878"/>
      <c r="F527" s="1878"/>
      <c r="G527" s="1878"/>
      <c r="H527" s="1878"/>
    </row>
    <row r="528" spans="1:8">
      <c r="A528" s="1878"/>
      <c r="B528" s="1878"/>
      <c r="C528" s="1878"/>
      <c r="D528" s="1878"/>
      <c r="E528" s="1878"/>
      <c r="F528" s="1878"/>
      <c r="G528" s="1878"/>
      <c r="H528" s="1878"/>
    </row>
    <row r="529" spans="1:8">
      <c r="A529" s="1878"/>
      <c r="B529" s="1878"/>
      <c r="C529" s="1878"/>
      <c r="D529" s="1878"/>
      <c r="E529" s="1878"/>
      <c r="F529" s="1878"/>
      <c r="G529" s="1878"/>
      <c r="H529" s="1878"/>
    </row>
    <row r="530" spans="1:8">
      <c r="A530" s="1878"/>
      <c r="B530" s="1878"/>
      <c r="C530" s="1878"/>
      <c r="D530" s="1878"/>
      <c r="E530" s="1878"/>
      <c r="F530" s="1878"/>
      <c r="G530" s="1878"/>
      <c r="H530" s="1878"/>
    </row>
    <row r="531" spans="1:8">
      <c r="A531" s="1878"/>
      <c r="B531" s="1878"/>
      <c r="C531" s="1878"/>
      <c r="D531" s="1878"/>
      <c r="E531" s="1878"/>
      <c r="F531" s="1878"/>
      <c r="G531" s="1878"/>
      <c r="H531" s="1878"/>
    </row>
    <row r="532" spans="1:8">
      <c r="A532" s="1878"/>
      <c r="B532" s="1878"/>
      <c r="C532" s="1878"/>
      <c r="D532" s="1878"/>
      <c r="E532" s="1878"/>
      <c r="F532" s="1878"/>
      <c r="G532" s="1878"/>
      <c r="H532" s="1878"/>
    </row>
    <row r="533" spans="1:8">
      <c r="A533" s="1878"/>
      <c r="B533" s="1878"/>
      <c r="C533" s="1878"/>
      <c r="D533" s="1878"/>
      <c r="E533" s="1878"/>
      <c r="F533" s="1878"/>
      <c r="G533" s="1878"/>
      <c r="H533" s="1878"/>
    </row>
    <row r="534" spans="1:8">
      <c r="A534" s="1878"/>
      <c r="B534" s="1878"/>
      <c r="C534" s="1878"/>
      <c r="D534" s="1878"/>
      <c r="E534" s="1878"/>
      <c r="F534" s="1878"/>
      <c r="G534" s="1878"/>
      <c r="H534" s="1878"/>
    </row>
    <row r="535" spans="1:8">
      <c r="A535" s="1878"/>
      <c r="B535" s="1878"/>
      <c r="C535" s="1878"/>
      <c r="D535" s="1878"/>
      <c r="E535" s="1878"/>
      <c r="F535" s="1878"/>
      <c r="G535" s="1878"/>
      <c r="H535" s="1878"/>
    </row>
    <row r="536" spans="1:8">
      <c r="A536" s="1878"/>
      <c r="B536" s="1878"/>
      <c r="C536" s="1878"/>
      <c r="D536" s="1878"/>
      <c r="E536" s="1878"/>
      <c r="F536" s="1878"/>
      <c r="G536" s="1878"/>
      <c r="H536" s="1878"/>
    </row>
    <row r="537" spans="1:8">
      <c r="A537" s="1878"/>
      <c r="B537" s="1878"/>
      <c r="C537" s="1878"/>
      <c r="D537" s="1878"/>
      <c r="E537" s="1878"/>
      <c r="F537" s="1878"/>
      <c r="G537" s="1878"/>
      <c r="H537" s="1878"/>
    </row>
    <row r="538" spans="1:8">
      <c r="A538" s="1878"/>
      <c r="B538" s="1878"/>
      <c r="C538" s="1878"/>
      <c r="D538" s="1878"/>
      <c r="E538" s="1878"/>
      <c r="F538" s="1878"/>
      <c r="G538" s="1878"/>
      <c r="H538" s="1878"/>
    </row>
    <row r="539" spans="1:8">
      <c r="A539" s="1878"/>
      <c r="B539" s="1878"/>
      <c r="C539" s="1878"/>
      <c r="D539" s="1878"/>
      <c r="E539" s="1878"/>
      <c r="F539" s="1878"/>
      <c r="G539" s="1878"/>
      <c r="H539" s="1878"/>
    </row>
    <row r="540" spans="1:8">
      <c r="A540" s="1878"/>
      <c r="B540" s="1878"/>
      <c r="C540" s="1878"/>
      <c r="D540" s="1878"/>
      <c r="E540" s="1878"/>
      <c r="F540" s="1878"/>
      <c r="G540" s="1878"/>
      <c r="H540" s="1878"/>
    </row>
    <row r="541" spans="1:8">
      <c r="A541" s="1878"/>
      <c r="B541" s="1878"/>
      <c r="C541" s="1878"/>
      <c r="D541" s="1878"/>
      <c r="E541" s="1878"/>
      <c r="F541" s="1878"/>
      <c r="G541" s="1878"/>
      <c r="H541" s="1878"/>
    </row>
    <row r="542" spans="1:8">
      <c r="A542" s="1878"/>
      <c r="B542" s="1878"/>
      <c r="C542" s="1878"/>
      <c r="D542" s="1878"/>
      <c r="E542" s="1878"/>
      <c r="F542" s="1878"/>
      <c r="G542" s="1878"/>
      <c r="H542" s="1878"/>
    </row>
    <row r="543" spans="1:8">
      <c r="A543" s="1878"/>
      <c r="B543" s="1878"/>
      <c r="C543" s="1878"/>
      <c r="D543" s="1878"/>
      <c r="E543" s="1878"/>
      <c r="F543" s="1878"/>
      <c r="G543" s="1878"/>
      <c r="H543" s="1878"/>
    </row>
    <row r="544" spans="1:8">
      <c r="A544" s="1878"/>
      <c r="B544" s="1878"/>
      <c r="C544" s="1878"/>
      <c r="D544" s="1878"/>
      <c r="E544" s="1878"/>
      <c r="F544" s="1878"/>
      <c r="G544" s="1878"/>
      <c r="H544" s="1878"/>
    </row>
    <row r="545" spans="1:8">
      <c r="A545" s="1878"/>
      <c r="B545" s="1878"/>
      <c r="C545" s="1878"/>
      <c r="D545" s="1878"/>
      <c r="E545" s="1878"/>
      <c r="F545" s="1878"/>
      <c r="G545" s="1878"/>
      <c r="H545" s="1878"/>
    </row>
    <row r="546" spans="1:8">
      <c r="A546" s="1878"/>
      <c r="B546" s="1878"/>
      <c r="C546" s="1878"/>
      <c r="D546" s="1878"/>
      <c r="E546" s="1878"/>
      <c r="F546" s="1878"/>
      <c r="G546" s="1878"/>
      <c r="H546" s="1878"/>
    </row>
    <row r="547" spans="1:8">
      <c r="A547" s="1878"/>
      <c r="B547" s="1878"/>
      <c r="C547" s="1878"/>
      <c r="D547" s="1878"/>
      <c r="E547" s="1878"/>
      <c r="F547" s="1878"/>
      <c r="G547" s="1878"/>
      <c r="H547" s="1878"/>
    </row>
    <row r="548" spans="1:8">
      <c r="A548" s="1878"/>
      <c r="B548" s="1878"/>
      <c r="C548" s="1878"/>
      <c r="D548" s="1878"/>
      <c r="E548" s="1878"/>
      <c r="F548" s="1878"/>
      <c r="G548" s="1878"/>
      <c r="H548" s="1878"/>
    </row>
    <row r="549" spans="1:8">
      <c r="A549" s="1878"/>
      <c r="B549" s="1878"/>
      <c r="C549" s="1878"/>
      <c r="D549" s="1878"/>
      <c r="E549" s="1878"/>
      <c r="F549" s="1878"/>
      <c r="G549" s="1878"/>
      <c r="H549" s="1878"/>
    </row>
    <row r="550" spans="1:8">
      <c r="A550" s="1878"/>
      <c r="B550" s="1878"/>
      <c r="C550" s="1878"/>
      <c r="D550" s="1878"/>
      <c r="E550" s="1878"/>
      <c r="F550" s="1878"/>
      <c r="G550" s="1878"/>
      <c r="H550" s="1878"/>
    </row>
    <row r="551" spans="1:8">
      <c r="A551" s="1878"/>
      <c r="B551" s="1878"/>
      <c r="C551" s="1878"/>
      <c r="D551" s="1878"/>
      <c r="E551" s="1878"/>
      <c r="F551" s="1878"/>
      <c r="G551" s="1878"/>
      <c r="H551" s="1878"/>
    </row>
    <row r="552" spans="1:8">
      <c r="A552" s="1878"/>
      <c r="B552" s="1878"/>
      <c r="C552" s="1878"/>
      <c r="D552" s="1878"/>
      <c r="E552" s="1878"/>
      <c r="F552" s="1878"/>
      <c r="G552" s="1878"/>
      <c r="H552" s="1878"/>
    </row>
    <row r="553" spans="1:8">
      <c r="A553" s="1878"/>
      <c r="B553" s="1878"/>
      <c r="C553" s="1878"/>
      <c r="D553" s="1878"/>
      <c r="E553" s="1878"/>
      <c r="F553" s="1878"/>
      <c r="G553" s="1878"/>
      <c r="H553" s="1878"/>
    </row>
    <row r="554" spans="1:8">
      <c r="A554" s="1878"/>
      <c r="B554" s="1878"/>
      <c r="C554" s="1878"/>
      <c r="D554" s="1878"/>
      <c r="E554" s="1878"/>
      <c r="F554" s="1878"/>
      <c r="G554" s="1878"/>
      <c r="H554" s="1878"/>
    </row>
    <row r="555" spans="1:8">
      <c r="A555" s="1878"/>
      <c r="B555" s="1878"/>
      <c r="C555" s="1878"/>
      <c r="D555" s="1878"/>
      <c r="E555" s="1878"/>
      <c r="F555" s="1878"/>
      <c r="G555" s="1878"/>
      <c r="H555" s="1878"/>
    </row>
    <row r="556" spans="1:8">
      <c r="A556" s="1878"/>
      <c r="B556" s="1878"/>
      <c r="C556" s="1878"/>
      <c r="D556" s="1878"/>
      <c r="E556" s="1878"/>
      <c r="F556" s="1878"/>
      <c r="G556" s="1878"/>
      <c r="H556" s="1878"/>
    </row>
    <row r="557" spans="1:8">
      <c r="A557" s="1878"/>
      <c r="B557" s="1878"/>
      <c r="C557" s="1878"/>
      <c r="D557" s="1878"/>
      <c r="E557" s="1878"/>
      <c r="F557" s="1878"/>
      <c r="G557" s="1878"/>
      <c r="H557" s="1878"/>
    </row>
    <row r="558" spans="1:8">
      <c r="A558" s="1878"/>
      <c r="B558" s="1878"/>
      <c r="C558" s="1878"/>
      <c r="D558" s="1878"/>
      <c r="E558" s="1878"/>
      <c r="F558" s="1878"/>
      <c r="G558" s="1878"/>
      <c r="H558" s="1878"/>
    </row>
    <row r="559" spans="1:8">
      <c r="A559" s="1878"/>
      <c r="B559" s="1878"/>
      <c r="C559" s="1878"/>
      <c r="D559" s="1878"/>
      <c r="E559" s="1878"/>
      <c r="F559" s="1878"/>
      <c r="G559" s="1878"/>
      <c r="H559" s="1878"/>
    </row>
    <row r="560" spans="1:8">
      <c r="A560" s="1878"/>
      <c r="B560" s="1878"/>
      <c r="C560" s="1878"/>
      <c r="D560" s="1878"/>
      <c r="E560" s="1878"/>
      <c r="F560" s="1878"/>
      <c r="G560" s="1878"/>
      <c r="H560" s="1878"/>
    </row>
    <row r="561" spans="1:8">
      <c r="A561" s="1878"/>
      <c r="B561" s="1878"/>
      <c r="C561" s="1878"/>
      <c r="D561" s="1878"/>
      <c r="E561" s="1878"/>
      <c r="F561" s="1878"/>
      <c r="G561" s="1878"/>
      <c r="H561" s="1878"/>
    </row>
    <row r="562" spans="1:8">
      <c r="A562" s="1878"/>
      <c r="B562" s="1878"/>
      <c r="C562" s="1878"/>
      <c r="D562" s="1878"/>
      <c r="E562" s="1878"/>
      <c r="F562" s="1878"/>
      <c r="G562" s="1878"/>
      <c r="H562" s="1878"/>
    </row>
    <row r="563" spans="1:8">
      <c r="A563" s="1878"/>
      <c r="B563" s="1878"/>
      <c r="C563" s="1878"/>
      <c r="D563" s="1878"/>
      <c r="E563" s="1878"/>
      <c r="F563" s="1878"/>
      <c r="G563" s="1878"/>
      <c r="H563" s="1878"/>
    </row>
    <row r="564" spans="1:8">
      <c r="A564" s="1878"/>
      <c r="B564" s="1878"/>
      <c r="C564" s="1878"/>
      <c r="D564" s="1878"/>
      <c r="E564" s="1878"/>
      <c r="F564" s="1878"/>
      <c r="G564" s="1878"/>
      <c r="H564" s="1878"/>
    </row>
    <row r="565" spans="1:8">
      <c r="A565" s="1878"/>
      <c r="B565" s="1878"/>
      <c r="C565" s="1878"/>
      <c r="D565" s="1878"/>
      <c r="E565" s="1878"/>
      <c r="F565" s="1878"/>
      <c r="G565" s="1878"/>
      <c r="H565" s="1878"/>
    </row>
    <row r="566" spans="1:8">
      <c r="A566" s="1878"/>
      <c r="B566" s="1878"/>
      <c r="C566" s="1878"/>
      <c r="D566" s="1878"/>
      <c r="E566" s="1878"/>
      <c r="F566" s="1878"/>
      <c r="G566" s="1878"/>
      <c r="H566" s="1878"/>
    </row>
    <row r="567" spans="1:8">
      <c r="A567" s="1878"/>
      <c r="B567" s="1878"/>
      <c r="C567" s="1878"/>
      <c r="D567" s="1878"/>
      <c r="E567" s="1878"/>
      <c r="F567" s="1878"/>
      <c r="G567" s="1878"/>
      <c r="H567" s="1878"/>
    </row>
    <row r="568" spans="1:8">
      <c r="A568" s="1878"/>
      <c r="B568" s="1878"/>
      <c r="C568" s="1878"/>
      <c r="D568" s="1878"/>
      <c r="E568" s="1878"/>
      <c r="F568" s="1878"/>
      <c r="G568" s="1878"/>
      <c r="H568" s="1878"/>
    </row>
    <row r="569" spans="1:8">
      <c r="A569" s="1878"/>
      <c r="B569" s="1878"/>
      <c r="C569" s="1878"/>
      <c r="D569" s="1878"/>
      <c r="E569" s="1878"/>
      <c r="F569" s="1878"/>
      <c r="G569" s="1878"/>
      <c r="H569" s="1878"/>
    </row>
    <row r="570" spans="1:8">
      <c r="A570" s="1878"/>
      <c r="B570" s="1878"/>
      <c r="C570" s="1878"/>
      <c r="D570" s="1878"/>
      <c r="E570" s="1878"/>
      <c r="F570" s="1878"/>
      <c r="G570" s="1878"/>
      <c r="H570" s="1878"/>
    </row>
    <row r="571" spans="1:8">
      <c r="A571" s="1878"/>
      <c r="B571" s="1878"/>
      <c r="C571" s="1878"/>
      <c r="D571" s="1878"/>
      <c r="E571" s="1878"/>
      <c r="F571" s="1878"/>
      <c r="G571" s="1878"/>
      <c r="H571" s="1878"/>
    </row>
    <row r="572" spans="1:8">
      <c r="A572" s="1878"/>
      <c r="B572" s="1878"/>
      <c r="C572" s="1878"/>
      <c r="D572" s="1878"/>
      <c r="E572" s="1878"/>
      <c r="F572" s="1878"/>
      <c r="G572" s="1878"/>
      <c r="H572" s="1878"/>
    </row>
    <row r="573" spans="1:8">
      <c r="A573" s="1878"/>
      <c r="B573" s="1878"/>
      <c r="C573" s="1878"/>
      <c r="D573" s="1878"/>
      <c r="E573" s="1878"/>
      <c r="F573" s="1878"/>
      <c r="G573" s="1878"/>
      <c r="H573" s="1878"/>
    </row>
    <row r="574" spans="1:8">
      <c r="A574" s="1878"/>
      <c r="B574" s="1878"/>
      <c r="C574" s="1878"/>
      <c r="D574" s="1878"/>
      <c r="E574" s="1878"/>
      <c r="F574" s="1878"/>
      <c r="G574" s="1878"/>
      <c r="H574" s="1878"/>
    </row>
    <row r="575" spans="1:8">
      <c r="A575" s="1878"/>
      <c r="B575" s="1878"/>
      <c r="C575" s="1878"/>
      <c r="D575" s="1878"/>
      <c r="E575" s="1878"/>
      <c r="F575" s="1878"/>
      <c r="G575" s="1878"/>
      <c r="H575" s="1878"/>
    </row>
    <row r="576" spans="1:8">
      <c r="A576" s="1878"/>
      <c r="B576" s="1878"/>
      <c r="C576" s="1878"/>
      <c r="D576" s="1878"/>
      <c r="E576" s="1878"/>
      <c r="F576" s="1878"/>
      <c r="G576" s="1878"/>
      <c r="H576" s="1878"/>
    </row>
    <row r="577" spans="1:8">
      <c r="A577" s="1878"/>
      <c r="B577" s="1878"/>
      <c r="C577" s="1878"/>
      <c r="D577" s="1878"/>
      <c r="E577" s="1878"/>
      <c r="F577" s="1878"/>
      <c r="G577" s="1878"/>
      <c r="H577" s="1878"/>
    </row>
    <row r="578" spans="1:8">
      <c r="A578" s="1878"/>
      <c r="B578" s="1878"/>
      <c r="C578" s="1878"/>
      <c r="D578" s="1878"/>
      <c r="E578" s="1878"/>
      <c r="F578" s="1878"/>
      <c r="G578" s="1878"/>
      <c r="H578" s="1878"/>
    </row>
    <row r="579" spans="1:8">
      <c r="A579" s="1878"/>
      <c r="B579" s="1878"/>
      <c r="C579" s="1878"/>
      <c r="D579" s="1878"/>
      <c r="E579" s="1878"/>
      <c r="F579" s="1878"/>
      <c r="G579" s="1878"/>
      <c r="H579" s="1878"/>
    </row>
    <row r="580" spans="1:8">
      <c r="A580" s="1878"/>
      <c r="B580" s="1878"/>
      <c r="C580" s="1878"/>
      <c r="D580" s="1878"/>
      <c r="E580" s="1878"/>
      <c r="F580" s="1878"/>
      <c r="G580" s="1878"/>
      <c r="H580" s="1878"/>
    </row>
    <row r="581" spans="1:8">
      <c r="A581" s="1878"/>
      <c r="B581" s="1878"/>
      <c r="C581" s="1878"/>
      <c r="D581" s="1878"/>
      <c r="E581" s="1878"/>
      <c r="F581" s="1878"/>
      <c r="G581" s="1878"/>
      <c r="H581" s="1878"/>
    </row>
    <row r="582" spans="1:8">
      <c r="A582" s="1878"/>
      <c r="B582" s="1878"/>
      <c r="C582" s="1878"/>
      <c r="D582" s="1878"/>
      <c r="E582" s="1878"/>
      <c r="F582" s="1878"/>
      <c r="G582" s="1878"/>
      <c r="H582" s="1878"/>
    </row>
    <row r="583" spans="1:8">
      <c r="A583" s="1878"/>
      <c r="B583" s="1878"/>
      <c r="C583" s="1878"/>
      <c r="D583" s="1878"/>
      <c r="E583" s="1878"/>
      <c r="F583" s="1878"/>
      <c r="G583" s="1878"/>
      <c r="H583" s="1878"/>
    </row>
    <row r="584" spans="1:8">
      <c r="A584" s="1878"/>
      <c r="B584" s="1878"/>
      <c r="C584" s="1878"/>
      <c r="D584" s="1878"/>
      <c r="E584" s="1878"/>
      <c r="F584" s="1878"/>
      <c r="G584" s="1878"/>
      <c r="H584" s="1878"/>
    </row>
    <row r="585" spans="1:8">
      <c r="A585" s="1878"/>
      <c r="B585" s="1878"/>
      <c r="C585" s="1878"/>
      <c r="D585" s="1878"/>
      <c r="E585" s="1878"/>
      <c r="F585" s="1878"/>
      <c r="G585" s="1878"/>
      <c r="H585" s="1878"/>
    </row>
    <row r="586" spans="1:8">
      <c r="A586" s="1878"/>
      <c r="B586" s="1878"/>
      <c r="C586" s="1878"/>
      <c r="D586" s="1878"/>
      <c r="E586" s="1878"/>
      <c r="F586" s="1878"/>
      <c r="G586" s="1878"/>
      <c r="H586" s="1878"/>
    </row>
    <row r="587" spans="1:8">
      <c r="A587" s="1878"/>
      <c r="B587" s="1878"/>
      <c r="C587" s="1878"/>
      <c r="D587" s="1878"/>
      <c r="E587" s="1878"/>
      <c r="F587" s="1878"/>
      <c r="G587" s="1878"/>
      <c r="H587" s="1878"/>
    </row>
    <row r="588" spans="1:8">
      <c r="A588" s="1878"/>
      <c r="B588" s="1878"/>
      <c r="C588" s="1878"/>
      <c r="D588" s="1878"/>
      <c r="E588" s="1878"/>
      <c r="F588" s="1878"/>
      <c r="G588" s="1878"/>
      <c r="H588" s="1878"/>
    </row>
    <row r="589" spans="1:8">
      <c r="A589" s="1878"/>
      <c r="B589" s="1878"/>
      <c r="C589" s="1878"/>
      <c r="D589" s="1878"/>
      <c r="E589" s="1878"/>
      <c r="F589" s="1878"/>
      <c r="G589" s="1878"/>
      <c r="H589" s="1878"/>
    </row>
    <row r="590" spans="1:8">
      <c r="A590" s="1878"/>
      <c r="B590" s="1878"/>
      <c r="C590" s="1878"/>
      <c r="D590" s="1878"/>
      <c r="E590" s="1878"/>
      <c r="F590" s="1878"/>
      <c r="G590" s="1878"/>
      <c r="H590" s="1878"/>
    </row>
    <row r="591" spans="1:8">
      <c r="A591" s="1878"/>
      <c r="B591" s="1878"/>
      <c r="C591" s="1878"/>
      <c r="D591" s="1878"/>
      <c r="E591" s="1878"/>
      <c r="F591" s="1878"/>
      <c r="G591" s="1878"/>
      <c r="H591" s="1878"/>
    </row>
    <row r="592" spans="1:8">
      <c r="A592" s="1878"/>
      <c r="B592" s="1878"/>
      <c r="C592" s="1878"/>
      <c r="D592" s="1878"/>
      <c r="E592" s="1878"/>
      <c r="F592" s="1878"/>
      <c r="G592" s="1878"/>
      <c r="H592" s="1878"/>
    </row>
    <row r="593" spans="1:8">
      <c r="A593" s="1878"/>
      <c r="B593" s="1878"/>
      <c r="C593" s="1878"/>
      <c r="D593" s="1878"/>
      <c r="E593" s="1878"/>
      <c r="F593" s="1878"/>
      <c r="G593" s="1878"/>
      <c r="H593" s="1878"/>
    </row>
    <row r="594" spans="1:8">
      <c r="A594" s="1878"/>
      <c r="B594" s="1878"/>
      <c r="C594" s="1878"/>
      <c r="D594" s="1878"/>
      <c r="E594" s="1878"/>
      <c r="F594" s="1878"/>
      <c r="G594" s="1878"/>
      <c r="H594" s="1878"/>
    </row>
    <row r="595" spans="1:8">
      <c r="A595" s="1878"/>
      <c r="B595" s="1878"/>
      <c r="C595" s="1878"/>
      <c r="D595" s="1878"/>
      <c r="E595" s="1878"/>
      <c r="F595" s="1878"/>
      <c r="G595" s="1878"/>
      <c r="H595" s="1878"/>
    </row>
    <row r="596" spans="1:8">
      <c r="A596" s="1878"/>
      <c r="B596" s="1878"/>
      <c r="C596" s="1878"/>
      <c r="D596" s="1878"/>
      <c r="E596" s="1878"/>
      <c r="F596" s="1878"/>
      <c r="G596" s="1878"/>
      <c r="H596" s="1878"/>
    </row>
    <row r="597" spans="1:8">
      <c r="A597" s="1878"/>
      <c r="B597" s="1878"/>
      <c r="C597" s="1878"/>
      <c r="D597" s="1878"/>
      <c r="E597" s="1878"/>
      <c r="F597" s="1878"/>
      <c r="G597" s="1878"/>
      <c r="H597" s="1878"/>
    </row>
    <row r="598" spans="1:8">
      <c r="A598" s="1878"/>
      <c r="B598" s="1878"/>
      <c r="C598" s="1878"/>
      <c r="D598" s="1878"/>
      <c r="E598" s="1878"/>
      <c r="F598" s="1878"/>
      <c r="G598" s="1878"/>
      <c r="H598" s="1878"/>
    </row>
    <row r="599" spans="1:8">
      <c r="A599" s="1878"/>
      <c r="B599" s="1878"/>
      <c r="C599" s="1878"/>
      <c r="D599" s="1878"/>
      <c r="E599" s="1878"/>
      <c r="F599" s="1878"/>
      <c r="G599" s="1878"/>
      <c r="H599" s="1878"/>
    </row>
    <row r="600" spans="1:8">
      <c r="A600" s="1878"/>
      <c r="B600" s="1878"/>
      <c r="C600" s="1878"/>
      <c r="D600" s="1878"/>
      <c r="E600" s="1878"/>
      <c r="F600" s="1878"/>
      <c r="G600" s="1878"/>
      <c r="H600" s="1878"/>
    </row>
    <row r="601" spans="1:8">
      <c r="A601" s="1878"/>
      <c r="B601" s="1878"/>
      <c r="C601" s="1878"/>
      <c r="D601" s="1878"/>
      <c r="E601" s="1878"/>
      <c r="F601" s="1878"/>
      <c r="G601" s="1878"/>
      <c r="H601" s="1878"/>
    </row>
    <row r="602" spans="1:8">
      <c r="A602" s="1878"/>
      <c r="B602" s="1878"/>
      <c r="C602" s="1878"/>
      <c r="D602" s="1878"/>
      <c r="E602" s="1878"/>
      <c r="F602" s="1878"/>
      <c r="G602" s="1878"/>
      <c r="H602" s="1878"/>
    </row>
    <row r="603" spans="1:8">
      <c r="A603" s="1878"/>
      <c r="B603" s="1878"/>
      <c r="C603" s="1878"/>
      <c r="D603" s="1878"/>
      <c r="E603" s="1878"/>
      <c r="F603" s="1878"/>
      <c r="G603" s="1878"/>
      <c r="H603" s="1878"/>
    </row>
    <row r="604" spans="1:8">
      <c r="A604" s="1878"/>
      <c r="B604" s="1878"/>
      <c r="C604" s="1878"/>
      <c r="D604" s="1878"/>
      <c r="E604" s="1878"/>
      <c r="F604" s="1878"/>
      <c r="G604" s="1878"/>
      <c r="H604" s="1878"/>
    </row>
    <row r="605" spans="1:8">
      <c r="A605" s="1878"/>
      <c r="B605" s="1878"/>
      <c r="C605" s="1878"/>
      <c r="D605" s="1878"/>
      <c r="E605" s="1878"/>
      <c r="F605" s="1878"/>
      <c r="G605" s="1878"/>
      <c r="H605" s="1878"/>
    </row>
    <row r="606" spans="1:8">
      <c r="A606" s="1878"/>
      <c r="B606" s="1878"/>
      <c r="C606" s="1878"/>
      <c r="D606" s="1878"/>
      <c r="E606" s="1878"/>
      <c r="F606" s="1878"/>
      <c r="G606" s="1878"/>
      <c r="H606" s="1878"/>
    </row>
    <row r="607" spans="1:8">
      <c r="A607" s="1878"/>
      <c r="B607" s="1878"/>
      <c r="C607" s="1878"/>
      <c r="D607" s="1878"/>
      <c r="E607" s="1878"/>
      <c r="F607" s="1878"/>
      <c r="G607" s="1878"/>
      <c r="H607" s="1878"/>
    </row>
    <row r="608" spans="1:8">
      <c r="A608" s="1878"/>
      <c r="B608" s="1878"/>
      <c r="C608" s="1878"/>
      <c r="D608" s="1878"/>
      <c r="E608" s="1878"/>
      <c r="F608" s="1878"/>
      <c r="G608" s="1878"/>
      <c r="H608" s="1878"/>
    </row>
    <row r="609" spans="1:8">
      <c r="A609" s="1878"/>
      <c r="B609" s="1878"/>
      <c r="C609" s="1878"/>
      <c r="D609" s="1878"/>
      <c r="E609" s="1878"/>
      <c r="F609" s="1878"/>
      <c r="G609" s="1878"/>
      <c r="H609" s="1878"/>
    </row>
    <row r="610" spans="1:8">
      <c r="A610" s="1878"/>
      <c r="B610" s="1878"/>
      <c r="C610" s="1878"/>
      <c r="D610" s="1878"/>
      <c r="E610" s="1878"/>
      <c r="F610" s="1878"/>
      <c r="G610" s="1878"/>
      <c r="H610" s="1878"/>
    </row>
    <row r="611" spans="1:8">
      <c r="A611" s="1878"/>
      <c r="B611" s="1878"/>
      <c r="C611" s="1878"/>
      <c r="D611" s="1878"/>
      <c r="E611" s="1878"/>
      <c r="F611" s="1878"/>
      <c r="G611" s="1878"/>
      <c r="H611" s="1878"/>
    </row>
    <row r="612" spans="1:8">
      <c r="A612" s="1878"/>
      <c r="B612" s="1878"/>
      <c r="C612" s="1878"/>
      <c r="D612" s="1878"/>
      <c r="E612" s="1878"/>
      <c r="F612" s="1878"/>
      <c r="G612" s="1878"/>
      <c r="H612" s="1878"/>
    </row>
    <row r="613" spans="1:8">
      <c r="A613" s="1878"/>
      <c r="B613" s="1878"/>
      <c r="C613" s="1878"/>
      <c r="D613" s="1878"/>
      <c r="E613" s="1878"/>
      <c r="F613" s="1878"/>
      <c r="G613" s="1878"/>
      <c r="H613" s="1878"/>
    </row>
    <row r="614" spans="1:8">
      <c r="A614" s="1878"/>
      <c r="B614" s="1878"/>
      <c r="C614" s="1878"/>
      <c r="D614" s="1878"/>
      <c r="E614" s="1878"/>
      <c r="F614" s="1878"/>
      <c r="G614" s="1878"/>
      <c r="H614" s="1878"/>
    </row>
    <row r="615" spans="1:8">
      <c r="A615" s="1878"/>
      <c r="B615" s="1878"/>
      <c r="C615" s="1878"/>
      <c r="D615" s="1878"/>
      <c r="E615" s="1878"/>
      <c r="F615" s="1878"/>
      <c r="G615" s="1878"/>
      <c r="H615" s="1878"/>
    </row>
    <row r="616" spans="1:8">
      <c r="A616" s="1878"/>
      <c r="B616" s="1878"/>
      <c r="C616" s="1878"/>
      <c r="D616" s="1878"/>
      <c r="E616" s="1878"/>
      <c r="F616" s="1878"/>
      <c r="G616" s="1878"/>
      <c r="H616" s="1878"/>
    </row>
    <row r="617" spans="1:8">
      <c r="A617" s="1878"/>
      <c r="B617" s="1878"/>
      <c r="C617" s="1878"/>
      <c r="D617" s="1878"/>
      <c r="E617" s="1878"/>
      <c r="F617" s="1878"/>
      <c r="G617" s="1878"/>
      <c r="H617" s="1878"/>
    </row>
    <row r="618" spans="1:8">
      <c r="A618" s="1878"/>
      <c r="B618" s="1878"/>
      <c r="C618" s="1878"/>
      <c r="D618" s="1878"/>
      <c r="E618" s="1878"/>
      <c r="F618" s="1878"/>
      <c r="G618" s="1878"/>
      <c r="H618" s="1878"/>
    </row>
    <row r="619" spans="1:8">
      <c r="A619" s="1878"/>
      <c r="B619" s="1878"/>
      <c r="C619" s="1878"/>
      <c r="D619" s="1878"/>
      <c r="E619" s="1878"/>
      <c r="F619" s="1878"/>
      <c r="G619" s="1878"/>
      <c r="H619" s="1878"/>
    </row>
    <row r="620" spans="1:8">
      <c r="A620" s="1878"/>
      <c r="B620" s="1878"/>
      <c r="C620" s="1878"/>
      <c r="D620" s="1878"/>
      <c r="E620" s="1878"/>
      <c r="F620" s="1878"/>
      <c r="G620" s="1878"/>
      <c r="H620" s="1878"/>
    </row>
    <row r="621" spans="1:8">
      <c r="A621" s="1878"/>
      <c r="B621" s="1878"/>
      <c r="C621" s="1878"/>
      <c r="D621" s="1878"/>
      <c r="E621" s="1878"/>
      <c r="F621" s="1878"/>
      <c r="G621" s="1878"/>
      <c r="H621" s="1878"/>
    </row>
    <row r="622" spans="1:8">
      <c r="A622" s="1878"/>
      <c r="B622" s="1878"/>
      <c r="C622" s="1878"/>
      <c r="D622" s="1878"/>
      <c r="E622" s="1878"/>
      <c r="F622" s="1878"/>
      <c r="G622" s="1878"/>
      <c r="H622" s="1878"/>
    </row>
    <row r="623" spans="1:8">
      <c r="A623" s="1878"/>
      <c r="B623" s="1878"/>
      <c r="C623" s="1878"/>
      <c r="D623" s="1878"/>
      <c r="E623" s="1878"/>
      <c r="F623" s="1878"/>
      <c r="G623" s="1878"/>
      <c r="H623" s="1878"/>
    </row>
    <row r="624" spans="1:8">
      <c r="A624" s="1878"/>
      <c r="B624" s="1878"/>
      <c r="C624" s="1878"/>
      <c r="D624" s="1878"/>
      <c r="E624" s="1878"/>
      <c r="F624" s="1878"/>
      <c r="G624" s="1878"/>
      <c r="H624" s="1878"/>
    </row>
    <row r="625" spans="1:8">
      <c r="A625" s="1878"/>
      <c r="B625" s="1878"/>
      <c r="C625" s="1878"/>
      <c r="D625" s="1878"/>
      <c r="E625" s="1878"/>
      <c r="F625" s="1878"/>
      <c r="G625" s="1878"/>
      <c r="H625" s="1878"/>
    </row>
    <row r="626" spans="1:8">
      <c r="A626" s="1878"/>
      <c r="B626" s="1878"/>
      <c r="C626" s="1878"/>
      <c r="D626" s="1878"/>
      <c r="E626" s="1878"/>
      <c r="F626" s="1878"/>
      <c r="G626" s="1878"/>
      <c r="H626" s="1878"/>
    </row>
    <row r="627" spans="1:8">
      <c r="A627" s="1878"/>
      <c r="B627" s="1878"/>
      <c r="C627" s="1878"/>
      <c r="D627" s="1878"/>
      <c r="E627" s="1878"/>
      <c r="F627" s="1878"/>
      <c r="G627" s="1878"/>
      <c r="H627" s="1878"/>
    </row>
    <row r="628" spans="1:8">
      <c r="A628" s="1878"/>
      <c r="B628" s="1878"/>
      <c r="C628" s="1878"/>
      <c r="D628" s="1878"/>
      <c r="E628" s="1878"/>
      <c r="F628" s="1878"/>
      <c r="G628" s="1878"/>
      <c r="H628" s="1878"/>
    </row>
    <row r="629" spans="1:8">
      <c r="A629" s="1878"/>
      <c r="B629" s="1878"/>
      <c r="C629" s="1878"/>
      <c r="D629" s="1878"/>
      <c r="E629" s="1878"/>
      <c r="F629" s="1878"/>
      <c r="G629" s="1878"/>
      <c r="H629" s="1878"/>
    </row>
    <row r="630" spans="1:8">
      <c r="A630" s="1878"/>
      <c r="B630" s="1878"/>
      <c r="C630" s="1878"/>
      <c r="D630" s="1878"/>
      <c r="E630" s="1878"/>
      <c r="F630" s="1878"/>
      <c r="G630" s="1878"/>
      <c r="H630" s="1878"/>
    </row>
    <row r="631" spans="1:8">
      <c r="A631" s="1878"/>
      <c r="B631" s="1878"/>
      <c r="C631" s="1878"/>
      <c r="D631" s="1878"/>
      <c r="E631" s="1878"/>
      <c r="F631" s="1878"/>
      <c r="G631" s="1878"/>
      <c r="H631" s="1878"/>
    </row>
    <row r="632" spans="1:8">
      <c r="A632" s="1878"/>
      <c r="B632" s="1878"/>
      <c r="C632" s="1878"/>
      <c r="D632" s="1878"/>
      <c r="E632" s="1878"/>
      <c r="F632" s="1878"/>
      <c r="G632" s="1878"/>
      <c r="H632" s="1878"/>
    </row>
    <row r="633" spans="1:8">
      <c r="A633" s="1878"/>
      <c r="B633" s="1878"/>
      <c r="C633" s="1878"/>
      <c r="D633" s="1878"/>
      <c r="E633" s="1878"/>
      <c r="F633" s="1878"/>
      <c r="G633" s="1878"/>
      <c r="H633" s="1878"/>
    </row>
    <row r="634" spans="1:8">
      <c r="A634" s="1878"/>
      <c r="B634" s="1878"/>
      <c r="C634" s="1878"/>
      <c r="D634" s="1878"/>
      <c r="E634" s="1878"/>
      <c r="F634" s="1878"/>
      <c r="G634" s="1878"/>
      <c r="H634" s="1878"/>
    </row>
    <row r="635" spans="1:8">
      <c r="A635" s="1878"/>
      <c r="B635" s="1878"/>
      <c r="C635" s="1878"/>
      <c r="D635" s="1878"/>
      <c r="E635" s="1878"/>
      <c r="F635" s="1878"/>
      <c r="G635" s="1878"/>
      <c r="H635" s="1878"/>
    </row>
    <row r="636" spans="1:8">
      <c r="A636" s="1878"/>
      <c r="B636" s="1878"/>
      <c r="C636" s="1878"/>
      <c r="D636" s="1878"/>
      <c r="E636" s="1878"/>
      <c r="F636" s="1878"/>
      <c r="G636" s="1878"/>
      <c r="H636" s="1878"/>
    </row>
    <row r="637" spans="1:8">
      <c r="A637" s="1878"/>
      <c r="B637" s="1878"/>
      <c r="C637" s="1878"/>
      <c r="D637" s="1878"/>
      <c r="E637" s="1878"/>
      <c r="F637" s="1878"/>
      <c r="G637" s="1878"/>
      <c r="H637" s="1878"/>
    </row>
    <row r="638" spans="1:8">
      <c r="A638" s="1878"/>
      <c r="B638" s="1878"/>
      <c r="C638" s="1878"/>
      <c r="D638" s="1878"/>
      <c r="E638" s="1878"/>
      <c r="F638" s="1878"/>
      <c r="G638" s="1878"/>
      <c r="H638" s="1878"/>
    </row>
    <row r="639" spans="1:8">
      <c r="A639" s="1878"/>
      <c r="B639" s="1878"/>
      <c r="C639" s="1878"/>
      <c r="D639" s="1878"/>
      <c r="E639" s="1878"/>
      <c r="F639" s="1878"/>
      <c r="G639" s="1878"/>
      <c r="H639" s="1878"/>
    </row>
    <row r="640" spans="1:8">
      <c r="A640" s="1878"/>
      <c r="B640" s="1878"/>
      <c r="C640" s="1878"/>
      <c r="D640" s="1878"/>
      <c r="E640" s="1878"/>
      <c r="F640" s="1878"/>
      <c r="G640" s="1878"/>
      <c r="H640" s="1878"/>
    </row>
    <row r="641" spans="1:8">
      <c r="A641" s="1878"/>
      <c r="B641" s="1878"/>
      <c r="C641" s="1878"/>
      <c r="D641" s="1878"/>
      <c r="E641" s="1878"/>
      <c r="F641" s="1878"/>
      <c r="G641" s="1878"/>
      <c r="H641" s="1878"/>
    </row>
    <row r="642" spans="1:8">
      <c r="A642" s="1878"/>
      <c r="B642" s="1878"/>
      <c r="C642" s="1878"/>
      <c r="D642" s="1878"/>
      <c r="E642" s="1878"/>
      <c r="F642" s="1878"/>
      <c r="G642" s="1878"/>
      <c r="H642" s="1878"/>
    </row>
    <row r="643" spans="1:8">
      <c r="A643" s="1878"/>
      <c r="B643" s="1878"/>
      <c r="C643" s="1878"/>
      <c r="D643" s="1878"/>
      <c r="E643" s="1878"/>
      <c r="F643" s="1878"/>
      <c r="G643" s="1878"/>
      <c r="H643" s="1878"/>
    </row>
    <row r="644" spans="1:8">
      <c r="A644" s="1878"/>
      <c r="B644" s="1878"/>
      <c r="C644" s="1878"/>
      <c r="D644" s="1878"/>
      <c r="E644" s="1878"/>
      <c r="F644" s="1878"/>
      <c r="G644" s="1878"/>
      <c r="H644" s="1878"/>
    </row>
    <row r="645" spans="1:8">
      <c r="A645" s="1878"/>
      <c r="B645" s="1878"/>
      <c r="C645" s="1878"/>
      <c r="D645" s="1878"/>
      <c r="E645" s="1878"/>
      <c r="F645" s="1878"/>
      <c r="G645" s="1878"/>
      <c r="H645" s="1878"/>
    </row>
    <row r="646" spans="1:8">
      <c r="A646" s="1878"/>
      <c r="B646" s="1878"/>
      <c r="C646" s="1878"/>
      <c r="D646" s="1878"/>
      <c r="E646" s="1878"/>
      <c r="F646" s="1878"/>
      <c r="G646" s="1878"/>
      <c r="H646" s="1878"/>
    </row>
    <row r="647" spans="1:8">
      <c r="A647" s="1878"/>
      <c r="B647" s="1878"/>
      <c r="C647" s="1878"/>
      <c r="D647" s="1878"/>
      <c r="E647" s="1878"/>
      <c r="F647" s="1878"/>
      <c r="G647" s="1878"/>
      <c r="H647" s="1878"/>
    </row>
    <row r="648" spans="1:8">
      <c r="A648" s="1878"/>
      <c r="B648" s="1878"/>
      <c r="C648" s="1878"/>
      <c r="D648" s="1878"/>
      <c r="E648" s="1878"/>
      <c r="F648" s="1878"/>
      <c r="G648" s="1878"/>
      <c r="H648" s="1878"/>
    </row>
    <row r="649" spans="1:8">
      <c r="A649" s="1878"/>
      <c r="B649" s="1878"/>
      <c r="C649" s="1878"/>
      <c r="D649" s="1878"/>
      <c r="E649" s="1878"/>
      <c r="F649" s="1878"/>
      <c r="G649" s="1878"/>
      <c r="H649" s="1878"/>
    </row>
    <row r="650" spans="1:8">
      <c r="A650" s="1878"/>
      <c r="B650" s="1878"/>
      <c r="C650" s="1878"/>
      <c r="D650" s="1878"/>
      <c r="E650" s="1878"/>
      <c r="F650" s="1878"/>
      <c r="G650" s="1878"/>
      <c r="H650" s="1878"/>
    </row>
    <row r="651" spans="1:8">
      <c r="A651" s="1878"/>
      <c r="B651" s="1878"/>
      <c r="C651" s="1878"/>
      <c r="D651" s="1878"/>
      <c r="E651" s="1878"/>
      <c r="F651" s="1878"/>
      <c r="G651" s="1878"/>
      <c r="H651" s="1878"/>
    </row>
    <row r="652" spans="1:8">
      <c r="A652" s="1878"/>
      <c r="B652" s="1878"/>
      <c r="C652" s="1878"/>
      <c r="D652" s="1878"/>
      <c r="E652" s="1878"/>
      <c r="F652" s="1878"/>
      <c r="G652" s="1878"/>
      <c r="H652" s="1878"/>
    </row>
    <row r="653" spans="1:8">
      <c r="A653" s="1878"/>
      <c r="B653" s="1878"/>
      <c r="C653" s="1878"/>
      <c r="D653" s="1878"/>
      <c r="E653" s="1878"/>
      <c r="F653" s="1878"/>
      <c r="G653" s="1878"/>
      <c r="H653" s="1878"/>
    </row>
    <row r="654" spans="1:8">
      <c r="A654" s="1878"/>
      <c r="B654" s="1878"/>
      <c r="C654" s="1878"/>
      <c r="D654" s="1878"/>
      <c r="E654" s="1878"/>
      <c r="F654" s="1878"/>
      <c r="G654" s="1878"/>
      <c r="H654" s="1878"/>
    </row>
    <row r="655" spans="1:8">
      <c r="A655" s="1878"/>
      <c r="B655" s="1878"/>
      <c r="C655" s="1878"/>
      <c r="D655" s="1878"/>
      <c r="E655" s="1878"/>
      <c r="F655" s="1878"/>
      <c r="G655" s="1878"/>
      <c r="H655" s="1878"/>
    </row>
    <row r="656" spans="1:8">
      <c r="A656" s="1878"/>
      <c r="B656" s="1878"/>
      <c r="C656" s="1878"/>
      <c r="D656" s="1878"/>
      <c r="E656" s="1878"/>
      <c r="F656" s="1878"/>
      <c r="G656" s="1878"/>
      <c r="H656" s="1878"/>
    </row>
    <row r="657" spans="1:8">
      <c r="A657" s="1878"/>
      <c r="B657" s="1878"/>
      <c r="C657" s="1878"/>
      <c r="D657" s="1878"/>
      <c r="E657" s="1878"/>
      <c r="F657" s="1878"/>
      <c r="G657" s="1878"/>
      <c r="H657" s="1878"/>
    </row>
    <row r="658" spans="1:8">
      <c r="A658" s="1878"/>
      <c r="B658" s="1878"/>
      <c r="C658" s="1878"/>
      <c r="D658" s="1878"/>
      <c r="E658" s="1878"/>
      <c r="F658" s="1878"/>
      <c r="G658" s="1878"/>
      <c r="H658" s="1878"/>
    </row>
    <row r="659" spans="1:8">
      <c r="A659" s="1878"/>
      <c r="B659" s="1878"/>
      <c r="C659" s="1878"/>
      <c r="D659" s="1878"/>
      <c r="E659" s="1878"/>
      <c r="F659" s="1878"/>
      <c r="G659" s="1878"/>
      <c r="H659" s="1878"/>
    </row>
    <row r="660" spans="1:8">
      <c r="A660" s="1878"/>
      <c r="B660" s="1878"/>
      <c r="C660" s="1878"/>
      <c r="D660" s="1878"/>
      <c r="E660" s="1878"/>
      <c r="F660" s="1878"/>
      <c r="G660" s="1878"/>
      <c r="H660" s="1878"/>
    </row>
    <row r="661" spans="1:8">
      <c r="A661" s="1878"/>
      <c r="B661" s="1878"/>
      <c r="C661" s="1878"/>
      <c r="D661" s="1878"/>
      <c r="E661" s="1878"/>
      <c r="F661" s="1878"/>
      <c r="G661" s="1878"/>
      <c r="H661" s="1878"/>
    </row>
    <row r="662" spans="1:8">
      <c r="A662" s="1878"/>
      <c r="B662" s="1878"/>
      <c r="C662" s="1878"/>
      <c r="D662" s="1878"/>
      <c r="E662" s="1878"/>
      <c r="F662" s="1878"/>
      <c r="G662" s="1878"/>
      <c r="H662" s="1878"/>
    </row>
    <row r="663" spans="1:8">
      <c r="A663" s="1878"/>
      <c r="B663" s="1878"/>
      <c r="C663" s="1878"/>
      <c r="D663" s="1878"/>
      <c r="E663" s="1878"/>
      <c r="F663" s="1878"/>
      <c r="G663" s="1878"/>
      <c r="H663" s="1878"/>
    </row>
    <row r="664" spans="1:8">
      <c r="A664" s="1878"/>
      <c r="B664" s="1878"/>
      <c r="C664" s="1878"/>
      <c r="D664" s="1878"/>
      <c r="E664" s="1878"/>
      <c r="F664" s="1878"/>
      <c r="G664" s="1878"/>
      <c r="H664" s="1878"/>
    </row>
    <row r="665" spans="1:8">
      <c r="A665" s="1878"/>
      <c r="B665" s="1878"/>
      <c r="C665" s="1878"/>
      <c r="D665" s="1878"/>
      <c r="E665" s="1878"/>
      <c r="F665" s="1878"/>
      <c r="G665" s="1878"/>
      <c r="H665" s="1878"/>
    </row>
    <row r="666" spans="1:8">
      <c r="A666" s="1878"/>
      <c r="B666" s="1878"/>
      <c r="C666" s="1878"/>
      <c r="D666" s="1878"/>
      <c r="E666" s="1878"/>
      <c r="F666" s="1878"/>
      <c r="G666" s="1878"/>
      <c r="H666" s="1878"/>
    </row>
    <row r="667" spans="1:8">
      <c r="A667" s="1878"/>
      <c r="B667" s="1878"/>
      <c r="C667" s="1878"/>
      <c r="D667" s="1878"/>
      <c r="E667" s="1878"/>
      <c r="F667" s="1878"/>
      <c r="G667" s="1878"/>
      <c r="H667" s="1878"/>
    </row>
    <row r="668" spans="1:8">
      <c r="A668" s="1878"/>
      <c r="B668" s="1878"/>
      <c r="C668" s="1878"/>
      <c r="D668" s="1878"/>
      <c r="E668" s="1878"/>
      <c r="F668" s="1878"/>
      <c r="G668" s="1878"/>
      <c r="H668" s="1878"/>
    </row>
    <row r="669" spans="1:8">
      <c r="A669" s="1878"/>
      <c r="B669" s="1878"/>
      <c r="C669" s="1878"/>
      <c r="D669" s="1878"/>
      <c r="E669" s="1878"/>
      <c r="F669" s="1878"/>
      <c r="G669" s="1878"/>
      <c r="H669" s="1878"/>
    </row>
    <row r="670" spans="1:8">
      <c r="A670" s="1878"/>
      <c r="B670" s="1878"/>
      <c r="C670" s="1878"/>
      <c r="D670" s="1878"/>
      <c r="E670" s="1878"/>
      <c r="F670" s="1878"/>
      <c r="G670" s="1878"/>
      <c r="H670" s="1878"/>
    </row>
    <row r="671" spans="1:8">
      <c r="A671" s="1878"/>
      <c r="B671" s="1878"/>
      <c r="C671" s="1878"/>
      <c r="D671" s="1878"/>
      <c r="E671" s="1878"/>
      <c r="F671" s="1878"/>
      <c r="G671" s="1878"/>
      <c r="H671" s="1878"/>
    </row>
    <row r="672" spans="1:8">
      <c r="A672" s="1878"/>
      <c r="B672" s="1878"/>
      <c r="C672" s="1878"/>
      <c r="D672" s="1878"/>
      <c r="E672" s="1878"/>
      <c r="F672" s="1878"/>
      <c r="G672" s="1878"/>
      <c r="H672" s="1878"/>
    </row>
    <row r="673" spans="1:8">
      <c r="A673" s="1878"/>
      <c r="B673" s="1878"/>
      <c r="C673" s="1878"/>
      <c r="D673" s="1878"/>
      <c r="E673" s="1878"/>
      <c r="F673" s="1878"/>
      <c r="G673" s="1878"/>
      <c r="H673" s="1878"/>
    </row>
    <row r="674" spans="1:8">
      <c r="A674" s="1878"/>
      <c r="B674" s="1878"/>
      <c r="C674" s="1878"/>
      <c r="D674" s="1878"/>
      <c r="E674" s="1878"/>
      <c r="F674" s="1878"/>
      <c r="G674" s="1878"/>
      <c r="H674" s="1878"/>
    </row>
    <row r="675" spans="1:8">
      <c r="A675" s="1878"/>
      <c r="B675" s="1878"/>
      <c r="C675" s="1878"/>
      <c r="D675" s="1878"/>
      <c r="E675" s="1878"/>
      <c r="F675" s="1878"/>
      <c r="G675" s="1878"/>
      <c r="H675" s="1878"/>
    </row>
    <row r="676" spans="1:8">
      <c r="A676" s="1878"/>
      <c r="B676" s="1878"/>
      <c r="C676" s="1878"/>
      <c r="D676" s="1878"/>
      <c r="E676" s="1878"/>
      <c r="F676" s="1878"/>
      <c r="G676" s="1878"/>
      <c r="H676" s="1878"/>
    </row>
    <row r="677" spans="1:8">
      <c r="A677" s="1878"/>
      <c r="B677" s="1878"/>
      <c r="C677" s="1878"/>
      <c r="D677" s="1878"/>
      <c r="E677" s="1878"/>
      <c r="F677" s="1878"/>
      <c r="G677" s="1878"/>
      <c r="H677" s="1878"/>
    </row>
    <row r="678" spans="1:8">
      <c r="A678" s="1878"/>
      <c r="B678" s="1878"/>
      <c r="C678" s="1878"/>
      <c r="D678" s="1878"/>
      <c r="E678" s="1878"/>
      <c r="F678" s="1878"/>
      <c r="G678" s="1878"/>
      <c r="H678" s="1878"/>
    </row>
    <row r="679" spans="1:8">
      <c r="A679" s="1878"/>
      <c r="B679" s="1878"/>
      <c r="C679" s="1878"/>
      <c r="D679" s="1878"/>
      <c r="E679" s="1878"/>
      <c r="F679" s="1878"/>
      <c r="G679" s="1878"/>
      <c r="H679" s="1878"/>
    </row>
    <row r="680" spans="1:8">
      <c r="A680" s="1878"/>
      <c r="B680" s="1878"/>
      <c r="C680" s="1878"/>
      <c r="D680" s="1878"/>
      <c r="E680" s="1878"/>
      <c r="F680" s="1878"/>
      <c r="G680" s="1878"/>
      <c r="H680" s="1878"/>
    </row>
    <row r="681" spans="1:8">
      <c r="A681" s="1878"/>
      <c r="B681" s="1878"/>
      <c r="C681" s="1878"/>
      <c r="D681" s="1878"/>
      <c r="E681" s="1878"/>
      <c r="F681" s="1878"/>
      <c r="G681" s="1878"/>
      <c r="H681" s="1878"/>
    </row>
    <row r="682" spans="1:8">
      <c r="A682" s="1878"/>
      <c r="B682" s="1878"/>
      <c r="C682" s="1878"/>
      <c r="D682" s="1878"/>
      <c r="E682" s="1878"/>
      <c r="F682" s="1878"/>
      <c r="G682" s="1878"/>
      <c r="H682" s="1878"/>
    </row>
    <row r="683" spans="1:8">
      <c r="A683" s="1878"/>
      <c r="B683" s="1878"/>
      <c r="C683" s="1878"/>
      <c r="D683" s="1878"/>
      <c r="E683" s="1878"/>
      <c r="F683" s="1878"/>
      <c r="G683" s="1878"/>
      <c r="H683" s="1878"/>
    </row>
    <row r="684" spans="1:8">
      <c r="A684" s="1878"/>
      <c r="B684" s="1878"/>
      <c r="C684" s="1878"/>
      <c r="D684" s="1878"/>
      <c r="E684" s="1878"/>
      <c r="F684" s="1878"/>
      <c r="G684" s="1878"/>
      <c r="H684" s="1878"/>
    </row>
    <row r="685" spans="1:8">
      <c r="A685" s="1878"/>
      <c r="B685" s="1878"/>
      <c r="C685" s="1878"/>
      <c r="D685" s="1878"/>
      <c r="E685" s="1878"/>
      <c r="F685" s="1878"/>
      <c r="G685" s="1878"/>
      <c r="H685" s="1878"/>
    </row>
    <row r="686" spans="1:8">
      <c r="A686" s="1878"/>
      <c r="B686" s="1878"/>
      <c r="C686" s="1878"/>
      <c r="D686" s="1878"/>
      <c r="E686" s="1878"/>
      <c r="F686" s="1878"/>
      <c r="G686" s="1878"/>
      <c r="H686" s="1878"/>
    </row>
    <row r="687" spans="1:8">
      <c r="A687" s="1878"/>
      <c r="B687" s="1878"/>
      <c r="C687" s="1878"/>
      <c r="D687" s="1878"/>
      <c r="E687" s="1878"/>
      <c r="F687" s="1878"/>
      <c r="G687" s="1878"/>
      <c r="H687" s="1878"/>
    </row>
    <row r="688" spans="1:8">
      <c r="A688" s="1878"/>
      <c r="B688" s="1878"/>
      <c r="C688" s="1878"/>
      <c r="D688" s="1878"/>
      <c r="E688" s="1878"/>
      <c r="F688" s="1878"/>
      <c r="G688" s="1878"/>
      <c r="H688" s="1878"/>
    </row>
    <row r="689" spans="1:8">
      <c r="A689" s="1878"/>
      <c r="B689" s="1878"/>
      <c r="C689" s="1878"/>
      <c r="D689" s="1878"/>
      <c r="E689" s="1878"/>
      <c r="F689" s="1878"/>
      <c r="G689" s="1878"/>
      <c r="H689" s="1878"/>
    </row>
    <row r="690" spans="1:8">
      <c r="A690" s="1878"/>
      <c r="B690" s="1878"/>
      <c r="C690" s="1878"/>
      <c r="D690" s="1878"/>
      <c r="E690" s="1878"/>
      <c r="F690" s="1878"/>
      <c r="G690" s="1878"/>
      <c r="H690" s="1878"/>
    </row>
    <row r="691" spans="1:8">
      <c r="A691" s="1878"/>
      <c r="B691" s="1878"/>
      <c r="C691" s="1878"/>
      <c r="D691" s="1878"/>
      <c r="E691" s="1878"/>
      <c r="F691" s="1878"/>
      <c r="G691" s="1878"/>
      <c r="H691" s="1878"/>
    </row>
    <row r="692" spans="1:8">
      <c r="A692" s="1878"/>
      <c r="B692" s="1878"/>
      <c r="C692" s="1878"/>
      <c r="D692" s="1878"/>
      <c r="E692" s="1878"/>
      <c r="F692" s="1878"/>
      <c r="G692" s="1878"/>
      <c r="H692" s="1878"/>
    </row>
    <row r="693" spans="1:8">
      <c r="A693" s="1878"/>
      <c r="B693" s="1878"/>
      <c r="C693" s="1878"/>
      <c r="D693" s="1878"/>
      <c r="E693" s="1878"/>
      <c r="F693" s="1878"/>
      <c r="G693" s="1878"/>
      <c r="H693" s="1878"/>
    </row>
    <row r="694" spans="1:8">
      <c r="A694" s="1878"/>
      <c r="B694" s="1878"/>
      <c r="C694" s="1878"/>
      <c r="D694" s="1878"/>
      <c r="E694" s="1878"/>
      <c r="F694" s="1878"/>
      <c r="G694" s="1878"/>
      <c r="H694" s="1878"/>
    </row>
    <row r="695" spans="1:8">
      <c r="A695" s="1878"/>
      <c r="B695" s="1878"/>
      <c r="C695" s="1878"/>
      <c r="D695" s="1878"/>
      <c r="E695" s="1878"/>
      <c r="F695" s="1878"/>
      <c r="G695" s="1878"/>
      <c r="H695" s="1878"/>
    </row>
    <row r="696" spans="1:8">
      <c r="A696" s="1878"/>
      <c r="B696" s="1878"/>
      <c r="C696" s="1878"/>
      <c r="D696" s="1878"/>
      <c r="E696" s="1878"/>
      <c r="F696" s="1878"/>
      <c r="G696" s="1878"/>
      <c r="H696" s="1878"/>
    </row>
    <row r="697" spans="1:8">
      <c r="A697" s="1878"/>
      <c r="B697" s="1878"/>
      <c r="C697" s="1878"/>
      <c r="D697" s="1878"/>
      <c r="E697" s="1878"/>
      <c r="F697" s="1878"/>
      <c r="G697" s="1878"/>
      <c r="H697" s="1878"/>
    </row>
    <row r="698" spans="1:8">
      <c r="A698" s="1878"/>
      <c r="B698" s="1878"/>
      <c r="C698" s="1878"/>
      <c r="D698" s="1878"/>
      <c r="E698" s="1878"/>
      <c r="F698" s="1878"/>
      <c r="G698" s="1878"/>
      <c r="H698" s="1878"/>
    </row>
    <row r="699" spans="1:8">
      <c r="A699" s="1878"/>
      <c r="B699" s="1878"/>
      <c r="C699" s="1878"/>
      <c r="D699" s="1878"/>
      <c r="E699" s="1878"/>
      <c r="F699" s="1878"/>
      <c r="G699" s="1878"/>
      <c r="H699" s="1878"/>
    </row>
  </sheetData>
  <sheetProtection sheet="1" objects="1" scenarios="1"/>
  <phoneticPr fontId="2" type="noConversion"/>
  <dataValidations count="3">
    <dataValidation type="list" allowBlank="1" showInputMessage="1" showErrorMessage="1" sqref="B29" xr:uid="{00000000-0002-0000-4900-000000000000}">
      <formula1>$B$39:$B$59</formula1>
    </dataValidation>
    <dataValidation type="decimal" allowBlank="1" showInputMessage="1" showErrorMessage="1" sqref="B31:B32" xr:uid="{00000000-0002-0000-4900-000001000000}">
      <formula1>-0.06</formula1>
      <formula2>0.06</formula2>
    </dataValidation>
    <dataValidation type="decimal" allowBlank="1" showInputMessage="1" showErrorMessage="1" sqref="B22" xr:uid="{00000000-0002-0000-4900-000002000000}">
      <formula1>0.04</formula1>
      <formula2>0.06</formula2>
    </dataValidation>
  </dataValidations>
  <printOptions horizontalCentered="1"/>
  <pageMargins left="0.78740157480314965" right="0.78740157480314965" top="0.67" bottom="0.78740157480314965" header="0.51181102362204722" footer="0.51181102362204722"/>
  <pageSetup paperSize="9" scale="79" orientation="landscape" r:id="rId1"/>
  <headerFooter alignWithMargins="0"/>
  <legacy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35">
    <pageSetUpPr fitToPage="1"/>
  </sheetPr>
  <dimension ref="A1:G96"/>
  <sheetViews>
    <sheetView workbookViewId="0"/>
  </sheetViews>
  <sheetFormatPr baseColWidth="10" defaultColWidth="11" defaultRowHeight="15"/>
  <cols>
    <col min="1" max="1" width="32" style="36" customWidth="1"/>
    <col min="2" max="6" width="13.375" style="36" customWidth="1"/>
    <col min="7" max="16384" width="11" style="36"/>
  </cols>
  <sheetData>
    <row r="1" spans="1:7" ht="22.5">
      <c r="A1" s="902" t="s">
        <v>1069</v>
      </c>
      <c r="B1" s="356"/>
      <c r="C1" s="356"/>
      <c r="D1" s="356"/>
      <c r="E1" s="356"/>
    </row>
    <row r="2" spans="1:7" ht="15.75" thickBot="1"/>
    <row r="3" spans="1:7" s="904" customFormat="1" ht="17.25" customHeight="1">
      <c r="A3" s="1484" t="str">
        <f>'Dados Básicos'!A6</f>
        <v>Programa de:</v>
      </c>
      <c r="B3" s="1482" t="str">
        <f>'Dados Básicos'!B6</f>
        <v>Criação de Empresas</v>
      </c>
      <c r="C3" s="1458"/>
      <c r="D3" s="1458"/>
      <c r="E3" s="1458"/>
      <c r="F3" s="1458"/>
      <c r="G3" s="1459"/>
    </row>
    <row r="4" spans="1:7" s="904" customFormat="1" ht="17.25" customHeight="1" thickBot="1">
      <c r="A4" s="1485" t="s">
        <v>1067</v>
      </c>
      <c r="B4" s="1483" t="str">
        <f>'Dados Básicos'!B7</f>
        <v>Faro</v>
      </c>
      <c r="C4" s="1453"/>
      <c r="D4" s="1453"/>
      <c r="E4" s="1453"/>
      <c r="F4" s="1453"/>
      <c r="G4" s="1454"/>
    </row>
    <row r="5" spans="1:7" s="904" customFormat="1" thickBot="1">
      <c r="A5" s="906"/>
      <c r="B5" s="907"/>
    </row>
    <row r="6" spans="1:7" s="904" customFormat="1" thickBot="1">
      <c r="A6" s="1486" t="s">
        <v>1068</v>
      </c>
      <c r="B6" s="1487">
        <f>'Dados Básicos'!B13:C13</f>
        <v>46231</v>
      </c>
    </row>
    <row r="7" spans="1:7" s="904" customFormat="1" thickBot="1"/>
    <row r="8" spans="1:7" s="904" customFormat="1" ht="20.25" customHeight="1">
      <c r="A8" s="1455" t="s">
        <v>1066</v>
      </c>
      <c r="B8" s="1464" t="str">
        <f>'Dados Básicos'!B9</f>
        <v>WWW, S.L.</v>
      </c>
      <c r="C8" s="1450"/>
      <c r="D8" s="1450"/>
      <c r="E8" s="1450"/>
      <c r="F8" s="1450"/>
      <c r="G8" s="1451"/>
    </row>
    <row r="9" spans="1:7" s="904" customFormat="1" ht="20.25" customHeight="1">
      <c r="A9" s="1456" t="str">
        <f>'Dados Básicos'!A11</f>
        <v>Promotores:</v>
      </c>
      <c r="B9" s="1465" t="str">
        <f>IF('Dados Básicos'!B11="","",'Dados Básicos'!B11)</f>
        <v>nome e apelhidos</v>
      </c>
      <c r="C9" s="905"/>
      <c r="D9" s="905"/>
      <c r="E9" s="905"/>
      <c r="F9" s="905"/>
      <c r="G9" s="1452"/>
    </row>
    <row r="10" spans="1:7" s="904" customFormat="1" ht="19.5" customHeight="1" thickBot="1">
      <c r="A10" s="1457" t="s">
        <v>52</v>
      </c>
      <c r="B10" s="1479" t="str">
        <f>'Dados Básicos'!B24</f>
        <v>Sociedade Responsabilidade Limitada  ( S.R.L. )</v>
      </c>
      <c r="C10" s="1453"/>
      <c r="D10" s="1453"/>
      <c r="E10" s="1453"/>
      <c r="F10" s="1453"/>
      <c r="G10" s="1454"/>
    </row>
    <row r="11" spans="1:7" s="904" customFormat="1" thickBot="1">
      <c r="A11" s="903"/>
      <c r="B11" s="908"/>
    </row>
    <row r="12" spans="1:7" s="904" customFormat="1" ht="21" customHeight="1" thickBot="1">
      <c r="A12" s="1460" t="s">
        <v>1065</v>
      </c>
      <c r="B12" s="1480" t="str">
        <f>TEXT(INDEX(Parametros!A61:A72,mes0,1),"[$-16]mmmm \d\e aaaa")</f>
        <v>janeiro de 2026</v>
      </c>
      <c r="C12" s="1481"/>
    </row>
    <row r="13" spans="1:7" ht="15.75" thickBot="1"/>
    <row r="14" spans="1:7" ht="15.75" thickBot="1">
      <c r="A14" s="3050" t="s">
        <v>1242</v>
      </c>
      <c r="B14" s="2724" t="s">
        <v>1102</v>
      </c>
      <c r="C14" s="2724" t="str">
        <f t="array" ref="C14:G14">anni</f>
        <v>Ano 0:  2026</v>
      </c>
      <c r="D14" s="2725" t="str">
        <v>Ano 1:  2027</v>
      </c>
      <c r="E14" s="2725" t="str">
        <v>Ano 2:  2028</v>
      </c>
      <c r="F14" s="2725" t="str">
        <v>Ano 3:  2029</v>
      </c>
      <c r="G14" s="2726" t="str">
        <v>Ano 4:  2030</v>
      </c>
    </row>
    <row r="15" spans="1:7">
      <c r="A15" s="2858" t="str">
        <f>CONCATENATE("Investimentos anuais  ( ",Parametros!$H$11," )")</f>
        <v>Investimentos anuais  ( € )</v>
      </c>
      <c r="B15" s="2698">
        <f>'Finançamento Inicial'!B32</f>
        <v>0</v>
      </c>
      <c r="C15" s="2698">
        <f ca="1">'Finançamento Inicial'!C32</f>
        <v>2335</v>
      </c>
      <c r="D15" s="2699">
        <f t="array" aca="1" ref="D15:G15" ca="1">+Finançamento!E9:H9</f>
        <v>0</v>
      </c>
      <c r="E15" s="2699">
        <f ca="1"/>
        <v>0</v>
      </c>
      <c r="F15" s="2699">
        <f ca="1"/>
        <v>0</v>
      </c>
      <c r="G15" s="2700">
        <f ca="1"/>
        <v>0</v>
      </c>
    </row>
    <row r="16" spans="1:7">
      <c r="A16" s="2859" t="str">
        <f>CONCATENATE("Novo Capital Próprio ( ",Parametros!$H$11," )")</f>
        <v>Novo Capital Próprio ( € )</v>
      </c>
      <c r="B16" s="2701">
        <f>'Finançamento Inicial'!B6</f>
        <v>0</v>
      </c>
      <c r="C16" s="2701">
        <f>'Finançamento Inicial'!C6</f>
        <v>2335</v>
      </c>
      <c r="D16" s="2702">
        <f>SUM(Finançamento!E14:E19)</f>
        <v>0</v>
      </c>
      <c r="E16" s="2702">
        <f>SUM(Finançamento!F14:F19)</f>
        <v>0</v>
      </c>
      <c r="F16" s="2702">
        <f>SUM(Finançamento!G14:G19)</f>
        <v>0</v>
      </c>
      <c r="G16" s="2703">
        <f>SUM(Finançamento!H14:H19)</f>
        <v>0</v>
      </c>
    </row>
    <row r="17" spans="1:7">
      <c r="A17" s="2859" t="str">
        <f>CONCATENATE("Com Recursos Alheios ( ",Parametros!$H$11," )")</f>
        <v>Com Recursos Alheios ( € )</v>
      </c>
      <c r="B17" s="2701">
        <f>'Finançamento Inicial'!B16</f>
        <v>0</v>
      </c>
      <c r="C17" s="2701">
        <f ca="1">'Finançamento Inicial'!C16</f>
        <v>0</v>
      </c>
      <c r="D17" s="2702">
        <f t="array" ref="D17:G17">Finançamento!E21:H21</f>
        <v>0</v>
      </c>
      <c r="E17" s="2702">
        <v>0</v>
      </c>
      <c r="F17" s="2702">
        <v>0</v>
      </c>
      <c r="G17" s="2703">
        <v>0</v>
      </c>
    </row>
    <row r="18" spans="1:7" ht="15.75" thickBot="1">
      <c r="A18" s="2857" t="str">
        <f>CONCATENATE("Autofinançamento ( ",Parametros!$H$11," )")</f>
        <v>Autofinançamento ( € )</v>
      </c>
      <c r="B18" s="2704">
        <v>0</v>
      </c>
      <c r="C18" s="2704">
        <v>0</v>
      </c>
      <c r="D18" s="2705">
        <f t="array" aca="1" ref="D18:G18" ca="1">IF(D15:G15-D16:G16-D17:G17&gt;0,D15:G15-D16:G16-D17:G17,0)</f>
        <v>0</v>
      </c>
      <c r="E18" s="2705">
        <f ca="1"/>
        <v>0</v>
      </c>
      <c r="F18" s="2705">
        <f ca="1"/>
        <v>0</v>
      </c>
      <c r="G18" s="2706">
        <f ca="1"/>
        <v>0</v>
      </c>
    </row>
    <row r="19" spans="1:7" ht="15.75" thickBot="1"/>
    <row r="20" spans="1:7" s="904" customFormat="1" thickBot="1">
      <c r="A20" s="1460" t="s">
        <v>1064</v>
      </c>
      <c r="B20" s="1523" t="s">
        <v>1101</v>
      </c>
      <c r="C20" s="1523" t="str">
        <f t="array" ref="C20:G20">'Ratios Básicos'!C39:G39</f>
        <v>N/D</v>
      </c>
      <c r="D20" s="1524" t="str">
        <v>N/D</v>
      </c>
      <c r="E20" s="1524" t="str">
        <v>N/D</v>
      </c>
      <c r="F20" s="1524" t="str">
        <v>N/D</v>
      </c>
      <c r="G20" s="1525" t="str">
        <v>N/D</v>
      </c>
    </row>
    <row r="21" spans="1:7" ht="15.75" thickBot="1"/>
    <row r="22" spans="1:7" ht="15.75" thickBot="1">
      <c r="B22" s="1477" t="s">
        <v>1063</v>
      </c>
      <c r="C22" s="1478" t="s">
        <v>6</v>
      </c>
    </row>
    <row r="23" spans="1:7">
      <c r="A23" s="2858" t="str">
        <f>CONCATENATE("Investimento Inicial Total ( ",Parametros!$H$11," )")</f>
        <v>Investimento Inicial Total ( € )</v>
      </c>
      <c r="B23" s="2707">
        <f ca="1">SUM(C15:G15)</f>
        <v>2335</v>
      </c>
      <c r="C23" s="1488">
        <f t="array" aca="1" ref="C23:C26" ca="1">B23:B26/$B$23</f>
        <v>1</v>
      </c>
    </row>
    <row r="24" spans="1:7">
      <c r="A24" s="2859" t="str">
        <f t="array" ref="A24:A26">A16</f>
        <v>Novo Capital Próprio ( € )</v>
      </c>
      <c r="B24" s="2708">
        <f>SUM(C16:G16)</f>
        <v>2335</v>
      </c>
      <c r="C24" s="1489">
        <f ca="1"/>
        <v>1</v>
      </c>
      <c r="E24" s="1780"/>
    </row>
    <row r="25" spans="1:7">
      <c r="A25" s="2859" t="str">
        <v>Novo Capital Próprio ( € )</v>
      </c>
      <c r="B25" s="2708">
        <f ca="1">SUM(C17:G17)</f>
        <v>0</v>
      </c>
      <c r="C25" s="1489">
        <f ca="1"/>
        <v>0</v>
      </c>
    </row>
    <row r="26" spans="1:7" ht="15.75" thickBot="1">
      <c r="A26" s="2857" t="str">
        <v>Novo Capital Próprio ( € )</v>
      </c>
      <c r="B26" s="2709">
        <f ca="1">SUM(C18:G18)</f>
        <v>0</v>
      </c>
      <c r="C26" s="1490">
        <f ca="1"/>
        <v>0</v>
      </c>
    </row>
    <row r="27" spans="1:7" ht="15.75" thickBot="1">
      <c r="A27" s="1461"/>
      <c r="B27" s="1461"/>
      <c r="C27" s="1461"/>
    </row>
    <row r="28" spans="1:7" s="904" customFormat="1" thickBot="1">
      <c r="A28" s="1493" t="s">
        <v>1062</v>
      </c>
      <c r="B28" s="1491" t="str">
        <f ca="1">'Ratios Básicos'!C60</f>
        <v>N/D</v>
      </c>
      <c r="C28" s="1492" t="s">
        <v>1134</v>
      </c>
    </row>
    <row r="29" spans="1:7" s="904" customFormat="1" thickBot="1">
      <c r="A29" s="1463"/>
      <c r="B29" s="1462"/>
    </row>
    <row r="30" spans="1:7" s="904" customFormat="1" ht="14.25">
      <c r="A30" s="1496" t="s">
        <v>198</v>
      </c>
      <c r="B30" s="2930" t="str">
        <f ca="1">'Valoração da Empresa'!G19</f>
        <v>N/D</v>
      </c>
      <c r="C30" s="1528" t="s">
        <v>1174</v>
      </c>
    </row>
    <row r="31" spans="1:7" s="904" customFormat="1" ht="14.25">
      <c r="A31" s="914" t="str">
        <f>CONCATENATE("V.A.N. ( ",Parametros!$H$11," )")</f>
        <v>V.A.N. ( € )</v>
      </c>
      <c r="B31" s="2931">
        <f ca="1">'Valoração da Empresa'!G31</f>
        <v>-72273.332816025853</v>
      </c>
      <c r="C31" s="2932" t="str">
        <f>Parametros!$H$11</f>
        <v>€</v>
      </c>
    </row>
    <row r="32" spans="1:7" s="904" customFormat="1" ht="14.25">
      <c r="A32" s="914" t="s">
        <v>1061</v>
      </c>
      <c r="B32" s="1972">
        <f>'Valoração da Empresa'!B27</f>
        <v>0.13</v>
      </c>
      <c r="C32" s="1973"/>
    </row>
    <row r="33" spans="1:6" s="904" customFormat="1" ht="14.25">
      <c r="A33" s="1974" t="s">
        <v>1060</v>
      </c>
      <c r="B33" s="1976" t="str">
        <f>'Valoração da Empresa'!B29</f>
        <v>perpetuidade</v>
      </c>
      <c r="C33" s="1975" t="str">
        <f>'Valoração da Empresa'!C29</f>
        <v/>
      </c>
    </row>
    <row r="34" spans="1:6" s="904" customFormat="1" ht="14.25">
      <c r="A34" s="914" t="s">
        <v>111</v>
      </c>
      <c r="B34" s="1972" t="str">
        <f ca="1">+'Valoração da Empresa'!G21</f>
        <v>N/D</v>
      </c>
      <c r="C34" s="1494"/>
    </row>
    <row r="35" spans="1:6" s="904" customFormat="1" thickBot="1">
      <c r="A35" s="915" t="s">
        <v>112</v>
      </c>
      <c r="B35" s="1781">
        <f ca="1">'Valoração da Empresa'!G23</f>
        <v>-1</v>
      </c>
      <c r="C35" s="1495"/>
    </row>
    <row r="37" spans="1:6" ht="15.75" thickBot="1"/>
    <row r="38" spans="1:6" ht="39" customHeight="1">
      <c r="A38" s="2128" t="s">
        <v>1056</v>
      </c>
      <c r="B38" s="2126" t="str">
        <f t="array" ref="B38:F38">anni</f>
        <v>Ano 0:  2026</v>
      </c>
      <c r="C38" s="2126" t="str">
        <v>Ano 1:  2027</v>
      </c>
      <c r="D38" s="2126" t="str">
        <v>Ano 2:  2028</v>
      </c>
      <c r="E38" s="2126" t="str">
        <v>Ano 3:  2029</v>
      </c>
      <c r="F38" s="2127" t="str">
        <v>Ano 4:  2030</v>
      </c>
    </row>
    <row r="39" spans="1:6">
      <c r="A39" s="914" t="str">
        <f>CONCATENATE("Vendas Previstas ( ",Parametros!$H$11," )")</f>
        <v>Vendas Previstas ( € )</v>
      </c>
      <c r="B39" s="909">
        <f t="array" aca="1" ref="B39:F39" ca="1">'Ratios Básicos'!C35:G35</f>
        <v>7199.9999999999991</v>
      </c>
      <c r="C39" s="909">
        <f ca="1"/>
        <v>12360</v>
      </c>
      <c r="D39" s="909">
        <f ca="1"/>
        <v>13367.339999999998</v>
      </c>
      <c r="E39" s="909">
        <f ca="1"/>
        <v>14463.334572</v>
      </c>
      <c r="F39" s="911">
        <f ca="1"/>
        <v>15640.070423759998</v>
      </c>
    </row>
    <row r="40" spans="1:6" ht="17.25" customHeight="1">
      <c r="A40" s="914" t="str">
        <f>CONCATENATE("Gastos de Explotação ( ",Parametros!$H$11," )")</f>
        <v>Gastos de Explotação ( € )</v>
      </c>
      <c r="B40" s="909">
        <f ca="1">'PPeGG anuais'!B18+'PPeGG anuais'!B9</f>
        <v>17222.754545454547</v>
      </c>
      <c r="C40" s="909">
        <f ca="1">'PPeGG anuais'!D18+'PPeGG anuais'!D9</f>
        <v>20093.058818181817</v>
      </c>
      <c r="D40" s="909">
        <f ca="1">'PPeGG anuais'!G18+'PPeGG anuais'!G9</f>
        <v>21127.243717499998</v>
      </c>
      <c r="E40" s="909">
        <f ca="1">'PPeGG anuais'!J18+'PPeGG anuais'!J9</f>
        <v>22203.805189297505</v>
      </c>
      <c r="F40" s="911">
        <f ca="1">'PPeGG anuais'!M18+'PPeGG anuais'!M9</f>
        <v>23339.51590124955</v>
      </c>
    </row>
    <row r="41" spans="1:6" ht="17.25" customHeight="1">
      <c r="A41" s="914" t="str">
        <f>CONCATENATE("Resultados financeiros ( ",Parametros!$H$11," )")</f>
        <v>Resultados financeiros ( € )</v>
      </c>
      <c r="B41" s="2767">
        <f ca="1">'PPeGG anuais'!B27</f>
        <v>-87.11999999999999</v>
      </c>
      <c r="C41" s="2767">
        <f ca="1">'PPeGG anuais'!D27</f>
        <v>-149.55599999999995</v>
      </c>
      <c r="D41" s="2767">
        <f ca="1">'PPeGG anuais'!G27</f>
        <v>-161.74481399999999</v>
      </c>
      <c r="E41" s="2767">
        <f ca="1">'PPeGG anuais'!J27</f>
        <v>-175.00634832119999</v>
      </c>
      <c r="F41" s="2767">
        <f ca="1">'PPeGG anuais'!M27</f>
        <v>-189.24485212749605</v>
      </c>
    </row>
    <row r="42" spans="1:6" ht="17.25" customHeight="1">
      <c r="A42" s="914" t="str">
        <f>CONCATENATE("EBITDA ( ",Parametros!$H$11," )")</f>
        <v>EBITDA ( € )</v>
      </c>
      <c r="B42" s="1834">
        <f ca="1">'PPeGG anuais'!B20</f>
        <v>-10022.754545454545</v>
      </c>
      <c r="C42" s="1834">
        <f ca="1">'PPeGG anuais'!D20</f>
        <v>-7733.0588181818148</v>
      </c>
      <c r="D42" s="1834">
        <f ca="1">'PPeGG anuais'!G20</f>
        <v>-7759.9037174999994</v>
      </c>
      <c r="E42" s="1834">
        <f ca="1">'PPeGG anuais'!J20</f>
        <v>-7740.4706172975038</v>
      </c>
      <c r="F42" s="1835">
        <f ca="1">'PPeGG anuais'!M20</f>
        <v>-7699.445477489553</v>
      </c>
    </row>
    <row r="43" spans="1:6" ht="17.25" customHeight="1">
      <c r="A43" s="914" t="str">
        <f>CONCATENATE("Lucro Neto previsto ( ",Parametros!$H$11," )")</f>
        <v>Lucro Neto previsto ( € )</v>
      </c>
      <c r="B43" s="1834">
        <f ca="1">'PPeGG anuais'!B33</f>
        <v>-10109.874545454546</v>
      </c>
      <c r="C43" s="1834">
        <f ca="1">'PPeGG anuais'!D33</f>
        <v>-7882.6148181818189</v>
      </c>
      <c r="D43" s="1834">
        <f ca="1">'PPeGG anuais'!G33</f>
        <v>-7921.6485315000009</v>
      </c>
      <c r="E43" s="1834">
        <f ca="1">'PPeGG anuais'!J33</f>
        <v>-7915.4769656186982</v>
      </c>
      <c r="F43" s="1835">
        <f ca="1">'PPeGG anuais'!M33</f>
        <v>-7888.6903296170467</v>
      </c>
    </row>
    <row r="44" spans="1:6" ht="17.25" customHeight="1">
      <c r="A44" s="914" t="str">
        <f>CONCATENATE("Fluxos de caixa previstos ( ",Parametros!$H$11," )")</f>
        <v>Fluxos de caixa previstos ( € )</v>
      </c>
      <c r="B44" s="2710">
        <f ca="1">'Tesorería 0'!$C$40</f>
        <v>-9490.7601818181847</v>
      </c>
      <c r="C44" s="2710">
        <f ca="1">'Tesorería 1'!$C$40</f>
        <v>-7837.8536618181815</v>
      </c>
      <c r="D44" s="2710">
        <f ca="1">'Tesorería 2'!$C$40</f>
        <v>-7878.3454437000055</v>
      </c>
      <c r="E44" s="2710">
        <f ca="1">'Tesorería 3'!$C$40</f>
        <v>-7868.3598144620919</v>
      </c>
      <c r="F44" s="2711">
        <f ca="1">'Tesorería 4'!$C$40</f>
        <v>-7838.0998829735036</v>
      </c>
    </row>
    <row r="45" spans="1:6" ht="17.25" customHeight="1">
      <c r="A45" s="914" t="str">
        <f>CONCATENATE("Variação N.O.F. ( ",Parametros!$H$11," )")</f>
        <v>Variação N.O.F. ( € )</v>
      </c>
      <c r="B45" s="2710">
        <f ca="1">+'Balanços anuais'!F50-'Balanços anuais'!D50</f>
        <v>0</v>
      </c>
      <c r="C45" s="2710">
        <f ca="1">+'Balanços anuais'!H50-'Balanços anuais'!F50</f>
        <v>0</v>
      </c>
      <c r="D45" s="2710">
        <f ca="1">+'Balanços anuais'!J50-'Balanços anuais'!H50</f>
        <v>0</v>
      </c>
      <c r="E45" s="2710">
        <f ca="1">+'Balanços anuais'!L50-'Balanços anuais'!J50</f>
        <v>0</v>
      </c>
      <c r="F45" s="2711">
        <f ca="1">'Balanços anuais'!N50-'Balanços anuais'!L50</f>
        <v>0</v>
      </c>
    </row>
    <row r="46" spans="1:6" ht="17.25" customHeight="1">
      <c r="A46" s="914"/>
      <c r="B46" s="912"/>
      <c r="C46" s="912"/>
      <c r="D46" s="912"/>
      <c r="E46" s="912"/>
      <c r="F46" s="913"/>
    </row>
    <row r="47" spans="1:6" ht="17.25" customHeight="1">
      <c r="A47" s="914" t="s">
        <v>1055</v>
      </c>
      <c r="B47" s="1526">
        <f t="array" ref="B47:F47">'Ratios Básicos'!C32:G32</f>
        <v>1</v>
      </c>
      <c r="C47" s="1526">
        <v>1</v>
      </c>
      <c r="D47" s="1526">
        <v>1</v>
      </c>
      <c r="E47" s="1526">
        <v>1</v>
      </c>
      <c r="F47" s="1527">
        <v>1</v>
      </c>
    </row>
    <row r="48" spans="1:6" ht="17.25" customHeight="1">
      <c r="A48" s="914" t="s">
        <v>1054</v>
      </c>
      <c r="B48" s="1529">
        <f t="array" aca="1" ref="B48:F48" ca="1">'P. Equilíbrio'!D20:H20</f>
        <v>0.86</v>
      </c>
      <c r="C48" s="1529">
        <f ca="1"/>
        <v>0.86</v>
      </c>
      <c r="D48" s="1529">
        <f ca="1"/>
        <v>0.8600000000000001</v>
      </c>
      <c r="E48" s="1529">
        <f ca="1"/>
        <v>0.86</v>
      </c>
      <c r="F48" s="1530">
        <f ca="1"/>
        <v>0.85999999999999988</v>
      </c>
    </row>
    <row r="49" spans="1:6" ht="17.25" customHeight="1">
      <c r="A49" s="914" t="s">
        <v>113</v>
      </c>
      <c r="B49" s="1529">
        <f t="array" ref="B49:F49" ca="1">'Ratios Básicos'!C4:G4</f>
        <v>1.3003263893647159</v>
      </c>
      <c r="C49" s="1529">
        <f ca="1"/>
        <v>0.50344053475704398</v>
      </c>
      <c r="D49" s="1529">
        <f ca="1"/>
        <v>0.33596005785834893</v>
      </c>
      <c r="E49" s="1531">
        <f ca="1"/>
        <v>0.25132794925782842</v>
      </c>
      <c r="F49" s="1532">
        <f ca="1"/>
        <v>0.20030544139158651</v>
      </c>
    </row>
    <row r="50" spans="1:6" ht="17.25" customHeight="1">
      <c r="A50" s="914" t="s">
        <v>1172</v>
      </c>
      <c r="B50" s="1529">
        <f t="array" ref="B50:F50" ca="1">'Ratios Básicos'!C6:G6</f>
        <v>1.3869833619297485</v>
      </c>
      <c r="C50" s="1529">
        <f ca="1"/>
        <v>0.52109695637951092</v>
      </c>
      <c r="D50" s="1529">
        <f ca="1"/>
        <v>0.34434001440965606</v>
      </c>
      <c r="E50" s="1531">
        <f ca="1"/>
        <v>0.25638277522245012</v>
      </c>
      <c r="F50" s="1532">
        <f ca="1"/>
        <v>0.20378015617731698</v>
      </c>
    </row>
    <row r="51" spans="1:6" ht="17.25" customHeight="1" thickBot="1">
      <c r="A51" s="915" t="s">
        <v>1053</v>
      </c>
      <c r="B51" s="1533">
        <f t="array" ref="B51:F51" ca="1">'Ratios Básicos'!C34:G34</f>
        <v>0.38187442077165407</v>
      </c>
      <c r="C51" s="1533">
        <f ca="1"/>
        <v>0.57887041878026324</v>
      </c>
      <c r="D51" s="1533">
        <f ca="1"/>
        <v>0.59700987638494996</v>
      </c>
      <c r="E51" s="1533">
        <f ca="1"/>
        <v>0.6164084312395125</v>
      </c>
      <c r="F51" s="1534">
        <f ca="1"/>
        <v>0.63595840746394883</v>
      </c>
    </row>
    <row r="52" spans="1:6" ht="17.25" customHeight="1"/>
    <row r="53" spans="1:6">
      <c r="B53" s="2038" t="str">
        <f>IF(finTemporada-inicioTemporada&lt;11,"* Negocio de Temporada "&amp;finTemporada-inicioTemporada+1&amp;" meses de "&amp;Parametros!B15&amp;" a "&amp;Parametros!C15,"")</f>
        <v/>
      </c>
    </row>
    <row r="54" spans="1:6" ht="15.75">
      <c r="A54" s="2595" t="s">
        <v>1057</v>
      </c>
      <c r="B54" s="2595" t="s">
        <v>334</v>
      </c>
      <c r="C54" s="2595" t="s">
        <v>273</v>
      </c>
      <c r="D54" s="2595" t="s">
        <v>1058</v>
      </c>
      <c r="E54" s="2595" t="s">
        <v>335</v>
      </c>
      <c r="F54" s="2598" t="s">
        <v>1059</v>
      </c>
    </row>
    <row r="55" spans="1:6" ht="15.75">
      <c r="A55" s="2597" t="s">
        <v>19</v>
      </c>
      <c r="B55" s="2596">
        <v>0</v>
      </c>
      <c r="C55" s="2596">
        <v>0</v>
      </c>
      <c r="D55" s="2596">
        <v>0</v>
      </c>
      <c r="E55" s="2596">
        <v>0</v>
      </c>
      <c r="F55" s="2596">
        <f>+'Balanços anuais'!D26</f>
        <v>2335</v>
      </c>
    </row>
    <row r="56" spans="1:6" ht="15.75">
      <c r="A56" s="2730" t="str">
        <f t="array" ref="A56:A60">Parametros!B77:B81</f>
        <v>Ano 0:  2026</v>
      </c>
      <c r="B56" s="2596">
        <f ca="1">+B39</f>
        <v>7199.9999999999991</v>
      </c>
      <c r="C56" s="2596">
        <f ca="1">+B42</f>
        <v>-10022.754545454545</v>
      </c>
      <c r="D56" s="2596">
        <f ca="1">+B43</f>
        <v>-10109.874545454546</v>
      </c>
      <c r="E56" s="2596">
        <f ca="1">+B44</f>
        <v>-9490.7601818181847</v>
      </c>
      <c r="F56" s="2596">
        <f ca="1">+'Balanços anuais'!F26</f>
        <v>-7774.874545454546</v>
      </c>
    </row>
    <row r="57" spans="1:6" ht="15.75">
      <c r="A57" s="2730" t="str">
        <v>Ano 1:  2027</v>
      </c>
      <c r="B57" s="2596">
        <f ca="1">+C39</f>
        <v>12360</v>
      </c>
      <c r="C57" s="2596">
        <f ca="1">+C42</f>
        <v>-7733.0588181818148</v>
      </c>
      <c r="D57" s="2596">
        <f ca="1">+C43</f>
        <v>-7882.6148181818189</v>
      </c>
      <c r="E57" s="2596">
        <f ca="1">+C44</f>
        <v>-7837.8536618181815</v>
      </c>
      <c r="F57" s="2596">
        <f ca="1">+'Balanços anuais'!H26</f>
        <v>-15657.489363636365</v>
      </c>
    </row>
    <row r="58" spans="1:6" ht="15.75">
      <c r="A58" s="2730" t="str">
        <v>Ano 2:  2028</v>
      </c>
      <c r="B58" s="2596">
        <f ca="1">+D39</f>
        <v>13367.339999999998</v>
      </c>
      <c r="C58" s="2596">
        <f ca="1">+D42</f>
        <v>-7759.9037174999994</v>
      </c>
      <c r="D58" s="2596">
        <f ca="1">+D43</f>
        <v>-7921.6485315000009</v>
      </c>
      <c r="E58" s="2596">
        <f ca="1">+D44</f>
        <v>-7878.3454437000055</v>
      </c>
      <c r="F58" s="2596">
        <f ca="1">+'Balanços anuais'!J26</f>
        <v>-23579.137895136366</v>
      </c>
    </row>
    <row r="59" spans="1:6" ht="15.75">
      <c r="A59" s="2730" t="str">
        <v>Ano 3:  2029</v>
      </c>
      <c r="B59" s="2596">
        <f ca="1">+E39</f>
        <v>14463.334572</v>
      </c>
      <c r="C59" s="2596">
        <f ca="1">+E42</f>
        <v>-7740.4706172975038</v>
      </c>
      <c r="D59" s="2596">
        <f ca="1">+E43</f>
        <v>-7915.4769656186982</v>
      </c>
      <c r="E59" s="2596">
        <f ca="1">+E44</f>
        <v>-7868.3598144620919</v>
      </c>
      <c r="F59" s="2596">
        <f ca="1">+'Balanços anuais'!L26</f>
        <v>-31494.614860755064</v>
      </c>
    </row>
    <row r="60" spans="1:6" ht="15.75">
      <c r="A60" s="2730" t="str">
        <v>Ano 4:  2030</v>
      </c>
      <c r="B60" s="2596">
        <f ca="1">+F39</f>
        <v>15640.070423759998</v>
      </c>
      <c r="C60" s="2596">
        <f ca="1">+F42</f>
        <v>-7699.445477489553</v>
      </c>
      <c r="D60" s="2596">
        <f ca="1">+F43</f>
        <v>-7888.6903296170467</v>
      </c>
      <c r="E60" s="2596">
        <f ca="1">+F44</f>
        <v>-7838.0998829735036</v>
      </c>
      <c r="F60" s="2596">
        <f ca="1">+'Balanços anuais'!N26</f>
        <v>-39383.305190372113</v>
      </c>
    </row>
    <row r="61" spans="1:6">
      <c r="B61" s="2038"/>
    </row>
    <row r="62" spans="1:6">
      <c r="B62" s="2038"/>
    </row>
    <row r="63" spans="1:6">
      <c r="B63" s="2038"/>
    </row>
    <row r="64" spans="1:6">
      <c r="B64" s="2038"/>
    </row>
    <row r="65" spans="1:6">
      <c r="B65" s="2038"/>
    </row>
    <row r="66" spans="1:6">
      <c r="B66" s="2038"/>
    </row>
    <row r="67" spans="1:6">
      <c r="B67" s="2038"/>
    </row>
    <row r="68" spans="1:6">
      <c r="A68" s="753"/>
    </row>
    <row r="69" spans="1:6" ht="15.75" thickBot="1"/>
    <row r="70" spans="1:6" ht="18.75" thickBot="1">
      <c r="B70" s="916" t="s">
        <v>1051</v>
      </c>
      <c r="C70" s="63"/>
      <c r="D70" s="899"/>
      <c r="E70" s="2529"/>
    </row>
    <row r="71" spans="1:6" ht="15.75" thickBot="1">
      <c r="B71" s="1811" t="str">
        <f>Finançamento!D11</f>
        <v/>
      </c>
    </row>
    <row r="72" spans="1:6" ht="15.75" thickBot="1">
      <c r="B72" s="917" t="s">
        <v>42</v>
      </c>
      <c r="C72" s="63"/>
      <c r="D72" s="899"/>
    </row>
    <row r="73" spans="1:6">
      <c r="B73" s="372"/>
      <c r="C73" s="918" t="s">
        <v>44</v>
      </c>
      <c r="D73" s="919" t="s">
        <v>43</v>
      </c>
    </row>
    <row r="74" spans="1:6">
      <c r="B74" s="2727" t="str">
        <f t="array" ref="B74:B78">annivert</f>
        <v>Ano 0:  2026</v>
      </c>
      <c r="C74" s="2921" t="str">
        <f ca="1">IF('PPeGG anuais'!B29&gt;0,"Ok","Perdas ano 0")</f>
        <v>Perdas ano 0</v>
      </c>
      <c r="D74" s="900">
        <f ca="1">'P. Equilíbrio'!D31</f>
        <v>0.38187442077165407</v>
      </c>
      <c r="E74" s="1868" t="str">
        <f t="array" ref="E74:E78" ca="1">IF(D74:D78&lt;1,"Acrescentar as Vendas ou reduzir os Custos no Ano "&amp;B74:B78,"")</f>
        <v>Acrescentar as Vendas ou reduzir os Custos no Ano Ano 0:  2026</v>
      </c>
    </row>
    <row r="75" spans="1:6">
      <c r="B75" s="2727" t="str">
        <v>Ano 1:  2027</v>
      </c>
      <c r="C75" s="2921" t="str">
        <f ca="1">IF('PPeGG anuais'!D29&gt;0,"Ok","Perdas ano 1")</f>
        <v>Perdas ano 1</v>
      </c>
      <c r="D75" s="900">
        <f ca="1">'P. Equilíbrio'!E31</f>
        <v>0.57887041878026324</v>
      </c>
      <c r="E75" s="1868" t="str">
        <f ca="1"/>
        <v>Acrescentar as Vendas ou reduzir os Custos no Ano Ano 1:  2027</v>
      </c>
    </row>
    <row r="76" spans="1:6">
      <c r="B76" s="2727" t="str">
        <v>Ano 2:  2028</v>
      </c>
      <c r="C76" s="2921" t="str">
        <f ca="1">IF('PPeGG anuais'!G29&gt;0,"Ok","Perdas ano 2")</f>
        <v>Perdas ano 2</v>
      </c>
      <c r="D76" s="900">
        <f ca="1">'P. Equilíbrio'!F31</f>
        <v>0.59700987638494996</v>
      </c>
      <c r="E76" s="1868" t="str">
        <f ca="1"/>
        <v>Acrescentar as Vendas ou reduzir os Custos no Ano Ano 2:  2028</v>
      </c>
    </row>
    <row r="77" spans="1:6">
      <c r="B77" s="2727" t="str">
        <v>Ano 3:  2029</v>
      </c>
      <c r="C77" s="2921" t="str">
        <f ca="1">IF('PPeGG anuais'!J29&gt;0,"Ok","Perdas ano 3")</f>
        <v>Perdas ano 3</v>
      </c>
      <c r="D77" s="900">
        <f ca="1">'P. Equilíbrio'!G31</f>
        <v>0.6164084312395125</v>
      </c>
      <c r="E77" s="1868" t="str">
        <f ca="1"/>
        <v>Acrescentar as Vendas ou reduzir os Custos no Ano Ano 3:  2029</v>
      </c>
    </row>
    <row r="78" spans="1:6" ht="15.75" thickBot="1">
      <c r="B78" s="2728" t="str">
        <v>Ano 4:  2030</v>
      </c>
      <c r="C78" s="2922" t="str">
        <f ca="1">IF('PPeGG anuais'!M29&gt;0,"Ok","Perdas ano 4")</f>
        <v>Perdas ano 4</v>
      </c>
      <c r="D78" s="901">
        <f ca="1">'P. Equilíbrio'!H31</f>
        <v>0.63595840746394883</v>
      </c>
      <c r="E78" s="1868" t="str">
        <f ca="1"/>
        <v>Acrescentar as Vendas ou reduzir os Custos no Ano Ano 4:  2030</v>
      </c>
    </row>
    <row r="79" spans="1:6" ht="15.75" thickBot="1">
      <c r="C79" s="1868" t="str">
        <f>Parametros!E13</f>
        <v/>
      </c>
      <c r="F79" s="1868" t="str">
        <f>IF(C79="","","Cambiar meses de temporada en Hoja de Parámetros")</f>
        <v/>
      </c>
    </row>
    <row r="80" spans="1:6" ht="15.75" thickBot="1">
      <c r="B80" s="917" t="s">
        <v>1050</v>
      </c>
      <c r="C80" s="63"/>
      <c r="D80" s="899"/>
    </row>
    <row r="81" spans="2:5" ht="15.75" thickBot="1">
      <c r="B81" s="922"/>
      <c r="C81" s="918" t="s">
        <v>45</v>
      </c>
      <c r="D81" s="1148" t="s">
        <v>1052</v>
      </c>
      <c r="E81" s="1870" t="str">
        <f>Finançamento!D65</f>
        <v/>
      </c>
    </row>
    <row r="82" spans="2:5">
      <c r="B82" s="2729" t="s">
        <v>19</v>
      </c>
      <c r="C82" s="1366" t="str">
        <f ca="1">IF(D82&gt;0.4,"Ok",IF(D82&lt;-0.4,"Défice","Ok"))</f>
        <v>Ok</v>
      </c>
      <c r="D82" s="1866">
        <f ca="1">MIN('Tesorería 0'!B35,0)</f>
        <v>0</v>
      </c>
    </row>
    <row r="83" spans="2:5">
      <c r="B83" s="2727" t="str">
        <f t="array" ref="B83:B87">annivert</f>
        <v>Ano 0:  2026</v>
      </c>
      <c r="C83" s="920" t="str">
        <f ca="1">IF('Tesorería 0'!$C$39=0,"Ok","Défice")</f>
        <v>Défice</v>
      </c>
      <c r="D83" s="1368">
        <f ca="1">-'Tesorería 0'!$C$39</f>
        <v>-7289.1101818181842</v>
      </c>
      <c r="E83" s="1868" t="str">
        <f t="array" ref="E83:E87" ca="1">IF(D83:D87&lt;0,"Acrescentar financiamento Ano "&amp;B83:B87,"")</f>
        <v>Acrescentar financiamento Ano Ano 0:  2026</v>
      </c>
    </row>
    <row r="84" spans="2:5">
      <c r="B84" s="2727" t="str">
        <v>Ano 1:  2027</v>
      </c>
      <c r="C84" s="920" t="str">
        <f ca="1">IF('Tesorería 1'!$C$39=0,"Ok","Défice")</f>
        <v>Défice</v>
      </c>
      <c r="D84" s="1368">
        <f ca="1">-'Tesorería 1'!$C$39</f>
        <v>-15126.963843636366</v>
      </c>
      <c r="E84" s="1868" t="str">
        <f ca="1"/>
        <v>Acrescentar financiamento Ano Ano 1:  2027</v>
      </c>
    </row>
    <row r="85" spans="2:5">
      <c r="B85" s="2727" t="str">
        <v>Ano 2:  2028</v>
      </c>
      <c r="C85" s="920" t="str">
        <f ca="1">IF('Tesorería 2'!$C$39=0,"Ok","Défice")</f>
        <v>Défice</v>
      </c>
      <c r="D85" s="1368">
        <f ca="1">-'Tesorería 2'!$C$39</f>
        <v>-23005.309287336371</v>
      </c>
      <c r="E85" s="1868" t="str">
        <f ca="1"/>
        <v>Acrescentar financiamento Ano Ano 2:  2028</v>
      </c>
    </row>
    <row r="86" spans="2:5">
      <c r="B86" s="2727" t="str">
        <v>Ano 3:  2029</v>
      </c>
      <c r="C86" s="920" t="str">
        <f ca="1">IF('Tesorería 3'!$C$39=0,"Ok","Défice")</f>
        <v>Défice</v>
      </c>
      <c r="D86" s="1368">
        <f ca="1">-'Tesorería 3'!$C$39</f>
        <v>-30873.669101798463</v>
      </c>
      <c r="E86" s="1868" t="str">
        <f ca="1"/>
        <v>Acrescentar financiamento Ano Ano 3:  2029</v>
      </c>
    </row>
    <row r="87" spans="2:5" ht="15.75" thickBot="1">
      <c r="B87" s="2728" t="str">
        <v>Ano 4:  2030</v>
      </c>
      <c r="C87" s="921" t="str">
        <f ca="1">IF('Tesorería 4'!$C$39=0,"Ok","Défice")</f>
        <v>Défice</v>
      </c>
      <c r="D87" s="1369">
        <f ca="1">-'Tesorería 4'!$C$39</f>
        <v>-38711.768984771967</v>
      </c>
      <c r="E87" s="1868" t="str">
        <f ca="1"/>
        <v>Acrescentar financiamento Ano Ano 4:  2030</v>
      </c>
    </row>
    <row r="88" spans="2:5" ht="15.75" thickBot="1"/>
    <row r="89" spans="2:5" ht="15.75" thickBot="1">
      <c r="B89" s="917" t="s">
        <v>1049</v>
      </c>
      <c r="C89" s="63"/>
      <c r="D89" s="899"/>
    </row>
    <row r="90" spans="2:5" ht="15.75" thickBot="1">
      <c r="B90" s="372"/>
      <c r="C90" s="918" t="s">
        <v>1048</v>
      </c>
      <c r="D90" s="919" t="s">
        <v>1047</v>
      </c>
    </row>
    <row r="91" spans="2:5">
      <c r="B91" s="2729" t="str">
        <f>B82</f>
        <v>Inicial</v>
      </c>
      <c r="C91" s="923" t="str">
        <f ca="1">IF('Balanços anuais'!D53="","Ok",'Balanços anuais'!D53)</f>
        <v>Ok</v>
      </c>
      <c r="D91" s="924" t="str">
        <f>IF('Balanços anuais'!$D$48&lt;0,'Balanços anuais'!$D$48,"Ok")</f>
        <v>Ok</v>
      </c>
      <c r="E91" s="1868" t="str">
        <f t="array" ref="E91:E96">IF(D91:D96&lt;0,"Acrescentar os Recursos Próprios ou a Dívida LP no Ano "&amp;B91:B96,"")</f>
        <v/>
      </c>
    </row>
    <row r="92" spans="2:5">
      <c r="B92" s="2727" t="str">
        <f t="array" ref="B92:B96">annivert</f>
        <v>Ano 0:  2026</v>
      </c>
      <c r="C92" s="920" t="str">
        <f ca="1">IF('Balanços anuais'!F53="","Ok",'Balanços anuais'!F53)</f>
        <v>Ok</v>
      </c>
      <c r="D92" s="925">
        <f ca="1">IF('Balanços anuais'!$F$48&lt;0,'Balanços anuais'!$F$48,"Ok")</f>
        <v>-7774.874545454546</v>
      </c>
      <c r="E92" s="1868" t="str">
        <f ca="1"/>
        <v>Acrescentar os Recursos Próprios ou a Dívida LP no Ano Ano 0:  2026</v>
      </c>
    </row>
    <row r="93" spans="2:5">
      <c r="B93" s="2727" t="str">
        <v>Ano 1:  2027</v>
      </c>
      <c r="C93" s="920" t="str">
        <f ca="1">IF('Balanços anuais'!H53="","Ok",'Balanços anuais'!H53)</f>
        <v>Ok</v>
      </c>
      <c r="D93" s="925">
        <f ca="1">IF('Balanços anuais'!$H$48&lt;0,'Balanços anuais'!$H$48,"Ok")</f>
        <v>-15657.489363636365</v>
      </c>
      <c r="E93" s="1868" t="str">
        <f ca="1"/>
        <v>Acrescentar os Recursos Próprios ou a Dívida LP no Ano Ano 1:  2027</v>
      </c>
    </row>
    <row r="94" spans="2:5">
      <c r="B94" s="2727" t="str">
        <v>Ano 2:  2028</v>
      </c>
      <c r="C94" s="920" t="str">
        <f ca="1">IF('Balanços anuais'!J53="","Ok",'Balanços anuais'!J53)</f>
        <v>Ok</v>
      </c>
      <c r="D94" s="925">
        <f ca="1">IF('Balanços anuais'!$J$48&lt;0,'Balanços anuais'!$J$48,"Ok")</f>
        <v>-23579.137895136366</v>
      </c>
      <c r="E94" s="1868" t="str">
        <f ca="1"/>
        <v>Acrescentar os Recursos Próprios ou a Dívida LP no Ano Ano 2:  2028</v>
      </c>
    </row>
    <row r="95" spans="2:5">
      <c r="B95" s="2727" t="str">
        <v>Ano 3:  2029</v>
      </c>
      <c r="C95" s="920" t="str">
        <f ca="1">IF('Balanços anuais'!L53="","Ok",'Balanços anuais'!L53)</f>
        <v>Ok</v>
      </c>
      <c r="D95" s="925">
        <f ca="1">IF('Balanços anuais'!$L$48&lt;0,'Balanços anuais'!$L$48,"Ok")</f>
        <v>-31494.614860755064</v>
      </c>
      <c r="E95" s="1868" t="str">
        <f ca="1"/>
        <v>Acrescentar os Recursos Próprios ou a Dívida LP no Ano Ano 3:  2029</v>
      </c>
    </row>
    <row r="96" spans="2:5" ht="15.75" thickBot="1">
      <c r="B96" s="2728" t="str">
        <v>Ano 4:  2030</v>
      </c>
      <c r="C96" s="921" t="str">
        <f ca="1">IF('Balanços anuais'!N53="","Ok",'Balanços anuais'!N53)</f>
        <v>Ok</v>
      </c>
      <c r="D96" s="1367">
        <f ca="1">IF('Balanços anuais'!$N$48&lt;0,'Balanços anuais'!$N$48,"Ok")</f>
        <v>-39383.305190372113</v>
      </c>
      <c r="E96" s="1868" t="str">
        <f ca="1"/>
        <v>Acrescentar os Recursos Próprios ou a Dívida LP no Ano Ano 4:  2030</v>
      </c>
    </row>
  </sheetData>
  <sheetProtection sheet="1" objects="1" scenarios="1"/>
  <phoneticPr fontId="4" type="noConversion"/>
  <conditionalFormatting sqref="C74:C78 C82:C87 C91:D96">
    <cfRule type="cellIs" dxfId="0" priority="1" stopIfTrue="1" operator="equal">
      <formula>"OK"</formula>
    </cfRule>
  </conditionalFormatting>
  <printOptions horizontalCentered="1"/>
  <pageMargins left="0.55118110236220474" right="0.75" top="0.98" bottom="0.51" header="0" footer="0.37"/>
  <pageSetup paperSize="9" scale="68" orientation="portrait" horizontalDpi="4294967292" r:id="rId1"/>
  <headerFooter alignWithMargins="0"/>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9" tint="-0.249977111117893"/>
  </sheetPr>
  <dimension ref="A2:J146"/>
  <sheetViews>
    <sheetView workbookViewId="0"/>
  </sheetViews>
  <sheetFormatPr baseColWidth="10" defaultRowHeight="15.75"/>
  <cols>
    <col min="1" max="1" width="30.25" customWidth="1"/>
    <col min="2" max="2" width="11.875" customWidth="1"/>
    <col min="3" max="10" width="10.25" customWidth="1"/>
  </cols>
  <sheetData>
    <row r="2" spans="1:10">
      <c r="A2" s="2818" t="s">
        <v>339</v>
      </c>
    </row>
    <row r="7" spans="1:10">
      <c r="A7" s="2792" t="s">
        <v>1147</v>
      </c>
      <c r="B7" s="2793"/>
      <c r="C7" s="2793"/>
      <c r="D7" s="2793"/>
      <c r="E7" s="2793"/>
      <c r="F7" s="2793"/>
      <c r="G7" s="2793"/>
      <c r="H7" s="2793"/>
      <c r="I7" s="2793"/>
      <c r="J7" s="2793"/>
    </row>
    <row r="8" spans="1:10" ht="16.5" thickBot="1"/>
    <row r="9" spans="1:10">
      <c r="A9" s="2770" t="s">
        <v>1148</v>
      </c>
      <c r="B9" s="2093" t="str">
        <f>Parametros!B77</f>
        <v>Ano 0:  2026</v>
      </c>
      <c r="C9" s="2093" t="str">
        <f>Parametros!C77</f>
        <v>Ano 1:  2027</v>
      </c>
      <c r="D9" s="2094"/>
      <c r="E9" s="2095" t="str">
        <f>Parametros!D77</f>
        <v>Ano 2:  2028</v>
      </c>
      <c r="F9" s="2096"/>
      <c r="G9" s="2093" t="str">
        <f>Parametros!E77</f>
        <v>Ano 3:  2029</v>
      </c>
      <c r="H9" s="2094"/>
      <c r="I9" s="2095" t="str">
        <f>Parametros!F77</f>
        <v>Ano 4:  2030</v>
      </c>
      <c r="J9" s="2097"/>
    </row>
    <row r="10" spans="1:10" ht="16.5" thickBot="1">
      <c r="A10" s="2098" t="s">
        <v>110</v>
      </c>
      <c r="B10" s="955" t="s">
        <v>627</v>
      </c>
      <c r="C10" s="956" t="s">
        <v>627</v>
      </c>
      <c r="D10" s="957" t="s">
        <v>71</v>
      </c>
      <c r="E10" s="958" t="s">
        <v>627</v>
      </c>
      <c r="F10" s="959" t="s">
        <v>71</v>
      </c>
      <c r="G10" s="956" t="s">
        <v>627</v>
      </c>
      <c r="H10" s="957" t="s">
        <v>71</v>
      </c>
      <c r="I10" s="958" t="s">
        <v>627</v>
      </c>
      <c r="J10" s="2099" t="s">
        <v>71</v>
      </c>
    </row>
    <row r="11" spans="1:10">
      <c r="A11" s="2771" t="str">
        <f t="array" ref="A11:A18">productos</f>
        <v>produto 1</v>
      </c>
      <c r="B11" s="2772">
        <f t="array" aca="1" ref="B11:B18" ca="1">'Prev.Vendas 0'!$N5:$N12</f>
        <v>7199.9999999999991</v>
      </c>
      <c r="C11" s="2772">
        <f t="array" aca="1" ref="C11:C18" ca="1">'Prev.Vendas 1'!$N5:$N12</f>
        <v>12000</v>
      </c>
      <c r="D11" s="2773">
        <f t="array" aca="1" ref="D11:D18" ca="1">IF(B11:B18=0,"",(C11:C18-B11:B18)/B11:B18)</f>
        <v>0.66666666666666685</v>
      </c>
      <c r="E11" s="2774">
        <f t="array" aca="1" ref="E11:E18" ca="1">'Prev.Vendas 2'!$N5:$N12</f>
        <v>12600</v>
      </c>
      <c r="F11" s="2773">
        <f t="array" aca="1" ref="F11:F18" ca="1">IF(C11:C18=0,"",(E11:E18-C11:C18)/C11:C18)</f>
        <v>0.05</v>
      </c>
      <c r="G11" s="2772">
        <f t="array" aca="1" ref="G11:G18" ca="1">'Prev.Vendas 3'!$N5:$N12</f>
        <v>13236</v>
      </c>
      <c r="H11" s="2773">
        <f t="array" aca="1" ref="H11:H18" ca="1">IF(E11:E18=0,"",(G11:G18-E11:E18)/E11:E18)</f>
        <v>5.0476190476190473E-2</v>
      </c>
      <c r="I11" s="2775">
        <f t="array" aca="1" ref="I11:I18" ca="1">'Prev.Vendas 4'!$N5:$N12</f>
        <v>13896</v>
      </c>
      <c r="J11" s="2773">
        <f t="array" aca="1" ref="J11:J18" ca="1">IF(G11:G18=0,"",(I11:I18-G11:G18)/G11:G18)</f>
        <v>4.9864007252946513E-2</v>
      </c>
    </row>
    <row r="12" spans="1:10">
      <c r="A12" s="428" t="str">
        <v/>
      </c>
      <c r="B12" s="2776">
        <f ca="1"/>
        <v>0</v>
      </c>
      <c r="C12" s="2776">
        <f ca="1"/>
        <v>0</v>
      </c>
      <c r="D12" s="2777" t="str">
        <f ca="1"/>
        <v/>
      </c>
      <c r="E12" s="2778">
        <f ca="1"/>
        <v>0</v>
      </c>
      <c r="F12" s="2777" t="str">
        <f ca="1"/>
        <v/>
      </c>
      <c r="G12" s="2776">
        <f ca="1"/>
        <v>0</v>
      </c>
      <c r="H12" s="2777" t="str">
        <f ca="1"/>
        <v/>
      </c>
      <c r="I12" s="2779">
        <f ca="1"/>
        <v>0</v>
      </c>
      <c r="J12" s="2777" t="str">
        <f ca="1"/>
        <v/>
      </c>
    </row>
    <row r="13" spans="1:10">
      <c r="A13" s="428" t="str">
        <v/>
      </c>
      <c r="B13" s="2776">
        <f ca="1"/>
        <v>0</v>
      </c>
      <c r="C13" s="2776">
        <f ca="1"/>
        <v>0</v>
      </c>
      <c r="D13" s="2777" t="str">
        <f ca="1"/>
        <v/>
      </c>
      <c r="E13" s="2778">
        <f ca="1"/>
        <v>0</v>
      </c>
      <c r="F13" s="2777" t="str">
        <f ca="1"/>
        <v/>
      </c>
      <c r="G13" s="2776">
        <f ca="1"/>
        <v>0</v>
      </c>
      <c r="H13" s="2777" t="str">
        <f ca="1"/>
        <v/>
      </c>
      <c r="I13" s="2779">
        <f ca="1"/>
        <v>0</v>
      </c>
      <c r="J13" s="2777" t="str">
        <f ca="1"/>
        <v/>
      </c>
    </row>
    <row r="14" spans="1:10">
      <c r="A14" s="428" t="str">
        <v/>
      </c>
      <c r="B14" s="2776">
        <f ca="1"/>
        <v>0</v>
      </c>
      <c r="C14" s="2776">
        <f ca="1"/>
        <v>0</v>
      </c>
      <c r="D14" s="2777" t="str">
        <f ca="1"/>
        <v/>
      </c>
      <c r="E14" s="2778">
        <f ca="1"/>
        <v>0</v>
      </c>
      <c r="F14" s="2777" t="str">
        <f ca="1"/>
        <v/>
      </c>
      <c r="G14" s="2776">
        <f ca="1"/>
        <v>0</v>
      </c>
      <c r="H14" s="2777" t="str">
        <f ca="1"/>
        <v/>
      </c>
      <c r="I14" s="2779">
        <f ca="1"/>
        <v>0</v>
      </c>
      <c r="J14" s="2777" t="str">
        <f ca="1"/>
        <v/>
      </c>
    </row>
    <row r="15" spans="1:10">
      <c r="A15" s="428" t="str">
        <v/>
      </c>
      <c r="B15" s="2776">
        <f ca="1"/>
        <v>0</v>
      </c>
      <c r="C15" s="2776">
        <f ca="1"/>
        <v>0</v>
      </c>
      <c r="D15" s="2777" t="str">
        <f ca="1"/>
        <v/>
      </c>
      <c r="E15" s="2778">
        <f ca="1"/>
        <v>0</v>
      </c>
      <c r="F15" s="2777" t="str">
        <f ca="1"/>
        <v/>
      </c>
      <c r="G15" s="2776">
        <f ca="1"/>
        <v>0</v>
      </c>
      <c r="H15" s="2777" t="str">
        <f ca="1"/>
        <v/>
      </c>
      <c r="I15" s="2779">
        <f ca="1"/>
        <v>0</v>
      </c>
      <c r="J15" s="2777" t="str">
        <f ca="1"/>
        <v/>
      </c>
    </row>
    <row r="16" spans="1:10">
      <c r="A16" s="428" t="str">
        <v/>
      </c>
      <c r="B16" s="2776">
        <f ca="1"/>
        <v>0</v>
      </c>
      <c r="C16" s="2776">
        <f ca="1"/>
        <v>0</v>
      </c>
      <c r="D16" s="2777" t="str">
        <f ca="1"/>
        <v/>
      </c>
      <c r="E16" s="2778">
        <f ca="1"/>
        <v>0</v>
      </c>
      <c r="F16" s="2777" t="str">
        <f ca="1"/>
        <v/>
      </c>
      <c r="G16" s="2776">
        <f ca="1"/>
        <v>0</v>
      </c>
      <c r="H16" s="2777" t="str">
        <f ca="1"/>
        <v/>
      </c>
      <c r="I16" s="2779">
        <f ca="1"/>
        <v>0</v>
      </c>
      <c r="J16" s="2777" t="str">
        <f ca="1"/>
        <v/>
      </c>
    </row>
    <row r="17" spans="1:10">
      <c r="A17" s="428" t="str">
        <v/>
      </c>
      <c r="B17" s="2776">
        <f ca="1"/>
        <v>0</v>
      </c>
      <c r="C17" s="2776">
        <f ca="1"/>
        <v>0</v>
      </c>
      <c r="D17" s="2777" t="str">
        <f ca="1"/>
        <v/>
      </c>
      <c r="E17" s="2778">
        <f ca="1"/>
        <v>0</v>
      </c>
      <c r="F17" s="2777" t="str">
        <f ca="1"/>
        <v/>
      </c>
      <c r="G17" s="2776">
        <f ca="1"/>
        <v>0</v>
      </c>
      <c r="H17" s="2777" t="str">
        <f ca="1"/>
        <v/>
      </c>
      <c r="I17" s="2779">
        <f ca="1"/>
        <v>0</v>
      </c>
      <c r="J17" s="2777" t="str">
        <f ca="1"/>
        <v/>
      </c>
    </row>
    <row r="18" spans="1:10" ht="16.5" thickBot="1">
      <c r="A18" s="2780" t="str">
        <v/>
      </c>
      <c r="B18" s="2781">
        <f ca="1"/>
        <v>0</v>
      </c>
      <c r="C18" s="2781">
        <f ca="1"/>
        <v>0</v>
      </c>
      <c r="D18" s="2782" t="str">
        <f ca="1"/>
        <v/>
      </c>
      <c r="E18" s="2783">
        <f ca="1"/>
        <v>0</v>
      </c>
      <c r="F18" s="2782" t="str">
        <f ca="1"/>
        <v/>
      </c>
      <c r="G18" s="2781">
        <f ca="1"/>
        <v>0</v>
      </c>
      <c r="H18" s="2782" t="str">
        <f ca="1"/>
        <v/>
      </c>
      <c r="I18" s="2784">
        <f ca="1"/>
        <v>0</v>
      </c>
      <c r="J18" s="2782" t="str">
        <f ca="1"/>
        <v/>
      </c>
    </row>
    <row r="21" spans="1:10" ht="16.5" thickBot="1"/>
    <row r="22" spans="1:10">
      <c r="A22" s="407" t="s">
        <v>1149</v>
      </c>
      <c r="B22" s="2794" t="str">
        <f>B$9</f>
        <v>Ano 0:  2026</v>
      </c>
      <c r="C22" s="2794" t="str">
        <f>C$9</f>
        <v>Ano 1:  2027</v>
      </c>
      <c r="D22" s="2795"/>
      <c r="E22" s="2796" t="str">
        <f>E$9</f>
        <v>Ano 2:  2028</v>
      </c>
      <c r="F22" s="2797"/>
      <c r="G22" s="2794" t="str">
        <f>G$9</f>
        <v>Ano 3:  2029</v>
      </c>
      <c r="H22" s="2795"/>
      <c r="I22" s="2796" t="str">
        <f>I$9</f>
        <v>Ano 4:  2030</v>
      </c>
      <c r="J22" s="2798"/>
    </row>
    <row r="23" spans="1:10" ht="16.5" thickBot="1">
      <c r="A23" s="2103" t="str">
        <f>"( "&amp;Moneda&amp;" )"</f>
        <v>( Euros )</v>
      </c>
      <c r="B23" s="955" t="s">
        <v>627</v>
      </c>
      <c r="C23" s="956" t="s">
        <v>627</v>
      </c>
      <c r="D23" s="957" t="s">
        <v>71</v>
      </c>
      <c r="E23" s="958" t="s">
        <v>627</v>
      </c>
      <c r="F23" s="959" t="s">
        <v>71</v>
      </c>
      <c r="G23" s="956" t="s">
        <v>627</v>
      </c>
      <c r="H23" s="957" t="s">
        <v>71</v>
      </c>
      <c r="I23" s="958" t="s">
        <v>627</v>
      </c>
      <c r="J23" s="2099" t="s">
        <v>71</v>
      </c>
    </row>
    <row r="24" spans="1:10">
      <c r="A24" s="2771" t="str">
        <f t="array" ref="A24:A31">productos</f>
        <v>produto 1</v>
      </c>
      <c r="B24" s="2785">
        <f t="array" aca="1" ref="B24:B31" ca="1">'Prev.Vendas 0'!$N17:$N24</f>
        <v>7199.9999999999991</v>
      </c>
      <c r="C24" s="2772">
        <f t="array" aca="1" ref="C24:C31" ca="1">'Prev.Vendas 1'!$N17:$N24</f>
        <v>12360</v>
      </c>
      <c r="D24" s="2773">
        <f t="array" aca="1" ref="D24:D32" ca="1">IF(B24:B32=0,"",(C24:C32-B24:B32)/B24:B32)</f>
        <v>0.7166666666666669</v>
      </c>
      <c r="E24" s="2774">
        <f t="array" aca="1" ref="E24:E31" ca="1">'Prev.Vendas 2'!$N17:$N24</f>
        <v>13367.339999999998</v>
      </c>
      <c r="F24" s="2773">
        <f t="array" aca="1" ref="F24:F32" ca="1">IF(C24:C32=0,"",(E24:E32-C24:C32)/C24:C32)</f>
        <v>8.1499999999999864E-2</v>
      </c>
      <c r="G24" s="2772">
        <f t="array" aca="1" ref="G24:G31" ca="1">'Prev.Vendas 3'!$N17:$N24</f>
        <v>14463.334572</v>
      </c>
      <c r="H24" s="2773">
        <f t="array" aca="1" ref="H24:H32" ca="1">IF(E24:E32=0,"",(G24:G32-E24:E32)/E24:E32)</f>
        <v>8.1990476190476308E-2</v>
      </c>
      <c r="I24" s="2775">
        <f t="array" aca="1" ref="I24:I31" ca="1">'Prev.Vendas 4'!$N17:$N24</f>
        <v>15640.070423759998</v>
      </c>
      <c r="J24" s="2773">
        <f t="array" aca="1" ref="J24:J32" ca="1">IF(G24:G32=0,"",(I24:I32-G24:G32)/G24:G32)</f>
        <v>8.1359927470534818E-2</v>
      </c>
    </row>
    <row r="25" spans="1:10">
      <c r="A25" s="428" t="str">
        <v/>
      </c>
      <c r="B25" s="2786">
        <f ca="1"/>
        <v>0</v>
      </c>
      <c r="C25" s="2776">
        <f ca="1"/>
        <v>0</v>
      </c>
      <c r="D25" s="2777" t="str">
        <f ca="1"/>
        <v/>
      </c>
      <c r="E25" s="2778">
        <f ca="1"/>
        <v>0</v>
      </c>
      <c r="F25" s="2777" t="str">
        <f ca="1"/>
        <v/>
      </c>
      <c r="G25" s="2776">
        <f ca="1"/>
        <v>0</v>
      </c>
      <c r="H25" s="2777" t="str">
        <f ca="1"/>
        <v/>
      </c>
      <c r="I25" s="2779">
        <f ca="1"/>
        <v>0</v>
      </c>
      <c r="J25" s="2777" t="str">
        <f ca="1"/>
        <v/>
      </c>
    </row>
    <row r="26" spans="1:10">
      <c r="A26" s="428" t="str">
        <v/>
      </c>
      <c r="B26" s="2786">
        <f ca="1"/>
        <v>0</v>
      </c>
      <c r="C26" s="2776">
        <f ca="1"/>
        <v>0</v>
      </c>
      <c r="D26" s="2777" t="str">
        <f ca="1"/>
        <v/>
      </c>
      <c r="E26" s="2778">
        <f ca="1"/>
        <v>0</v>
      </c>
      <c r="F26" s="2777" t="str">
        <f ca="1"/>
        <v/>
      </c>
      <c r="G26" s="2776">
        <f ca="1"/>
        <v>0</v>
      </c>
      <c r="H26" s="2777" t="str">
        <f ca="1"/>
        <v/>
      </c>
      <c r="I26" s="2779">
        <f ca="1"/>
        <v>0</v>
      </c>
      <c r="J26" s="2777" t="str">
        <f ca="1"/>
        <v/>
      </c>
    </row>
    <row r="27" spans="1:10">
      <c r="A27" s="428" t="str">
        <v/>
      </c>
      <c r="B27" s="2786">
        <f ca="1"/>
        <v>0</v>
      </c>
      <c r="C27" s="2776">
        <f ca="1"/>
        <v>0</v>
      </c>
      <c r="D27" s="2777" t="str">
        <f ca="1"/>
        <v/>
      </c>
      <c r="E27" s="2778">
        <f ca="1"/>
        <v>0</v>
      </c>
      <c r="F27" s="2777" t="str">
        <f ca="1"/>
        <v/>
      </c>
      <c r="G27" s="2776">
        <f ca="1"/>
        <v>0</v>
      </c>
      <c r="H27" s="2777" t="str">
        <f ca="1"/>
        <v/>
      </c>
      <c r="I27" s="2779">
        <f ca="1"/>
        <v>0</v>
      </c>
      <c r="J27" s="2777" t="str">
        <f ca="1"/>
        <v/>
      </c>
    </row>
    <row r="28" spans="1:10">
      <c r="A28" s="428" t="str">
        <v/>
      </c>
      <c r="B28" s="2786">
        <f ca="1"/>
        <v>0</v>
      </c>
      <c r="C28" s="2776">
        <f ca="1"/>
        <v>0</v>
      </c>
      <c r="D28" s="2777" t="str">
        <f ca="1"/>
        <v/>
      </c>
      <c r="E28" s="2778">
        <f ca="1"/>
        <v>0</v>
      </c>
      <c r="F28" s="2777" t="str">
        <f ca="1"/>
        <v/>
      </c>
      <c r="G28" s="2776">
        <f ca="1"/>
        <v>0</v>
      </c>
      <c r="H28" s="2777" t="str">
        <f ca="1"/>
        <v/>
      </c>
      <c r="I28" s="2779">
        <f ca="1"/>
        <v>0</v>
      </c>
      <c r="J28" s="2777" t="str">
        <f ca="1"/>
        <v/>
      </c>
    </row>
    <row r="29" spans="1:10">
      <c r="A29" s="428" t="str">
        <v/>
      </c>
      <c r="B29" s="2786">
        <f ca="1"/>
        <v>0</v>
      </c>
      <c r="C29" s="2776">
        <f ca="1"/>
        <v>0</v>
      </c>
      <c r="D29" s="2777" t="str">
        <f ca="1"/>
        <v/>
      </c>
      <c r="E29" s="2778">
        <f ca="1"/>
        <v>0</v>
      </c>
      <c r="F29" s="2777" t="str">
        <f ca="1"/>
        <v/>
      </c>
      <c r="G29" s="2776">
        <f ca="1"/>
        <v>0</v>
      </c>
      <c r="H29" s="2777" t="str">
        <f ca="1"/>
        <v/>
      </c>
      <c r="I29" s="2779">
        <f ca="1"/>
        <v>0</v>
      </c>
      <c r="J29" s="2777" t="str">
        <f ca="1"/>
        <v/>
      </c>
    </row>
    <row r="30" spans="1:10">
      <c r="A30" s="428" t="str">
        <v/>
      </c>
      <c r="B30" s="2786">
        <f ca="1"/>
        <v>0</v>
      </c>
      <c r="C30" s="2776">
        <f ca="1"/>
        <v>0</v>
      </c>
      <c r="D30" s="2777" t="str">
        <f ca="1"/>
        <v/>
      </c>
      <c r="E30" s="2778">
        <f ca="1"/>
        <v>0</v>
      </c>
      <c r="F30" s="2777" t="str">
        <f ca="1"/>
        <v/>
      </c>
      <c r="G30" s="2776">
        <f ca="1"/>
        <v>0</v>
      </c>
      <c r="H30" s="2777" t="str">
        <f ca="1"/>
        <v/>
      </c>
      <c r="I30" s="2779">
        <f ca="1"/>
        <v>0</v>
      </c>
      <c r="J30" s="2777" t="str">
        <f ca="1"/>
        <v/>
      </c>
    </row>
    <row r="31" spans="1:10" ht="16.5" thickBot="1">
      <c r="A31" s="2787" t="str">
        <v/>
      </c>
      <c r="B31" s="2788">
        <f ca="1"/>
        <v>0</v>
      </c>
      <c r="C31" s="2789">
        <f ca="1"/>
        <v>0</v>
      </c>
      <c r="D31" s="2782" t="str">
        <f ca="1"/>
        <v/>
      </c>
      <c r="E31" s="2790">
        <f ca="1"/>
        <v>0</v>
      </c>
      <c r="F31" s="2782" t="str">
        <f ca="1"/>
        <v/>
      </c>
      <c r="G31" s="2789">
        <f ca="1"/>
        <v>0</v>
      </c>
      <c r="H31" s="2782" t="str">
        <f ca="1"/>
        <v/>
      </c>
      <c r="I31" s="2791">
        <f ca="1"/>
        <v>0</v>
      </c>
      <c r="J31" s="2782" t="str">
        <f ca="1"/>
        <v/>
      </c>
    </row>
    <row r="32" spans="1:10" ht="16.5" thickBot="1">
      <c r="A32" s="2110" t="s">
        <v>612</v>
      </c>
      <c r="B32" s="2104">
        <f ca="1">B24+B25+B26+B27+B28+B29+B30+B31</f>
        <v>7199.9999999999991</v>
      </c>
      <c r="C32" s="2105">
        <f ca="1">C24+C25+C26+C27+C28+C29+C30+C31</f>
        <v>12360</v>
      </c>
      <c r="D32" s="2106">
        <f ca="1"/>
        <v>0.7166666666666669</v>
      </c>
      <c r="E32" s="2107">
        <f ca="1">E24+E25+E26+E27+E28+E29+E30+E31</f>
        <v>13367.339999999998</v>
      </c>
      <c r="F32" s="2108">
        <f ca="1"/>
        <v>8.1499999999999864E-2</v>
      </c>
      <c r="G32" s="2105">
        <f ca="1">G24+G25+G26+G27+G28+G29+G30+G31</f>
        <v>14463.334572</v>
      </c>
      <c r="H32" s="2106">
        <f ca="1"/>
        <v>8.1990476190476308E-2</v>
      </c>
      <c r="I32" s="2109">
        <f ca="1">I24+I25+I26+I27+I28+I29+I30+I31</f>
        <v>15640.070423759998</v>
      </c>
      <c r="J32" s="2106">
        <f ca="1"/>
        <v>8.1359927470534818E-2</v>
      </c>
    </row>
    <row r="35" spans="1:10">
      <c r="A35" s="2792" t="s">
        <v>1150</v>
      </c>
      <c r="B35" s="2793"/>
      <c r="C35" s="2793"/>
      <c r="D35" s="2793"/>
      <c r="E35" s="2793"/>
      <c r="F35" s="2793"/>
      <c r="G35" s="2793"/>
      <c r="H35" s="2793"/>
      <c r="I35" s="2793"/>
      <c r="J35" s="2793"/>
    </row>
    <row r="36" spans="1:10" ht="16.5" thickBot="1"/>
    <row r="37" spans="1:10" ht="30">
      <c r="A37" s="2128" t="s">
        <v>1168</v>
      </c>
      <c r="B37" s="2126" t="str">
        <f t="array" ref="B37:F37">anni</f>
        <v>Ano 0:  2026</v>
      </c>
      <c r="C37" s="2126" t="str">
        <v>Ano 1:  2027</v>
      </c>
      <c r="D37" s="2126" t="str">
        <v>Ano 2:  2028</v>
      </c>
      <c r="E37" s="2126" t="str">
        <v>Ano 3:  2029</v>
      </c>
      <c r="F37" s="2127" t="str">
        <v>Ano 4:  2030</v>
      </c>
    </row>
    <row r="38" spans="1:10">
      <c r="A38" s="914" t="str">
        <f>CONCATENATE("EBITDA ( ",Parametros!$H$11," )")</f>
        <v>EBITDA ( € )</v>
      </c>
      <c r="B38" s="1834">
        <f t="array" ref="B38:F38" ca="1">'Dados Evaluação'!B42:F42</f>
        <v>-10022.754545454545</v>
      </c>
      <c r="C38" s="1834">
        <f ca="1"/>
        <v>-7733.0588181818148</v>
      </c>
      <c r="D38" s="1834">
        <f ca="1"/>
        <v>-7759.9037174999994</v>
      </c>
      <c r="E38" s="1834">
        <f ca="1"/>
        <v>-7740.4706172975038</v>
      </c>
      <c r="F38" s="1835">
        <f ca="1"/>
        <v>-7699.445477489553</v>
      </c>
    </row>
    <row r="39" spans="1:10">
      <c r="A39" s="914" t="str">
        <f>CONCATENATE("Lucros Netos previstos ( ",Parametros!$H$11," )")</f>
        <v>Lucros Netos previstos ( € )</v>
      </c>
      <c r="B39" s="1834">
        <f t="array" ref="B39:F39" ca="1">'Dados Evaluação'!B43:F43</f>
        <v>-10109.874545454546</v>
      </c>
      <c r="C39" s="1834">
        <f ca="1"/>
        <v>-7882.6148181818189</v>
      </c>
      <c r="D39" s="1834">
        <f ca="1"/>
        <v>-7921.6485315000009</v>
      </c>
      <c r="E39" s="1834">
        <f ca="1"/>
        <v>-7915.4769656186982</v>
      </c>
      <c r="F39" s="1835">
        <f ca="1"/>
        <v>-7888.6903296170467</v>
      </c>
    </row>
    <row r="42" spans="1:10" ht="16.5" thickBot="1"/>
    <row r="43" spans="1:10" ht="27" thickBot="1">
      <c r="B43" s="2806" t="str">
        <f t="array" ref="B43:F43">CONCATENATE("Datos ",anni)</f>
        <v>Datos Ano 0:  2026</v>
      </c>
      <c r="C43" s="2806" t="str">
        <v>Datos Ano 1:  2027</v>
      </c>
      <c r="D43" s="2806" t="str">
        <v>Datos Ano 2:  2028</v>
      </c>
      <c r="E43" s="2806" t="str">
        <v>Datos Ano 3:  2029</v>
      </c>
      <c r="F43" s="2806" t="str">
        <v>Datos Ano 4:  2030</v>
      </c>
    </row>
    <row r="44" spans="1:10" s="2802" customFormat="1" ht="15">
      <c r="A44" s="2813" t="s">
        <v>1158</v>
      </c>
      <c r="B44" s="2799">
        <f t="array" ref="B44:F45" ca="1">'P. Equilíbrio'!D23:H24</f>
        <v>18854.365750528541</v>
      </c>
      <c r="C44" s="2800">
        <f ca="1"/>
        <v>21351.928858350948</v>
      </c>
      <c r="D44" s="2799">
        <f ca="1"/>
        <v>22390.483857558134</v>
      </c>
      <c r="E44" s="2799">
        <f ca="1"/>
        <v>23463.881801415704</v>
      </c>
      <c r="F44" s="2799">
        <f ca="1"/>
        <v>24592.914002236226</v>
      </c>
      <c r="G44" s="2810" t="str">
        <f>CONCATENATE(Parametros!$H$11," de venda anual")</f>
        <v>€ de venda anual</v>
      </c>
      <c r="H44" s="2801"/>
    </row>
    <row r="45" spans="1:10" s="2802" customFormat="1" thickBot="1">
      <c r="A45" s="2809" t="s">
        <v>51</v>
      </c>
      <c r="B45" s="2803">
        <f ca="1"/>
        <v>1571.1971458773785</v>
      </c>
      <c r="C45" s="2804">
        <f ca="1"/>
        <v>1779.327404862579</v>
      </c>
      <c r="D45" s="2803">
        <f ca="1"/>
        <v>1865.8736547965111</v>
      </c>
      <c r="E45" s="2803">
        <f ca="1"/>
        <v>1955.3234834513087</v>
      </c>
      <c r="F45" s="2803">
        <f ca="1"/>
        <v>2049.409500186352</v>
      </c>
      <c r="G45" s="2811" t="str">
        <f>CONCATENATE(Parametros!$H$11," / mes em meia")</f>
        <v>€ / mes em meia</v>
      </c>
      <c r="H45" s="2805"/>
    </row>
    <row r="46" spans="1:10" s="2802" customFormat="1" thickBot="1">
      <c r="A46" s="2808"/>
      <c r="B46" s="2807"/>
      <c r="C46" s="2807"/>
      <c r="D46" s="2807"/>
      <c r="E46" s="2807"/>
      <c r="F46" s="2807"/>
      <c r="G46" s="2812"/>
      <c r="H46" s="2808"/>
    </row>
    <row r="47" spans="1:10" s="2802" customFormat="1" ht="15">
      <c r="A47" s="2813" t="s">
        <v>1159</v>
      </c>
      <c r="B47" s="2799">
        <f t="array" ref="B47:F48" ca="1">'P. Equilíbrio'!D27:H28</f>
        <v>18955.668076109938</v>
      </c>
      <c r="C47" s="2800">
        <f ca="1"/>
        <v>21525.831183932343</v>
      </c>
      <c r="D47" s="2799">
        <f ca="1"/>
        <v>22578.559222674416</v>
      </c>
      <c r="E47" s="2799">
        <f ca="1"/>
        <v>23667.377555277562</v>
      </c>
      <c r="F47" s="2799">
        <f ca="1"/>
        <v>24812.966155872848</v>
      </c>
      <c r="G47" s="2810" t="str">
        <f t="array" ref="G47:G48">G44:G45</f>
        <v>€ de venda anual</v>
      </c>
      <c r="H47" s="2801"/>
    </row>
    <row r="48" spans="1:10" s="2802" customFormat="1" thickBot="1">
      <c r="A48" s="2809" t="s">
        <v>51</v>
      </c>
      <c r="B48" s="2803">
        <f ca="1"/>
        <v>1579.6390063424949</v>
      </c>
      <c r="C48" s="2804">
        <f ca="1"/>
        <v>1793.8192653276953</v>
      </c>
      <c r="D48" s="2803">
        <f ca="1"/>
        <v>1881.5466018895347</v>
      </c>
      <c r="E48" s="2803">
        <f ca="1"/>
        <v>1972.2814629397969</v>
      </c>
      <c r="F48" s="2803">
        <f ca="1"/>
        <v>2067.7471796560708</v>
      </c>
      <c r="G48" s="2811" t="str">
        <v>€ / mes em meia</v>
      </c>
      <c r="H48" s="2805"/>
    </row>
    <row r="51" spans="1:10">
      <c r="A51" s="2792" t="s">
        <v>1151</v>
      </c>
      <c r="B51" s="2793"/>
      <c r="C51" s="2793"/>
      <c r="D51" s="2793"/>
      <c r="E51" s="2793"/>
      <c r="F51" s="2793"/>
      <c r="G51" s="2793"/>
      <c r="H51" s="2793"/>
      <c r="I51" s="2793"/>
      <c r="J51" s="2793"/>
    </row>
    <row r="53" spans="1:10" ht="23.25" thickBot="1">
      <c r="A53" s="68" t="s">
        <v>616</v>
      </c>
      <c r="B53" s="68"/>
      <c r="C53" s="99"/>
      <c r="D53" s="99"/>
      <c r="E53" s="99"/>
      <c r="F53" s="99"/>
    </row>
    <row r="54" spans="1:10" ht="30.75" thickBot="1">
      <c r="A54" s="1789" t="s">
        <v>441</v>
      </c>
      <c r="B54" s="401" t="str">
        <f>+Parametros!B77</f>
        <v>Ano 0:  2026</v>
      </c>
      <c r="C54" s="410" t="str">
        <f>+Parametros!C77</f>
        <v>Ano 1:  2027</v>
      </c>
      <c r="D54" s="410" t="str">
        <f>+Parametros!D77</f>
        <v>Ano 2:  2028</v>
      </c>
      <c r="E54" s="410" t="str">
        <f>+Parametros!E77</f>
        <v>Ano 3:  2029</v>
      </c>
      <c r="F54" s="2769" t="str">
        <f>+Parametros!F77</f>
        <v>Ano 4:  2030</v>
      </c>
    </row>
    <row r="55" spans="1:10">
      <c r="A55" s="71" t="str">
        <f t="array" ref="A55:A62">'Preços-CV'!$A$19:$A$26</f>
        <v>produto 1</v>
      </c>
      <c r="B55" s="416">
        <f t="array" ref="B55:B62">'Preços-CV'!B7:B14</f>
        <v>1</v>
      </c>
      <c r="C55" s="416">
        <f t="array" ref="C55:C62">'Preços-CV'!D7:D14</f>
        <v>1.03</v>
      </c>
      <c r="D55" s="416">
        <f t="array" ref="D55:D62">'Preços-CV'!F7:F14</f>
        <v>1.0609</v>
      </c>
      <c r="E55" s="416">
        <f t="array" ref="E55:E62">'Preços-CV'!H7:H14</f>
        <v>1.092727</v>
      </c>
      <c r="F55" s="416">
        <f t="array" ref="F55:F62">'Preços-CV'!J7:J14</f>
        <v>1.1255088100000001</v>
      </c>
    </row>
    <row r="56" spans="1:10">
      <c r="A56" s="1375" t="str">
        <v/>
      </c>
      <c r="B56" s="414">
        <v>0</v>
      </c>
      <c r="C56" s="414">
        <v>0</v>
      </c>
      <c r="D56" s="414">
        <v>0</v>
      </c>
      <c r="E56" s="414">
        <v>0</v>
      </c>
      <c r="F56" s="414">
        <v>0</v>
      </c>
    </row>
    <row r="57" spans="1:10">
      <c r="A57" s="1375" t="str">
        <v/>
      </c>
      <c r="B57" s="414">
        <v>0</v>
      </c>
      <c r="C57" s="414">
        <v>0</v>
      </c>
      <c r="D57" s="414">
        <v>0</v>
      </c>
      <c r="E57" s="414">
        <v>0</v>
      </c>
      <c r="F57" s="414">
        <v>0</v>
      </c>
    </row>
    <row r="58" spans="1:10">
      <c r="A58" s="1375" t="str">
        <v/>
      </c>
      <c r="B58" s="414">
        <v>0</v>
      </c>
      <c r="C58" s="414">
        <v>0</v>
      </c>
      <c r="D58" s="414">
        <v>0</v>
      </c>
      <c r="E58" s="414">
        <v>0</v>
      </c>
      <c r="F58" s="414">
        <v>0</v>
      </c>
    </row>
    <row r="59" spans="1:10">
      <c r="A59" s="1375" t="str">
        <v/>
      </c>
      <c r="B59" s="414">
        <v>0</v>
      </c>
      <c r="C59" s="414">
        <v>0</v>
      </c>
      <c r="D59" s="414">
        <v>0</v>
      </c>
      <c r="E59" s="414">
        <v>0</v>
      </c>
      <c r="F59" s="414">
        <v>0</v>
      </c>
    </row>
    <row r="60" spans="1:10">
      <c r="A60" s="1375" t="str">
        <v/>
      </c>
      <c r="B60" s="414">
        <v>0</v>
      </c>
      <c r="C60" s="414">
        <v>0</v>
      </c>
      <c r="D60" s="414">
        <v>0</v>
      </c>
      <c r="E60" s="414">
        <v>0</v>
      </c>
      <c r="F60" s="414">
        <v>0</v>
      </c>
    </row>
    <row r="61" spans="1:10">
      <c r="A61" s="1375" t="str">
        <v/>
      </c>
      <c r="B61" s="414">
        <v>0</v>
      </c>
      <c r="C61" s="414">
        <v>0</v>
      </c>
      <c r="D61" s="414">
        <v>0</v>
      </c>
      <c r="E61" s="414">
        <v>0</v>
      </c>
      <c r="F61" s="414">
        <v>0</v>
      </c>
    </row>
    <row r="62" spans="1:10" ht="16.5" thickBot="1">
      <c r="A62" s="72" t="str">
        <v/>
      </c>
      <c r="B62" s="415">
        <v>0</v>
      </c>
      <c r="C62" s="415">
        <v>0</v>
      </c>
      <c r="D62" s="415">
        <v>0</v>
      </c>
      <c r="E62" s="415">
        <v>0</v>
      </c>
      <c r="F62" s="415">
        <v>0</v>
      </c>
    </row>
    <row r="66" spans="1:10">
      <c r="A66" s="2792" t="s">
        <v>1169</v>
      </c>
      <c r="B66" s="2793"/>
      <c r="C66" s="2793"/>
      <c r="D66" s="2793"/>
      <c r="E66" s="2793"/>
      <c r="F66" s="2793"/>
      <c r="G66" s="2793"/>
      <c r="H66" s="2793"/>
      <c r="I66" s="2793"/>
      <c r="J66" s="2793"/>
    </row>
    <row r="68" spans="1:10" ht="16.5" thickBot="1"/>
    <row r="69" spans="1:10" ht="36">
      <c r="A69" s="2128" t="s">
        <v>1152</v>
      </c>
      <c r="B69" s="2126" t="str">
        <f t="array" ref="B69:F69">anni</f>
        <v>Ano 0:  2026</v>
      </c>
      <c r="C69" s="2126" t="str">
        <v>Ano 1:  2027</v>
      </c>
      <c r="D69" s="2126" t="str">
        <v>Ano 2:  2028</v>
      </c>
      <c r="E69" s="2126" t="str">
        <v>Ano 3:  2029</v>
      </c>
      <c r="F69" s="2127" t="str">
        <v>Ano 4:  2030</v>
      </c>
    </row>
    <row r="70" spans="1:10">
      <c r="A70" s="914" t="str">
        <f>CONCATENATE("Vendas Previstas ( ",Parametros!$H$11," )")</f>
        <v>Vendas Previstas ( € )</v>
      </c>
      <c r="B70" s="909">
        <f t="array" ref="B70:F76" ca="1">'Dados Evaluação'!B39:F45</f>
        <v>7199.9999999999991</v>
      </c>
      <c r="C70" s="909">
        <f ca="1"/>
        <v>12360</v>
      </c>
      <c r="D70" s="909">
        <f ca="1"/>
        <v>13367.339999999998</v>
      </c>
      <c r="E70" s="909">
        <f ca="1"/>
        <v>14463.334572</v>
      </c>
      <c r="F70" s="911">
        <f ca="1"/>
        <v>15640.070423759998</v>
      </c>
    </row>
    <row r="71" spans="1:10">
      <c r="A71" s="914" t="str">
        <f>CONCATENATE("Despessas de Explotação ( ",Parametros!$H$11," )")</f>
        <v>Despessas de Explotação ( € )</v>
      </c>
      <c r="B71" s="909">
        <f ca="1"/>
        <v>17222.754545454547</v>
      </c>
      <c r="C71" s="909">
        <f ca="1"/>
        <v>20093.058818181817</v>
      </c>
      <c r="D71" s="909">
        <f ca="1"/>
        <v>21127.243717499998</v>
      </c>
      <c r="E71" s="909">
        <f ca="1"/>
        <v>22203.805189297505</v>
      </c>
      <c r="F71" s="911">
        <f ca="1"/>
        <v>23339.51590124955</v>
      </c>
    </row>
    <row r="72" spans="1:10">
      <c r="A72" s="914" t="str">
        <f>CONCATENATE("Resultados financieros ( ",Parametros!$H$11," )")</f>
        <v>Resultados financieros ( € )</v>
      </c>
      <c r="B72" s="2767">
        <f ca="1"/>
        <v>-87.11999999999999</v>
      </c>
      <c r="C72" s="2767">
        <f ca="1"/>
        <v>-149.55599999999995</v>
      </c>
      <c r="D72" s="2767">
        <f ca="1"/>
        <v>-161.74481399999999</v>
      </c>
      <c r="E72" s="2767">
        <f ca="1"/>
        <v>-175.00634832119999</v>
      </c>
      <c r="F72" s="2767">
        <f ca="1"/>
        <v>-189.24485212749605</v>
      </c>
    </row>
    <row r="73" spans="1:10">
      <c r="A73" s="914" t="str">
        <f>CONCATENATE("EBITDA ( ",Parametros!$H$11," )")</f>
        <v>EBITDA ( € )</v>
      </c>
      <c r="B73" s="1834">
        <f ca="1"/>
        <v>-10022.754545454545</v>
      </c>
      <c r="C73" s="1834">
        <f ca="1"/>
        <v>-7733.0588181818148</v>
      </c>
      <c r="D73" s="1834">
        <f ca="1"/>
        <v>-7759.9037174999994</v>
      </c>
      <c r="E73" s="1834">
        <f ca="1"/>
        <v>-7740.4706172975038</v>
      </c>
      <c r="F73" s="1835">
        <f ca="1"/>
        <v>-7699.445477489553</v>
      </c>
    </row>
    <row r="74" spans="1:10">
      <c r="A74" s="914" t="str">
        <f>CONCATENATE("Lucros Netos previstos ( ",Parametros!$H$11," )")</f>
        <v>Lucros Netos previstos ( € )</v>
      </c>
      <c r="B74" s="1834">
        <f ca="1"/>
        <v>-10109.874545454546</v>
      </c>
      <c r="C74" s="1834">
        <f ca="1"/>
        <v>-7882.6148181818189</v>
      </c>
      <c r="D74" s="1834">
        <f ca="1"/>
        <v>-7921.6485315000009</v>
      </c>
      <c r="E74" s="1834">
        <f ca="1"/>
        <v>-7915.4769656186982</v>
      </c>
      <c r="F74" s="1835">
        <f ca="1"/>
        <v>-7888.6903296170467</v>
      </c>
    </row>
    <row r="75" spans="1:10">
      <c r="A75" s="914" t="str">
        <f>CONCATENATE("Flujos de caixa previstos ( ",Parametros!$H$11," )")</f>
        <v>Flujos de caixa previstos ( € )</v>
      </c>
      <c r="B75" s="2710">
        <f ca="1"/>
        <v>-9490.7601818181847</v>
      </c>
      <c r="C75" s="2710">
        <f ca="1"/>
        <v>-7837.8536618181815</v>
      </c>
      <c r="D75" s="2710">
        <f ca="1"/>
        <v>-7878.3454437000055</v>
      </c>
      <c r="E75" s="2710">
        <f ca="1"/>
        <v>-7868.3598144620919</v>
      </c>
      <c r="F75" s="2711">
        <f ca="1"/>
        <v>-7838.0998829735036</v>
      </c>
    </row>
    <row r="76" spans="1:10">
      <c r="A76" s="914" t="str">
        <f>CONCATENATE("Variações N.O.F. ( ",Parametros!$H$11," )")</f>
        <v>Variações N.O.F. ( € )</v>
      </c>
      <c r="B76" s="2710">
        <f ca="1"/>
        <v>0</v>
      </c>
      <c r="C76" s="2710">
        <f ca="1"/>
        <v>0</v>
      </c>
      <c r="D76" s="2710">
        <f ca="1"/>
        <v>0</v>
      </c>
      <c r="E76" s="2710">
        <f ca="1"/>
        <v>0</v>
      </c>
      <c r="F76" s="2711">
        <f ca="1"/>
        <v>0</v>
      </c>
    </row>
    <row r="77" spans="1:10">
      <c r="A77" s="914"/>
      <c r="B77" s="912"/>
      <c r="C77" s="912"/>
      <c r="D77" s="912"/>
      <c r="E77" s="912"/>
      <c r="F77" s="913"/>
    </row>
    <row r="78" spans="1:10">
      <c r="A78" s="914" t="s">
        <v>566</v>
      </c>
      <c r="B78" s="1526">
        <f t="array" ref="B78:F82">'Dados Evaluação'!B47:F51</f>
        <v>1</v>
      </c>
      <c r="C78" s="1526">
        <v>1</v>
      </c>
      <c r="D78" s="1526">
        <v>1</v>
      </c>
      <c r="E78" s="1526">
        <v>1</v>
      </c>
      <c r="F78" s="1527">
        <v>1</v>
      </c>
    </row>
    <row r="79" spans="1:10">
      <c r="A79" s="914" t="s">
        <v>1153</v>
      </c>
      <c r="B79" s="1529">
        <f ca="1"/>
        <v>0.86</v>
      </c>
      <c r="C79" s="1529">
        <f ca="1"/>
        <v>0.86</v>
      </c>
      <c r="D79" s="1529">
        <f ca="1"/>
        <v>0.8600000000000001</v>
      </c>
      <c r="E79" s="1529">
        <f ca="1"/>
        <v>0.86</v>
      </c>
      <c r="F79" s="1530">
        <f ca="1"/>
        <v>0.85999999999999988</v>
      </c>
    </row>
    <row r="80" spans="1:10">
      <c r="A80" s="914" t="s">
        <v>113</v>
      </c>
      <c r="B80" s="1529">
        <f ca="1"/>
        <v>1.3003263893647159</v>
      </c>
      <c r="C80" s="1529">
        <f ca="1"/>
        <v>0.50344053475704398</v>
      </c>
      <c r="D80" s="1529">
        <f ca="1"/>
        <v>0.33596005785834893</v>
      </c>
      <c r="E80" s="1531">
        <f ca="1"/>
        <v>0.25132794925782842</v>
      </c>
      <c r="F80" s="1532">
        <f ca="1"/>
        <v>0.20030544139158651</v>
      </c>
    </row>
    <row r="81" spans="1:10">
      <c r="A81" s="914" t="s">
        <v>1172</v>
      </c>
      <c r="B81" s="1529">
        <f ca="1"/>
        <v>1.3869833619297485</v>
      </c>
      <c r="C81" s="1529">
        <f ca="1"/>
        <v>0.52109695637951092</v>
      </c>
      <c r="D81" s="1529">
        <f ca="1"/>
        <v>0.34434001440965606</v>
      </c>
      <c r="E81" s="1531">
        <f ca="1"/>
        <v>0.25638277522245012</v>
      </c>
      <c r="F81" s="1532">
        <f ca="1"/>
        <v>0.20378015617731698</v>
      </c>
    </row>
    <row r="82" spans="1:10" ht="16.5" thickBot="1">
      <c r="A82" s="915" t="s">
        <v>1154</v>
      </c>
      <c r="B82" s="1533">
        <f ca="1"/>
        <v>0.38187442077165407</v>
      </c>
      <c r="C82" s="1533">
        <f ca="1"/>
        <v>0.57887041878026324</v>
      </c>
      <c r="D82" s="1533">
        <f ca="1"/>
        <v>0.59700987638494996</v>
      </c>
      <c r="E82" s="1533">
        <f ca="1"/>
        <v>0.6164084312395125</v>
      </c>
      <c r="F82" s="1534">
        <f ca="1"/>
        <v>0.63595840746394883</v>
      </c>
    </row>
    <row r="85" spans="1:10">
      <c r="A85" s="2792" t="s">
        <v>1160</v>
      </c>
      <c r="B85" s="2793"/>
      <c r="C85" s="2793"/>
      <c r="D85" s="2793"/>
      <c r="E85" s="2793"/>
      <c r="F85" s="2793"/>
      <c r="G85" s="2793"/>
      <c r="H85" s="2793"/>
      <c r="I85" s="2793"/>
      <c r="J85" s="2793"/>
    </row>
    <row r="86" spans="1:10" ht="16.5" thickBot="1"/>
    <row r="87" spans="1:10" ht="29.25" thickBot="1">
      <c r="A87" s="17" t="s">
        <v>1157</v>
      </c>
      <c r="B87" s="2175" t="str">
        <f t="array" ref="B87:F87">anni</f>
        <v>Ano 0:  2026</v>
      </c>
      <c r="C87" s="2176" t="str">
        <v>Ano 1:  2027</v>
      </c>
      <c r="D87" s="2175" t="str">
        <v>Ano 2:  2028</v>
      </c>
      <c r="E87" s="2176" t="str">
        <v>Ano 3:  2029</v>
      </c>
      <c r="F87" s="2175" t="str">
        <v>Ano 4:  2030</v>
      </c>
    </row>
    <row r="88" spans="1:10">
      <c r="A88" s="251" t="str">
        <f t="array" ref="A88:A95">catlaborales</f>
        <v>Emprsários em nome individual</v>
      </c>
      <c r="B88" s="2692">
        <f t="array" ref="B88:F95">'Resumo Despesas Fixas'!B5:F12</f>
        <v>14400</v>
      </c>
      <c r="C88" s="2693">
        <v>14976</v>
      </c>
      <c r="D88" s="2692">
        <v>15575.04</v>
      </c>
      <c r="E88" s="2693">
        <v>16198.041600000004</v>
      </c>
      <c r="F88" s="2692">
        <v>16845.963263999998</v>
      </c>
    </row>
    <row r="89" spans="1:10">
      <c r="A89" s="251" t="str">
        <v>Outros trab. Independentes</v>
      </c>
      <c r="B89" s="2692">
        <v>0</v>
      </c>
      <c r="C89" s="2693">
        <v>0</v>
      </c>
      <c r="D89" s="2692">
        <v>0</v>
      </c>
      <c r="E89" s="2693">
        <v>0</v>
      </c>
      <c r="F89" s="2692">
        <v>0</v>
      </c>
    </row>
    <row r="90" spans="1:10">
      <c r="A90" s="251" t="str">
        <v>Empregados</v>
      </c>
      <c r="B90" s="2692">
        <v>0</v>
      </c>
      <c r="C90" s="2693">
        <v>0</v>
      </c>
      <c r="D90" s="2692">
        <v>0</v>
      </c>
      <c r="E90" s="2693">
        <v>0</v>
      </c>
      <c r="F90" s="2692">
        <v>0</v>
      </c>
    </row>
    <row r="91" spans="1:10">
      <c r="A91" s="251" t="str">
        <v/>
      </c>
      <c r="B91" s="2692">
        <v>0</v>
      </c>
      <c r="C91" s="2693">
        <v>0</v>
      </c>
      <c r="D91" s="2692">
        <v>0</v>
      </c>
      <c r="E91" s="2693">
        <v>0</v>
      </c>
      <c r="F91" s="2692">
        <v>0</v>
      </c>
    </row>
    <row r="92" spans="1:10">
      <c r="A92" s="252" t="str">
        <v/>
      </c>
      <c r="B92" s="2692">
        <v>0</v>
      </c>
      <c r="C92" s="2693">
        <v>0</v>
      </c>
      <c r="D92" s="2692">
        <v>0</v>
      </c>
      <c r="E92" s="2693">
        <v>0</v>
      </c>
      <c r="F92" s="2692">
        <v>0</v>
      </c>
    </row>
    <row r="93" spans="1:10">
      <c r="A93" s="251" t="str">
        <v/>
      </c>
      <c r="B93" s="2692">
        <v>0</v>
      </c>
      <c r="C93" s="2693">
        <v>0</v>
      </c>
      <c r="D93" s="2692">
        <v>0</v>
      </c>
      <c r="E93" s="2693">
        <v>0</v>
      </c>
      <c r="F93" s="2692">
        <v>0</v>
      </c>
    </row>
    <row r="94" spans="1:10">
      <c r="A94" s="251" t="str">
        <v/>
      </c>
      <c r="B94" s="2692">
        <v>0</v>
      </c>
      <c r="C94" s="2693">
        <v>0</v>
      </c>
      <c r="D94" s="2692">
        <v>0</v>
      </c>
      <c r="E94" s="2693">
        <v>0</v>
      </c>
      <c r="F94" s="2692">
        <v>0</v>
      </c>
    </row>
    <row r="95" spans="1:10" ht="16.5" thickBot="1">
      <c r="A95" s="251" t="str">
        <v/>
      </c>
      <c r="B95" s="2692">
        <v>0</v>
      </c>
      <c r="C95" s="2693">
        <v>0</v>
      </c>
      <c r="D95" s="2692">
        <v>0</v>
      </c>
      <c r="E95" s="2693">
        <v>0</v>
      </c>
      <c r="F95" s="2692">
        <v>0</v>
      </c>
    </row>
    <row r="96" spans="1:10" ht="16.5" thickBot="1">
      <c r="A96" s="2814" t="s">
        <v>87</v>
      </c>
      <c r="B96" s="2815">
        <f>SUM(B88:B92)</f>
        <v>14400</v>
      </c>
      <c r="C96" s="2816">
        <f>SUM(C88:C92)</f>
        <v>14976</v>
      </c>
      <c r="D96" s="2815">
        <f>SUM(D88:D92)</f>
        <v>15575.04</v>
      </c>
      <c r="E96" s="2816">
        <f>SUM(E88:E92)</f>
        <v>16198.041600000004</v>
      </c>
      <c r="F96" s="2815">
        <f>SUM(F88:F92)</f>
        <v>16845.963263999998</v>
      </c>
    </row>
    <row r="97" spans="1:6" ht="16.5" thickBot="1">
      <c r="A97" s="256"/>
      <c r="B97" s="262"/>
      <c r="C97" s="262"/>
      <c r="D97" s="262"/>
      <c r="E97" s="262"/>
      <c r="F97" s="1821"/>
    </row>
    <row r="98" spans="1:6" ht="29.25" thickBot="1">
      <c r="A98" s="17" t="s">
        <v>1155</v>
      </c>
      <c r="B98" s="2175" t="str">
        <f t="array" ref="B98:F98">anni</f>
        <v>Ano 0:  2026</v>
      </c>
      <c r="C98" s="2176" t="str">
        <v>Ano 1:  2027</v>
      </c>
      <c r="D98" s="2175" t="str">
        <v>Ano 2:  2028</v>
      </c>
      <c r="E98" s="2176" t="str">
        <v>Ano 3:  2029</v>
      </c>
      <c r="F98" s="2175" t="str">
        <v>Ano 4:  2030</v>
      </c>
    </row>
    <row r="99" spans="1:6">
      <c r="A99" s="251" t="s">
        <v>850</v>
      </c>
      <c r="B99" s="1818">
        <f t="array" ref="B99:F100" ca="1">'Resumo Despesas Fixas'!B16:F17</f>
        <v>1497.9545454545457</v>
      </c>
      <c r="C99" s="1819">
        <f ca="1"/>
        <v>2862.306818181818</v>
      </c>
      <c r="D99" s="1818">
        <f ca="1"/>
        <v>3114.9324375000006</v>
      </c>
      <c r="E99" s="1819">
        <f ca="1"/>
        <v>3369.9672831374996</v>
      </c>
      <c r="F99" s="1818">
        <f ca="1"/>
        <v>3644.6480344447509</v>
      </c>
    </row>
    <row r="100" spans="1:6" ht="16.5" thickBot="1">
      <c r="A100" s="254" t="s">
        <v>851</v>
      </c>
      <c r="B100" s="1822">
        <v>0</v>
      </c>
      <c r="C100" s="1823">
        <v>0</v>
      </c>
      <c r="D100" s="1822">
        <v>0</v>
      </c>
      <c r="E100" s="1823">
        <v>0</v>
      </c>
      <c r="F100" s="1822">
        <v>0</v>
      </c>
    </row>
    <row r="101" spans="1:6" ht="16.5" thickBot="1">
      <c r="A101" s="2814" t="s">
        <v>88</v>
      </c>
      <c r="B101" s="2815">
        <f ca="1">SUM(B99:B100)</f>
        <v>1497.9545454545457</v>
      </c>
      <c r="C101" s="2816">
        <f ca="1">SUM(C99:C100)</f>
        <v>2862.306818181818</v>
      </c>
      <c r="D101" s="2815">
        <f ca="1">SUM(D99:D100)</f>
        <v>3114.9324375000006</v>
      </c>
      <c r="E101" s="2816">
        <f ca="1">SUM(E99:E100)</f>
        <v>3369.9672831374996</v>
      </c>
      <c r="F101" s="2815">
        <f ca="1">SUM(F99:F100)</f>
        <v>3644.6480344447509</v>
      </c>
    </row>
    <row r="102" spans="1:6" ht="16.5" thickBot="1"/>
    <row r="103" spans="1:6" ht="16.5" thickBot="1">
      <c r="A103" s="2814" t="s">
        <v>1156</v>
      </c>
      <c r="B103" s="2815">
        <f t="array" ref="B103:F103">'Resumo Despesas Fixas'!B23:F23</f>
        <v>0</v>
      </c>
      <c r="C103" s="2816">
        <v>0</v>
      </c>
      <c r="D103" s="2815">
        <v>0</v>
      </c>
      <c r="E103" s="2816">
        <v>0</v>
      </c>
      <c r="F103" s="2815">
        <v>0</v>
      </c>
    </row>
    <row r="104" spans="1:6" ht="16.5" thickBot="1"/>
    <row r="105" spans="1:6" ht="16.5" thickBot="1">
      <c r="A105" s="150" t="s">
        <v>1161</v>
      </c>
      <c r="B105" s="437">
        <f t="array" ref="B105:F105" ca="1">'Resumo Despesas Fixas'!B25:F25</f>
        <v>15897.954545454546</v>
      </c>
      <c r="C105" s="437">
        <f ca="1"/>
        <v>17838.306818181816</v>
      </c>
      <c r="D105" s="437">
        <f ca="1"/>
        <v>18689.972437500001</v>
      </c>
      <c r="E105" s="437">
        <f ca="1"/>
        <v>19568.008883137503</v>
      </c>
      <c r="F105" s="437">
        <f ca="1"/>
        <v>20490.61129844475</v>
      </c>
    </row>
    <row r="107" spans="1:6" ht="16.5" thickBot="1"/>
    <row r="108" spans="1:6" ht="29.25" thickBot="1">
      <c r="A108" s="2174" t="s">
        <v>1162</v>
      </c>
      <c r="B108" s="2175" t="str">
        <f t="array" ref="B108:F108">anni</f>
        <v>Ano 0:  2026</v>
      </c>
      <c r="C108" s="2176" t="str">
        <v>Ano 1:  2027</v>
      </c>
      <c r="D108" s="2175" t="str">
        <v>Ano 2:  2028</v>
      </c>
      <c r="E108" s="2176" t="str">
        <v>Ano 3:  2029</v>
      </c>
      <c r="F108" s="2175" t="str">
        <v>Ano 4:  2030</v>
      </c>
    </row>
    <row r="109" spans="1:6">
      <c r="A109" s="251" t="str">
        <f t="array" ref="A109:F127">'Resumo Despesas Fixas'!A29:F48</f>
        <v>Impostos: IAE, IBI, ...</v>
      </c>
      <c r="B109" s="2694">
        <v>0</v>
      </c>
      <c r="C109" s="2695">
        <v>0</v>
      </c>
      <c r="D109" s="2694">
        <v>0</v>
      </c>
      <c r="E109" s="2695">
        <v>0</v>
      </c>
      <c r="F109" s="2694">
        <v>0</v>
      </c>
    </row>
    <row r="110" spans="1:6">
      <c r="A110" s="251" t="str">
        <v>Outras despesas fixas ( Sem IVA )</v>
      </c>
      <c r="B110" s="2692">
        <v>0</v>
      </c>
      <c r="C110" s="2693">
        <v>0</v>
      </c>
      <c r="D110" s="2692">
        <v>0</v>
      </c>
      <c r="E110" s="2693">
        <v>0</v>
      </c>
      <c r="F110" s="2692">
        <v>0</v>
      </c>
    </row>
    <row r="111" spans="1:6">
      <c r="A111" s="251" t="str">
        <v>Priémios de Seguros</v>
      </c>
      <c r="B111" s="2692">
        <v>0</v>
      </c>
      <c r="C111" s="2693">
        <v>0</v>
      </c>
      <c r="D111" s="2692">
        <v>0</v>
      </c>
      <c r="E111" s="2693">
        <v>0</v>
      </c>
      <c r="F111" s="2692">
        <v>0</v>
      </c>
    </row>
    <row r="112" spans="1:6">
      <c r="A112" s="251" t="str">
        <v>Ordem / asociação profissional</v>
      </c>
      <c r="B112" s="2692">
        <v>0</v>
      </c>
      <c r="C112" s="2693">
        <v>0</v>
      </c>
      <c r="D112" s="2692">
        <v>0</v>
      </c>
      <c r="E112" s="2693">
        <v>0</v>
      </c>
      <c r="F112" s="2692">
        <v>0</v>
      </c>
    </row>
    <row r="113" spans="1:6">
      <c r="A113" s="251" t="str">
        <v>Suministro de Electricidade</v>
      </c>
      <c r="B113" s="2692">
        <v>0</v>
      </c>
      <c r="C113" s="2693">
        <v>0</v>
      </c>
      <c r="D113" s="2692">
        <v>0</v>
      </c>
      <c r="E113" s="2693">
        <v>0</v>
      </c>
      <c r="F113" s="2692">
        <v>0</v>
      </c>
    </row>
    <row r="114" spans="1:6">
      <c r="A114" s="251" t="str">
        <v>Cuotas periódicas software e IA</v>
      </c>
      <c r="B114" s="2692">
        <v>0</v>
      </c>
      <c r="C114" s="2693">
        <v>0</v>
      </c>
      <c r="D114" s="2692">
        <v>0</v>
      </c>
      <c r="E114" s="2693">
        <v>0</v>
      </c>
      <c r="F114" s="2692">
        <v>0</v>
      </c>
    </row>
    <row r="115" spans="1:6">
      <c r="A115" s="251" t="str">
        <v>Água, taxas saneamiento e lixo</v>
      </c>
      <c r="B115" s="2692">
        <v>0</v>
      </c>
      <c r="C115" s="2693">
        <v>0</v>
      </c>
      <c r="D115" s="2692">
        <v>0</v>
      </c>
      <c r="E115" s="2693">
        <v>0</v>
      </c>
      <c r="F115" s="2692">
        <v>0</v>
      </c>
    </row>
    <row r="116" spans="1:6">
      <c r="A116" s="251" t="str">
        <v>Outros suministros (gaz, etc.)</v>
      </c>
      <c r="B116" s="2692">
        <v>0</v>
      </c>
      <c r="C116" s="2693">
        <v>0</v>
      </c>
      <c r="D116" s="2692">
        <v>0</v>
      </c>
      <c r="E116" s="2693">
        <v>0</v>
      </c>
      <c r="F116" s="2692">
        <v>0</v>
      </c>
    </row>
    <row r="117" spans="1:6">
      <c r="A117" s="251" t="str">
        <v>Telefonia / Internet / Comunicações</v>
      </c>
      <c r="B117" s="2692">
        <v>0</v>
      </c>
      <c r="C117" s="2693">
        <v>0</v>
      </c>
      <c r="D117" s="2692">
        <v>0</v>
      </c>
      <c r="E117" s="2693">
        <v>0</v>
      </c>
      <c r="F117" s="2692">
        <v>0</v>
      </c>
    </row>
    <row r="118" spans="1:6">
      <c r="A118" s="251" t="str">
        <v>Alojamento e serviços web</v>
      </c>
      <c r="B118" s="2692">
        <v>0</v>
      </c>
      <c r="C118" s="2693">
        <v>0</v>
      </c>
      <c r="D118" s="2692">
        <v>0</v>
      </c>
      <c r="E118" s="2693">
        <v>0</v>
      </c>
      <c r="F118" s="2692">
        <v>0</v>
      </c>
    </row>
    <row r="119" spans="1:6">
      <c r="A119" s="251" t="str">
        <v>Alarma / Empresa de seguridade</v>
      </c>
      <c r="B119" s="2692">
        <v>0</v>
      </c>
      <c r="C119" s="2693">
        <v>0</v>
      </c>
      <c r="D119" s="2692">
        <v>0</v>
      </c>
      <c r="E119" s="2693">
        <v>0</v>
      </c>
      <c r="F119" s="2692">
        <v>0</v>
      </c>
    </row>
    <row r="120" spans="1:6">
      <c r="A120" s="251" t="str">
        <v>Material de escritório / papelaria</v>
      </c>
      <c r="B120" s="2692">
        <v>0</v>
      </c>
      <c r="C120" s="2693">
        <v>0</v>
      </c>
      <c r="D120" s="2692">
        <v>0</v>
      </c>
      <c r="E120" s="2693">
        <v>0</v>
      </c>
      <c r="F120" s="2692">
        <v>0</v>
      </c>
    </row>
    <row r="121" spans="1:6">
      <c r="A121" s="251" t="str">
        <v>Congresos / Salões / Viágems</v>
      </c>
      <c r="B121" s="2692">
        <v>0</v>
      </c>
      <c r="C121" s="2693">
        <v>0</v>
      </c>
      <c r="D121" s="2692">
        <v>0</v>
      </c>
      <c r="E121" s="2693">
        <v>0</v>
      </c>
      <c r="F121" s="2692">
        <v>0</v>
      </c>
    </row>
    <row r="122" spans="1:6">
      <c r="A122" s="1773" t="str">
        <v>Transporte e desplaçamentos</v>
      </c>
      <c r="B122" s="2692">
        <v>0</v>
      </c>
      <c r="C122" s="2693">
        <v>0</v>
      </c>
      <c r="D122" s="2692">
        <v>0</v>
      </c>
      <c r="E122" s="2693">
        <v>0</v>
      </c>
      <c r="F122" s="2692">
        <v>0</v>
      </c>
    </row>
    <row r="123" spans="1:6">
      <c r="A123" s="1773" t="str">
        <v>Asesoría e profissionais independentes</v>
      </c>
      <c r="B123" s="2692">
        <v>0</v>
      </c>
      <c r="C123" s="2693">
        <v>0</v>
      </c>
      <c r="D123" s="2692">
        <v>0</v>
      </c>
      <c r="E123" s="2693">
        <v>0</v>
      </c>
      <c r="F123" s="2692">
        <v>0</v>
      </c>
    </row>
    <row r="124" spans="1:6">
      <c r="A124" s="1773" t="str">
        <v>Arrendamentos / alugueres</v>
      </c>
      <c r="B124" s="2692">
        <v>0</v>
      </c>
      <c r="C124" s="2693">
        <v>0</v>
      </c>
      <c r="D124" s="2692">
        <v>0</v>
      </c>
      <c r="E124" s="2693">
        <v>0</v>
      </c>
      <c r="F124" s="2692">
        <v>0</v>
      </c>
    </row>
    <row r="125" spans="1:6">
      <c r="A125" s="251" t="str">
        <v>Despesas Variáveis Marketing online</v>
      </c>
      <c r="B125" s="2692">
        <f ca="1"/>
        <v>143.99999999999997</v>
      </c>
      <c r="C125" s="2693">
        <f ca="1"/>
        <v>247.19999999999996</v>
      </c>
      <c r="D125" s="2692">
        <f ca="1"/>
        <v>267.34679999999997</v>
      </c>
      <c r="E125" s="2693">
        <f ca="1"/>
        <v>289.2666914400001</v>
      </c>
      <c r="F125" s="2692">
        <f ca="1"/>
        <v>312.80140847520005</v>
      </c>
    </row>
    <row r="126" spans="1:6">
      <c r="A126" s="251" t="str">
        <v>Despesas Fixas Marketing online</v>
      </c>
      <c r="B126" s="2692">
        <v>0</v>
      </c>
      <c r="C126" s="2693">
        <v>0</v>
      </c>
      <c r="D126" s="2692">
        <v>0</v>
      </c>
      <c r="E126" s="2693">
        <v>0</v>
      </c>
      <c r="F126" s="2692">
        <v>0</v>
      </c>
    </row>
    <row r="127" spans="1:6" ht="16.5" thickBot="1">
      <c r="A127" s="251" t="str">
        <v>Despesas Variáveis Marketing off-line</v>
      </c>
      <c r="B127" s="2692">
        <f ca="1"/>
        <v>143.99999999999997</v>
      </c>
      <c r="C127" s="2693">
        <f ca="1"/>
        <v>247.19999999999996</v>
      </c>
      <c r="D127" s="2692">
        <f ca="1"/>
        <v>267.34679999999997</v>
      </c>
      <c r="E127" s="2693">
        <f ca="1"/>
        <v>289.2666914400001</v>
      </c>
      <c r="F127" s="2692">
        <f ca="1"/>
        <v>312.80140847520005</v>
      </c>
    </row>
    <row r="128" spans="1:6" ht="16.5" thickBot="1">
      <c r="A128" s="263" t="s">
        <v>1167</v>
      </c>
      <c r="B128" s="437">
        <f ca="1">SUM(B109:B127)</f>
        <v>287.99999999999994</v>
      </c>
      <c r="C128" s="1820">
        <f ca="1">SUM(C109:C127)</f>
        <v>494.39999999999992</v>
      </c>
      <c r="D128" s="437">
        <f ca="1">SUM(D109:D127)</f>
        <v>534.69359999999995</v>
      </c>
      <c r="E128" s="1820">
        <f ca="1">SUM(E109:E127)</f>
        <v>578.5333828800002</v>
      </c>
      <c r="F128" s="437">
        <f ca="1">SUM(F109:F127)</f>
        <v>625.6028169504001</v>
      </c>
    </row>
    <row r="129" spans="1:10" ht="16.5" thickBot="1">
      <c r="A129" s="1826"/>
      <c r="B129" s="36"/>
      <c r="C129" s="36"/>
      <c r="D129" s="36"/>
      <c r="E129" s="36"/>
      <c r="F129" s="36"/>
    </row>
    <row r="130" spans="1:10" ht="16.5" thickBot="1">
      <c r="A130" s="150" t="s">
        <v>1166</v>
      </c>
      <c r="B130" s="437">
        <f t="array" ref="B130:F130" ca="1">B105:F105+B128:F128</f>
        <v>16185.954545454546</v>
      </c>
      <c r="C130" s="437">
        <f ca="1"/>
        <v>18332.706818181818</v>
      </c>
      <c r="D130" s="437">
        <f ca="1"/>
        <v>19224.666037499999</v>
      </c>
      <c r="E130" s="437">
        <f ca="1"/>
        <v>20146.542266017503</v>
      </c>
      <c r="F130" s="437">
        <f ca="1"/>
        <v>21116.214115395149</v>
      </c>
    </row>
    <row r="133" spans="1:10">
      <c r="A133" s="2792" t="s">
        <v>1163</v>
      </c>
      <c r="B133" s="2793"/>
      <c r="C133" s="2793"/>
      <c r="D133" s="2793"/>
      <c r="E133" s="2793"/>
      <c r="F133" s="2793"/>
      <c r="G133" s="2793"/>
      <c r="H133" s="2793"/>
      <c r="I133" s="2793"/>
      <c r="J133" s="2793"/>
    </row>
    <row r="135" spans="1:10" ht="23.25" thickBot="1">
      <c r="A135" s="2817" t="s">
        <v>1165</v>
      </c>
      <c r="B135" s="61"/>
      <c r="C135" s="62"/>
      <c r="D135" s="62"/>
      <c r="E135" s="62"/>
      <c r="F135" s="62"/>
      <c r="G135" s="62"/>
      <c r="H135" s="62"/>
      <c r="I135" s="949"/>
      <c r="J135" s="62"/>
    </row>
    <row r="136" spans="1:10">
      <c r="A136" s="2102" t="s">
        <v>1164</v>
      </c>
      <c r="B136" s="2093" t="str">
        <f>B$9</f>
        <v>Ano 0:  2026</v>
      </c>
      <c r="C136" s="2093" t="str">
        <f>C$9</f>
        <v>Ano 1:  2027</v>
      </c>
      <c r="D136" s="2094"/>
      <c r="E136" s="2095" t="str">
        <f>E$9</f>
        <v>Ano 2:  2028</v>
      </c>
      <c r="F136" s="2096"/>
      <c r="G136" s="2093" t="str">
        <f>G$9</f>
        <v>Ano 3:  2029</v>
      </c>
      <c r="H136" s="2094"/>
      <c r="I136" s="2095" t="str">
        <f>I$9</f>
        <v>Ano 4:  2030</v>
      </c>
      <c r="J136" s="2097"/>
    </row>
    <row r="137" spans="1:10" ht="16.5" thickBot="1">
      <c r="A137" s="2103" t="str">
        <f>"( "&amp;Moneda&amp;" )"</f>
        <v>( Euros )</v>
      </c>
      <c r="B137" s="955" t="s">
        <v>630</v>
      </c>
      <c r="C137" s="956" t="s">
        <v>630</v>
      </c>
      <c r="D137" s="957" t="s">
        <v>71</v>
      </c>
      <c r="E137" s="958" t="s">
        <v>630</v>
      </c>
      <c r="F137" s="959" t="s">
        <v>71</v>
      </c>
      <c r="G137" s="956" t="s">
        <v>630</v>
      </c>
      <c r="H137" s="957" t="s">
        <v>71</v>
      </c>
      <c r="I137" s="958" t="s">
        <v>630</v>
      </c>
      <c r="J137" s="2099" t="s">
        <v>71</v>
      </c>
    </row>
    <row r="138" spans="1:10">
      <c r="A138" s="2100" t="str">
        <f t="array" ref="A138:A145">productos</f>
        <v>produto 1</v>
      </c>
      <c r="B138" s="2663">
        <f t="array" aca="1" ref="B138:J146" ca="1">'Resumo Vendas 5 anos'!B34:J42</f>
        <v>1008.0000000000001</v>
      </c>
      <c r="C138" s="2651">
        <f ca="1"/>
        <v>1730.4000000000003</v>
      </c>
      <c r="D138" s="951">
        <f ca="1"/>
        <v>0.71666666666666679</v>
      </c>
      <c r="E138" s="2654">
        <f ca="1"/>
        <v>1871.4275999999998</v>
      </c>
      <c r="F138" s="951">
        <f ca="1"/>
        <v>8.1499999999999656E-2</v>
      </c>
      <c r="G138" s="2651">
        <f ca="1"/>
        <v>2024.86684008</v>
      </c>
      <c r="H138" s="951">
        <f ca="1"/>
        <v>8.1990476190476322E-2</v>
      </c>
      <c r="I138" s="2657">
        <f ca="1"/>
        <v>2189.6098593264005</v>
      </c>
      <c r="J138" s="951">
        <f ca="1"/>
        <v>8.1359927470535165E-2</v>
      </c>
    </row>
    <row r="139" spans="1:10">
      <c r="A139" s="1542" t="str">
        <v/>
      </c>
      <c r="B139" s="2664">
        <f ca="1"/>
        <v>0</v>
      </c>
      <c r="C139" s="2652">
        <f ca="1"/>
        <v>0</v>
      </c>
      <c r="D139" s="952" t="str">
        <f ca="1"/>
        <v/>
      </c>
      <c r="E139" s="2655">
        <f ca="1"/>
        <v>0</v>
      </c>
      <c r="F139" s="952" t="str">
        <f ca="1"/>
        <v/>
      </c>
      <c r="G139" s="2652">
        <f ca="1"/>
        <v>0</v>
      </c>
      <c r="H139" s="952" t="str">
        <f ca="1"/>
        <v/>
      </c>
      <c r="I139" s="2658">
        <f ca="1"/>
        <v>0</v>
      </c>
      <c r="J139" s="952" t="str">
        <f ca="1"/>
        <v/>
      </c>
    </row>
    <row r="140" spans="1:10">
      <c r="A140" s="1542" t="str">
        <v/>
      </c>
      <c r="B140" s="2664">
        <f ca="1"/>
        <v>0</v>
      </c>
      <c r="C140" s="2652">
        <f ca="1"/>
        <v>0</v>
      </c>
      <c r="D140" s="952" t="str">
        <f ca="1"/>
        <v/>
      </c>
      <c r="E140" s="2655">
        <f ca="1"/>
        <v>0</v>
      </c>
      <c r="F140" s="952" t="str">
        <f ca="1"/>
        <v/>
      </c>
      <c r="G140" s="2652">
        <f ca="1"/>
        <v>0</v>
      </c>
      <c r="H140" s="952" t="str">
        <f ca="1"/>
        <v/>
      </c>
      <c r="I140" s="2658">
        <f ca="1"/>
        <v>0</v>
      </c>
      <c r="J140" s="952" t="str">
        <f ca="1"/>
        <v/>
      </c>
    </row>
    <row r="141" spans="1:10">
      <c r="A141" s="1542" t="str">
        <v/>
      </c>
      <c r="B141" s="2664">
        <f ca="1"/>
        <v>0</v>
      </c>
      <c r="C141" s="2652">
        <f ca="1"/>
        <v>0</v>
      </c>
      <c r="D141" s="952" t="str">
        <f ca="1"/>
        <v/>
      </c>
      <c r="E141" s="2655">
        <f ca="1"/>
        <v>0</v>
      </c>
      <c r="F141" s="952" t="str">
        <f ca="1"/>
        <v/>
      </c>
      <c r="G141" s="2652">
        <f ca="1"/>
        <v>0</v>
      </c>
      <c r="H141" s="952" t="str">
        <f ca="1"/>
        <v/>
      </c>
      <c r="I141" s="2658">
        <f ca="1"/>
        <v>0</v>
      </c>
      <c r="J141" s="952" t="str">
        <f ca="1"/>
        <v/>
      </c>
    </row>
    <row r="142" spans="1:10">
      <c r="A142" s="1542" t="str">
        <v/>
      </c>
      <c r="B142" s="2664">
        <f ca="1"/>
        <v>0</v>
      </c>
      <c r="C142" s="2652">
        <f ca="1"/>
        <v>0</v>
      </c>
      <c r="D142" s="952" t="str">
        <f ca="1"/>
        <v/>
      </c>
      <c r="E142" s="2655">
        <f ca="1"/>
        <v>0</v>
      </c>
      <c r="F142" s="952" t="str">
        <f ca="1"/>
        <v/>
      </c>
      <c r="G142" s="2652">
        <f ca="1"/>
        <v>0</v>
      </c>
      <c r="H142" s="952" t="str">
        <f ca="1"/>
        <v/>
      </c>
      <c r="I142" s="2658">
        <f ca="1"/>
        <v>0</v>
      </c>
      <c r="J142" s="952" t="str">
        <f ca="1"/>
        <v/>
      </c>
    </row>
    <row r="143" spans="1:10">
      <c r="A143" s="1542" t="str">
        <v/>
      </c>
      <c r="B143" s="2664">
        <f ca="1"/>
        <v>0</v>
      </c>
      <c r="C143" s="2652">
        <f ca="1"/>
        <v>0</v>
      </c>
      <c r="D143" s="952" t="str">
        <f ca="1"/>
        <v/>
      </c>
      <c r="E143" s="2655">
        <f ca="1"/>
        <v>0</v>
      </c>
      <c r="F143" s="952" t="str">
        <f ca="1"/>
        <v/>
      </c>
      <c r="G143" s="2652">
        <f ca="1"/>
        <v>0</v>
      </c>
      <c r="H143" s="952" t="str">
        <f ca="1"/>
        <v/>
      </c>
      <c r="I143" s="2658">
        <f ca="1"/>
        <v>0</v>
      </c>
      <c r="J143" s="952" t="str">
        <f ca="1"/>
        <v/>
      </c>
    </row>
    <row r="144" spans="1:10">
      <c r="A144" s="1542" t="str">
        <v/>
      </c>
      <c r="B144" s="2664">
        <f ca="1"/>
        <v>0</v>
      </c>
      <c r="C144" s="2652">
        <f ca="1"/>
        <v>0</v>
      </c>
      <c r="D144" s="952" t="str">
        <f ca="1"/>
        <v/>
      </c>
      <c r="E144" s="2655">
        <f ca="1"/>
        <v>0</v>
      </c>
      <c r="F144" s="952" t="str">
        <f ca="1"/>
        <v/>
      </c>
      <c r="G144" s="2652">
        <f ca="1"/>
        <v>0</v>
      </c>
      <c r="H144" s="952" t="str">
        <f ca="1"/>
        <v/>
      </c>
      <c r="I144" s="2658">
        <f ca="1"/>
        <v>0</v>
      </c>
      <c r="J144" s="952" t="str">
        <f ca="1"/>
        <v/>
      </c>
    </row>
    <row r="145" spans="1:10" ht="16.5" thickBot="1">
      <c r="A145" s="1543" t="str">
        <v/>
      </c>
      <c r="B145" s="2665">
        <f ca="1"/>
        <v>0</v>
      </c>
      <c r="C145" s="2661">
        <f ca="1"/>
        <v>0</v>
      </c>
      <c r="D145" s="2101" t="str">
        <f ca="1"/>
        <v/>
      </c>
      <c r="E145" s="2662">
        <f ca="1"/>
        <v>0</v>
      </c>
      <c r="F145" s="2101" t="str">
        <f ca="1"/>
        <v/>
      </c>
      <c r="G145" s="2661">
        <f ca="1"/>
        <v>0</v>
      </c>
      <c r="H145" s="2101" t="str">
        <f ca="1"/>
        <v/>
      </c>
      <c r="I145" s="2660">
        <f ca="1"/>
        <v>0</v>
      </c>
      <c r="J145" s="2101" t="str">
        <f ca="1"/>
        <v/>
      </c>
    </row>
    <row r="146" spans="1:10" ht="16.5" thickBot="1">
      <c r="A146" s="2110" t="s">
        <v>612</v>
      </c>
      <c r="B146" s="2104">
        <f ca="1"/>
        <v>1008.0000000000001</v>
      </c>
      <c r="C146" s="2105">
        <f ca="1"/>
        <v>1730.4000000000003</v>
      </c>
      <c r="D146" s="2106">
        <f ca="1"/>
        <v>0.71666666666666679</v>
      </c>
      <c r="E146" s="2107">
        <f ca="1"/>
        <v>1871.4275999999998</v>
      </c>
      <c r="F146" s="2108">
        <f ca="1"/>
        <v>8.1499999999999656E-2</v>
      </c>
      <c r="G146" s="2105">
        <f ca="1"/>
        <v>2024.86684008</v>
      </c>
      <c r="H146" s="2106">
        <f ca="1"/>
        <v>8.1990476190476322E-2</v>
      </c>
      <c r="I146" s="2109">
        <f ca="1"/>
        <v>2189.6098593264005</v>
      </c>
      <c r="J146" s="2106">
        <f ca="1"/>
        <v>8.1359927470535165E-2</v>
      </c>
    </row>
  </sheetData>
  <sheetProtection sheet="1" objects="1" scenarios="1"/>
  <pageMargins left="0.70866141732283472" right="0.70866141732283472" top="0.74803149606299213" bottom="0.74803149606299213" header="0.31496062992125984" footer="0.31496062992125984"/>
  <pageSetup paperSize="9" scale="98" orientation="landscape" r:id="rId1"/>
  <rowBreaks count="5" manualBreakCount="5">
    <brk id="49" max="16383" man="1"/>
    <brk id="64" max="16383" man="1"/>
    <brk id="84" max="16383" man="1"/>
    <brk id="107" max="16383" man="1"/>
    <brk id="132" max="16383" man="1"/>
  </rowBreaks>
  <legacy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000"/>
    <pageSetUpPr fitToPage="1"/>
  </sheetPr>
  <dimension ref="A1:F75"/>
  <sheetViews>
    <sheetView workbookViewId="0"/>
  </sheetViews>
  <sheetFormatPr baseColWidth="10" defaultColWidth="11" defaultRowHeight="15"/>
  <cols>
    <col min="1" max="1" width="46.125" style="36" customWidth="1"/>
    <col min="2" max="2" width="12.875" style="36" customWidth="1"/>
    <col min="3" max="3" width="13.875" style="36" customWidth="1"/>
    <col min="4" max="4" width="13.5" style="36" customWidth="1"/>
    <col min="5" max="5" width="14.375" style="36" customWidth="1"/>
    <col min="6" max="6" width="14.875" style="36" customWidth="1"/>
    <col min="7" max="16384" width="11" style="36"/>
  </cols>
  <sheetData>
    <row r="1" spans="1:6" ht="19.5">
      <c r="A1" s="406" t="s">
        <v>1207</v>
      </c>
    </row>
    <row r="2" spans="1:6" ht="22.5">
      <c r="A2" s="68" t="str">
        <f>'Dados Básicos'!B9</f>
        <v>WWW, S.L.</v>
      </c>
    </row>
    <row r="3" spans="1:6" ht="22.5">
      <c r="A3" s="68"/>
    </row>
    <row r="4" spans="1:6" ht="21">
      <c r="B4" s="3022" t="s">
        <v>1208</v>
      </c>
    </row>
    <row r="6" spans="1:6">
      <c r="A6" s="36" t="s">
        <v>1209</v>
      </c>
    </row>
    <row r="7" spans="1:6" ht="15.75" thickBot="1"/>
    <row r="8" spans="1:6" customFormat="1" ht="34.5" thickBot="1">
      <c r="A8" s="3023" t="s">
        <v>1210</v>
      </c>
      <c r="B8" s="3024" t="s">
        <v>1211</v>
      </c>
      <c r="C8" s="3024" t="s">
        <v>1200</v>
      </c>
      <c r="D8" s="3024" t="s">
        <v>1212</v>
      </c>
      <c r="E8" s="3024" t="s">
        <v>1213</v>
      </c>
      <c r="F8" s="3025" t="s">
        <v>1214</v>
      </c>
    </row>
    <row r="9" spans="1:6" customFormat="1" ht="16.5" thickBot="1">
      <c r="A9" s="3026"/>
      <c r="B9" s="3027"/>
      <c r="C9" s="3027"/>
      <c r="D9" s="3027"/>
      <c r="E9" s="3027"/>
      <c r="F9" s="3027"/>
    </row>
    <row r="10" spans="1:6" customFormat="1" ht="16.5" thickBot="1">
      <c r="A10" s="3028"/>
      <c r="B10" s="3029"/>
      <c r="C10" s="3029"/>
      <c r="D10" s="3029"/>
      <c r="E10" s="3029"/>
      <c r="F10" s="3029"/>
    </row>
    <row r="11" spans="1:6" customFormat="1" ht="16.5" thickBot="1">
      <c r="A11" s="3028"/>
      <c r="B11" s="3029"/>
      <c r="C11" s="3029"/>
      <c r="D11" s="3029"/>
      <c r="E11" s="3029"/>
      <c r="F11" s="3029"/>
    </row>
    <row r="12" spans="1:6" customFormat="1" ht="16.5" thickBot="1">
      <c r="A12" s="3028"/>
      <c r="B12" s="3029"/>
      <c r="C12" s="3029"/>
      <c r="D12" s="3029"/>
      <c r="E12" s="3029"/>
      <c r="F12" s="3029"/>
    </row>
    <row r="13" spans="1:6" s="3030" customFormat="1" ht="15.75"/>
    <row r="14" spans="1:6">
      <c r="A14" s="36" t="s">
        <v>1201</v>
      </c>
    </row>
    <row r="15" spans="1:6" ht="7.5" customHeight="1"/>
    <row r="16" spans="1:6" ht="24" customHeight="1">
      <c r="A16" s="3079"/>
      <c r="B16" s="3080" t="s">
        <v>1215</v>
      </c>
      <c r="C16" s="3081">
        <f>'Finançamento Inicial'!$B$6/1000</f>
        <v>0</v>
      </c>
      <c r="D16" s="3082" t="str">
        <f>"miles de "&amp;Parametros!$H$11</f>
        <v>miles de €</v>
      </c>
    </row>
    <row r="18" spans="1:6" ht="18.75">
      <c r="A18" s="36" t="s">
        <v>1216</v>
      </c>
      <c r="C18" s="3031" t="str">
        <f>IF(isoc=0,"¡¡ATENÇÃO!!   Forma jurídica NÃO societária","")</f>
        <v/>
      </c>
    </row>
    <row r="19" spans="1:6" ht="15.75" thickBot="1"/>
    <row r="20" spans="1:6">
      <c r="A20" s="3318" t="s">
        <v>1217</v>
      </c>
      <c r="B20" s="3032">
        <f t="array" ref="B20:F20">Parametros!D$63:H$63</f>
        <v>46023</v>
      </c>
      <c r="C20" s="3032">
        <v>46388</v>
      </c>
      <c r="D20" s="3032">
        <v>46753</v>
      </c>
      <c r="E20" s="3032">
        <v>47119</v>
      </c>
      <c r="F20" s="3032">
        <v>47484</v>
      </c>
    </row>
    <row r="21" spans="1:6" ht="15.75" thickBot="1">
      <c r="A21" s="3319"/>
      <c r="B21" s="3033" t="s">
        <v>1202</v>
      </c>
      <c r="C21" s="3034" t="s">
        <v>324</v>
      </c>
      <c r="D21" s="3035" t="s">
        <v>324</v>
      </c>
      <c r="E21" s="3036" t="s">
        <v>324</v>
      </c>
      <c r="F21" s="3035" t="s">
        <v>324</v>
      </c>
    </row>
    <row r="22" spans="1:6" ht="21" customHeight="1" thickBot="1">
      <c r="A22" s="3037" t="s">
        <v>1218</v>
      </c>
      <c r="B22" s="3048">
        <f t="array" aca="1" ref="B22:F22" ca="1">'Dados Evaluação'!B39:F39</f>
        <v>7199.9999999999991</v>
      </c>
      <c r="C22" s="3049">
        <f ca="1"/>
        <v>12360</v>
      </c>
      <c r="D22" s="3048">
        <f ca="1"/>
        <v>13367.339999999998</v>
      </c>
      <c r="E22" s="3049">
        <f ca="1"/>
        <v>14463.334572</v>
      </c>
      <c r="F22" s="3048">
        <f ca="1"/>
        <v>15640.070423759998</v>
      </c>
    </row>
    <row r="23" spans="1:6" ht="21" customHeight="1" thickBot="1">
      <c r="A23" s="3038" t="s">
        <v>1219</v>
      </c>
      <c r="B23" s="3048">
        <f ca="1">'PPeGG anuais'!B11</f>
        <v>1008.0000000000001</v>
      </c>
      <c r="C23" s="3049">
        <f ca="1">'PPeGG anuais'!D11</f>
        <v>1730.4000000000003</v>
      </c>
      <c r="D23" s="3048">
        <f ca="1">'PPeGG anuais'!G11</f>
        <v>1871.4275999999998</v>
      </c>
      <c r="E23" s="3049">
        <f ca="1">'PPeGG anuais'!J11</f>
        <v>2024.86684008</v>
      </c>
      <c r="F23" s="3048">
        <f ca="1">'PPeGG anuais'!M11</f>
        <v>2189.6098593264005</v>
      </c>
    </row>
    <row r="24" spans="1:6" ht="21" customHeight="1" thickBot="1">
      <c r="A24" s="3037" t="s">
        <v>1220</v>
      </c>
      <c r="B24" s="3048">
        <f ca="1">'PPeGG anuais'!B18</f>
        <v>16214.754545454545</v>
      </c>
      <c r="C24" s="3049">
        <f ca="1">'PPeGG anuais'!D18</f>
        <v>18362.658818181815</v>
      </c>
      <c r="D24" s="3048">
        <f ca="1">'PPeGG anuais'!G18</f>
        <v>19255.816117499999</v>
      </c>
      <c r="E24" s="3049">
        <f ca="1">'PPeGG anuais'!J18</f>
        <v>20178.938349217504</v>
      </c>
      <c r="F24" s="3048">
        <f ca="1">'PPeGG anuais'!M18</f>
        <v>21149.90604192315</v>
      </c>
    </row>
    <row r="25" spans="1:6" ht="21" customHeight="1" thickBot="1">
      <c r="A25" s="3039" t="s">
        <v>1221</v>
      </c>
      <c r="B25" s="3048">
        <f t="array" ref="B25:F25" ca="1">B23:F23+B24:F24</f>
        <v>17222.754545454547</v>
      </c>
      <c r="C25" s="3049">
        <f ca="1"/>
        <v>20093.058818181817</v>
      </c>
      <c r="D25" s="3048">
        <f ca="1"/>
        <v>21127.243717499998</v>
      </c>
      <c r="E25" s="3049">
        <f ca="1"/>
        <v>22203.805189297505</v>
      </c>
      <c r="F25" s="3048">
        <f ca="1"/>
        <v>23339.51590124955</v>
      </c>
    </row>
    <row r="26" spans="1:6" ht="25.5" thickTop="1" thickBot="1">
      <c r="A26" s="3040" t="s">
        <v>1222</v>
      </c>
      <c r="B26" s="3048">
        <f t="array" ref="B26:F26" ca="1">B22:F22-B25:F25</f>
        <v>-10022.754545454547</v>
      </c>
      <c r="C26" s="3049">
        <f ca="1"/>
        <v>-7733.0588181818166</v>
      </c>
      <c r="D26" s="3048">
        <f ca="1"/>
        <v>-7759.9037174999994</v>
      </c>
      <c r="E26" s="3049">
        <f ca="1"/>
        <v>-7740.4706172975057</v>
      </c>
      <c r="F26" s="3048">
        <f ca="1"/>
        <v>-7699.4454774895512</v>
      </c>
    </row>
    <row r="27" spans="1:6" ht="21" customHeight="1" thickTop="1" thickBot="1">
      <c r="A27" s="3037" t="s">
        <v>1223</v>
      </c>
      <c r="B27" s="3048">
        <v>0</v>
      </c>
      <c r="C27" s="3049">
        <v>0</v>
      </c>
      <c r="D27" s="3048">
        <v>0</v>
      </c>
      <c r="E27" s="3049">
        <v>0</v>
      </c>
      <c r="F27" s="3048">
        <v>0</v>
      </c>
    </row>
    <row r="28" spans="1:6" ht="20.25" customHeight="1" thickBot="1">
      <c r="A28" s="3037" t="s">
        <v>1203</v>
      </c>
      <c r="B28" s="3048">
        <f t="array" ref="B28:F28" ca="1">B26:F26-B27:F27</f>
        <v>-10022.754545454547</v>
      </c>
      <c r="C28" s="3049">
        <f ca="1"/>
        <v>-7733.0588181818166</v>
      </c>
      <c r="D28" s="3048">
        <f ca="1"/>
        <v>-7759.9037174999994</v>
      </c>
      <c r="E28" s="3049">
        <f ca="1"/>
        <v>-7740.4706172975057</v>
      </c>
      <c r="F28" s="3048">
        <f ca="1"/>
        <v>-7699.4454774895512</v>
      </c>
    </row>
    <row r="29" spans="1:6" ht="20.25" customHeight="1" thickBot="1">
      <c r="A29" s="3041" t="s">
        <v>1224</v>
      </c>
      <c r="B29" s="3048">
        <f t="array" ref="B29:F29" ca="1">'P. Equilíbrio'!D27:H27</f>
        <v>18955.668076109938</v>
      </c>
      <c r="C29" s="3049">
        <f ca="1"/>
        <v>21525.831183932343</v>
      </c>
      <c r="D29" s="3048">
        <f ca="1"/>
        <v>22578.559222674416</v>
      </c>
      <c r="E29" s="3049">
        <f ca="1"/>
        <v>23667.377555277562</v>
      </c>
      <c r="F29" s="3048">
        <f ca="1"/>
        <v>24812.966155872848</v>
      </c>
    </row>
    <row r="30" spans="1:6" ht="20.25" customHeight="1" thickBot="1">
      <c r="A30" s="3041" t="s">
        <v>1225</v>
      </c>
      <c r="B30" s="3048">
        <f t="array" ref="B30:F30" ca="1">'Dados Evaluação'!B44:F44</f>
        <v>-9490.7601818181847</v>
      </c>
      <c r="C30" s="3049">
        <f ca="1"/>
        <v>-7837.8536618181815</v>
      </c>
      <c r="D30" s="3048">
        <f ca="1"/>
        <v>-7878.3454437000055</v>
      </c>
      <c r="E30" s="3049">
        <f ca="1"/>
        <v>-7868.3598144620919</v>
      </c>
      <c r="F30" s="3048">
        <f ca="1"/>
        <v>-7838.0998829735036</v>
      </c>
    </row>
    <row r="33" spans="1:6" ht="18.75">
      <c r="A33" s="906" t="s">
        <v>1232</v>
      </c>
      <c r="B33" s="904" t="s">
        <v>1233</v>
      </c>
      <c r="C33" s="3031" t="str">
        <f>IF(isoc=0,"¡¡ATENÇÃO!!   Forma jurídica NÃO societária","")</f>
        <v/>
      </c>
      <c r="D33"/>
      <c r="E33"/>
      <c r="F33"/>
    </row>
    <row r="34" spans="1:6" ht="16.5" thickBot="1">
      <c r="A34" s="3042"/>
      <c r="B34"/>
      <c r="C34"/>
      <c r="D34"/>
      <c r="E34"/>
      <c r="F34"/>
    </row>
    <row r="35" spans="1:6" ht="15.75" thickBot="1">
      <c r="A35" s="3320" t="s">
        <v>1217</v>
      </c>
      <c r="B35" s="3032">
        <f t="array" ref="B35:F35">Parametros!D$63:H$63</f>
        <v>46023</v>
      </c>
      <c r="C35" s="3032">
        <v>46388</v>
      </c>
      <c r="D35" s="3032">
        <v>46753</v>
      </c>
      <c r="E35" s="3032">
        <v>47119</v>
      </c>
      <c r="F35" s="3032">
        <v>47484</v>
      </c>
    </row>
    <row r="36" spans="1:6" ht="15.75" thickBot="1">
      <c r="A36" s="3320"/>
      <c r="B36" s="3033" t="s">
        <v>1202</v>
      </c>
      <c r="C36" s="3034" t="s">
        <v>324</v>
      </c>
      <c r="D36" s="3035" t="s">
        <v>324</v>
      </c>
      <c r="E36" s="3036" t="s">
        <v>324</v>
      </c>
      <c r="F36" s="3035" t="s">
        <v>324</v>
      </c>
    </row>
    <row r="37" spans="1:6" ht="29.25" customHeight="1" thickBot="1">
      <c r="A37" s="3071" t="s">
        <v>1226</v>
      </c>
      <c r="B37" s="3072">
        <f t="array" ref="B37:F38" ca="1">'Dados Evaluação'!B49:F50</f>
        <v>1.3003263893647159</v>
      </c>
      <c r="C37" s="3073">
        <f ca="1"/>
        <v>0.50344053475704398</v>
      </c>
      <c r="D37" s="3072">
        <f ca="1"/>
        <v>0.33596005785834893</v>
      </c>
      <c r="E37" s="3073">
        <f ca="1"/>
        <v>0.25132794925782842</v>
      </c>
      <c r="F37" s="3072">
        <f ca="1"/>
        <v>0.20030544139158651</v>
      </c>
    </row>
    <row r="38" spans="1:6" ht="29.25" customHeight="1" thickBot="1">
      <c r="A38" s="3071" t="s">
        <v>1227</v>
      </c>
      <c r="B38" s="3072">
        <f ca="1"/>
        <v>1.3869833619297485</v>
      </c>
      <c r="C38" s="3073">
        <f ca="1"/>
        <v>0.52109695637951092</v>
      </c>
      <c r="D38" s="3072">
        <f ca="1"/>
        <v>0.34434001440965606</v>
      </c>
      <c r="E38" s="3073">
        <f ca="1"/>
        <v>0.25638277522245012</v>
      </c>
      <c r="F38" s="3072">
        <f ca="1"/>
        <v>0.20378015617731698</v>
      </c>
    </row>
    <row r="39" spans="1:6" ht="29.25" customHeight="1" thickBot="1">
      <c r="A39" s="3071" t="s">
        <v>1228</v>
      </c>
      <c r="B39" s="3074">
        <f ca="1">'PPeGG anuais'!B23*IF(isoc=0,(1-'IRS Singulares'!K28),(1-isoc))</f>
        <v>-7767.6347727272723</v>
      </c>
      <c r="C39" s="3075">
        <f ca="1">'PPeGG anuais'!D23*IF(isoc=0,(1-'IRS Singulares'!L28),(1-isoc))</f>
        <v>-5993.120584090907</v>
      </c>
      <c r="D39" s="3074">
        <f ca="1">'PPeGG anuais'!G23*IF(isoc=0,(1-'IRS Singulares'!M28),(1-isoc))</f>
        <v>-6013.9253810624996</v>
      </c>
      <c r="E39" s="3075">
        <f ca="1">'PPeGG anuais'!J23*IF(isoc=0,(1-'IRS Singulares'!N28),(1-isoc))</f>
        <v>-5998.864728405566</v>
      </c>
      <c r="F39" s="3074">
        <f ca="1">'PPeGG anuais'!M23*IF(isoc=0,(1-'IRS Singulares'!O28),(1-isoc))</f>
        <v>-5967.070245054404</v>
      </c>
    </row>
    <row r="40" spans="1:6" ht="29.25" customHeight="1" thickBot="1">
      <c r="A40" s="3071" t="s">
        <v>1229</v>
      </c>
      <c r="B40" s="3074">
        <f ca="1">-SUM('Valoração da Empresa'!B10:C12)</f>
        <v>0</v>
      </c>
      <c r="C40" s="3075">
        <f t="array" aca="1" ref="C40:F40" ca="1">-'Valoração da Empresa'!D10:G10-'Valoração da Empresa'!D11:G11-'Valoração da Empresa'!D12:G12</f>
        <v>0</v>
      </c>
      <c r="D40" s="3074">
        <f ca="1"/>
        <v>0</v>
      </c>
      <c r="E40" s="3075">
        <f ca="1"/>
        <v>0</v>
      </c>
      <c r="F40" s="3074">
        <f ca="1"/>
        <v>0</v>
      </c>
    </row>
    <row r="41" spans="1:6" ht="29.25" customHeight="1" thickBot="1">
      <c r="A41" s="3071" t="s">
        <v>1230</v>
      </c>
      <c r="B41" s="3074">
        <f ca="1">SUM('Valoração da Empresa'!B7:C9)</f>
        <v>-10022.754545454545</v>
      </c>
      <c r="C41" s="3075">
        <f t="array" ref="C41:F41" ca="1">'Valoração da Empresa'!D7:G7+'Valoração da Empresa'!D8:G8+'Valoração da Empresa'!D9:G9</f>
        <v>-7733.0588181818193</v>
      </c>
      <c r="D41" s="3074">
        <f ca="1"/>
        <v>-7759.9037175000012</v>
      </c>
      <c r="E41" s="3075">
        <f ca="1"/>
        <v>-7740.4706172974984</v>
      </c>
      <c r="F41" s="3074">
        <f ca="1"/>
        <v>-7699.4454774895503</v>
      </c>
    </row>
    <row r="42" spans="1:6" ht="29.25" customHeight="1" thickBot="1">
      <c r="A42" s="3071" t="s">
        <v>1231</v>
      </c>
      <c r="B42" s="3074">
        <f ca="1">SUM('Valoração da Empresa'!B14:C14)</f>
        <v>-10022.754545454545</v>
      </c>
      <c r="C42" s="3075">
        <f t="array" ref="C42:F42" ca="1">'Valoração da Empresa'!D14:G14</f>
        <v>-7733.0588181818193</v>
      </c>
      <c r="D42" s="3074">
        <f ca="1"/>
        <v>-7759.9037175000012</v>
      </c>
      <c r="E42" s="3075">
        <f ca="1"/>
        <v>-7740.4706172974984</v>
      </c>
      <c r="F42" s="3074">
        <f ca="1"/>
        <v>-7699.4454774895503</v>
      </c>
    </row>
    <row r="43" spans="1:6" ht="23.25" thickBot="1">
      <c r="A43" s="3076" t="s">
        <v>1245</v>
      </c>
      <c r="B43" s="3116">
        <f ca="1">B42/('Balanços anuais'!F26+'Balanços anuais'!F32)</f>
        <v>1.2891210638651638</v>
      </c>
      <c r="C43" s="3117">
        <f ca="1">C42/('Balanços anuais'!H26+'Balanços anuais'!H32)</f>
        <v>0.49388881183859601</v>
      </c>
      <c r="D43" s="3116">
        <f ca="1">D42/('Balanços anuais'!J26+'Balanços anuais'!J32)</f>
        <v>0.32910040019319897</v>
      </c>
      <c r="E43" s="3117">
        <f ca="1">E42/('Balanços anuais'!L26+'Balanços anuais'!L32)</f>
        <v>0.24577124221140342</v>
      </c>
      <c r="F43" s="3116">
        <f ca="1">F42/('Balanços anuais'!N26+'Balanços anuais'!N32)</f>
        <v>0.19550023646496292</v>
      </c>
    </row>
    <row r="46" spans="1:6" ht="15.75">
      <c r="A46" s="3042" t="s">
        <v>1240</v>
      </c>
      <c r="B46"/>
      <c r="C46" s="5" t="s">
        <v>1234</v>
      </c>
    </row>
    <row r="47" spans="1:6" ht="16.5" thickBot="1">
      <c r="A47" s="3042"/>
      <c r="B47"/>
    </row>
    <row r="48" spans="1:6" ht="19.5" thickBot="1">
      <c r="A48" s="3320" t="s">
        <v>1217</v>
      </c>
      <c r="B48" s="3032">
        <f>Parametros!H63</f>
        <v>47484</v>
      </c>
      <c r="D48" s="3031" t="str">
        <f>IF(isoc=0,"¡¡ATENÇÃO!!   Forma jurídica NÃO societária","")</f>
        <v/>
      </c>
    </row>
    <row r="49" spans="1:6" ht="15.75" thickBot="1">
      <c r="A49" s="3320"/>
      <c r="B49" s="3033" t="s">
        <v>324</v>
      </c>
    </row>
    <row r="50" spans="1:6" ht="15.75" thickBot="1">
      <c r="A50" s="3071" t="str">
        <f>"Terminal Value ( "&amp;Parametros!$H$11&amp;" )"</f>
        <v>Terminal Value ( € )</v>
      </c>
      <c r="B50" s="3074">
        <f ca="1">'Valoração da Empresa'!G29</f>
        <v>-29230.142309713097</v>
      </c>
    </row>
    <row r="51" spans="1:6" ht="15.75" thickBot="1">
      <c r="A51" s="3071" t="str">
        <f>"Enterprise Value ( "&amp;Parametros!$H$11&amp;" )"</f>
        <v>Enterprise Value ( € )</v>
      </c>
      <c r="B51" s="3074">
        <f ca="1">'Balanços anuais'!N26+B52-'Balanços anuais'!N22</f>
        <v>0</v>
      </c>
    </row>
    <row r="52" spans="1:6" ht="15.75" thickBot="1">
      <c r="A52" s="3071" t="str">
        <f>"Dívida  ( "&amp;Parametros!$H$11&amp;" )"</f>
        <v>Dívida  ( € )</v>
      </c>
      <c r="B52" s="3074">
        <f ca="1">'Balanços anuais'!N32+'Balanços anuais'!N37</f>
        <v>671.53620560014804</v>
      </c>
    </row>
    <row r="53" spans="1:6" ht="15.75" thickBot="1">
      <c r="A53" s="3071" t="str">
        <f>"Equty Value ( "&amp;Parametros!$H$11&amp;" )"</f>
        <v>Equty Value ( € )</v>
      </c>
      <c r="B53" s="3074">
        <f ca="1">'Balanços anuais'!N26</f>
        <v>-39383.305190372113</v>
      </c>
    </row>
    <row r="54" spans="1:6" ht="15.75" thickBot="1">
      <c r="A54" s="3071" t="str">
        <f>"Valor Atual ( "&amp;Parametros!$H$11&amp;" )"</f>
        <v>Valor Atual ( € )</v>
      </c>
      <c r="B54" s="3077">
        <f ca="1">'Valoração da Empresa'!G29</f>
        <v>-29230.142309713097</v>
      </c>
    </row>
    <row r="55" spans="1:6" ht="15.75" thickBot="1">
      <c r="A55" s="3071" t="str">
        <f>"VAN ( "&amp;Parametros!$H$11&amp;" año "&amp;'Dados Básicos'!$B$15&amp;")"</f>
        <v>VAN ( € año 2026)</v>
      </c>
      <c r="B55" s="3077">
        <f ca="1">'Valoração da Empresa'!G30</f>
        <v>-43043.190506312763</v>
      </c>
    </row>
    <row r="56" spans="1:6" ht="15.75" thickBot="1">
      <c r="A56" s="3071" t="s">
        <v>187</v>
      </c>
      <c r="B56" s="3072" t="str">
        <f ca="1">'Valoração da Empresa'!G21</f>
        <v>N/D</v>
      </c>
    </row>
    <row r="57" spans="1:6" ht="15.75" thickBot="1">
      <c r="A57" s="3071" t="s">
        <v>1252</v>
      </c>
      <c r="B57" s="3078" t="str">
        <f ca="1">'Valoração da Empresa'!G19</f>
        <v>N/D</v>
      </c>
    </row>
    <row r="58" spans="1:6" ht="15.75" thickBot="1">
      <c r="A58" s="3071" t="s">
        <v>1235</v>
      </c>
      <c r="B58" s="3072">
        <f ca="1">'Dados Evaluação'!F49</f>
        <v>0.20030544139158651</v>
      </c>
    </row>
    <row r="59" spans="1:6" ht="15.75" thickBot="1">
      <c r="A59" s="3071" t="s">
        <v>1236</v>
      </c>
      <c r="B59" s="3072">
        <f>'Valoração da Empresa'!B27</f>
        <v>0.13</v>
      </c>
    </row>
    <row r="62" spans="1:6" ht="18.75">
      <c r="A62" s="3042" t="str">
        <f>"3.4.- Capital Solicitado (Em miles de "&amp;Moneda&amp;"):"</f>
        <v>3.4.- Capital Solicitado (Em miles de Euros):</v>
      </c>
      <c r="B62"/>
      <c r="C62" s="3031"/>
      <c r="D62"/>
      <c r="E62"/>
    </row>
    <row r="63" spans="1:6" ht="4.5" customHeight="1" thickBot="1">
      <c r="A63" s="3042"/>
      <c r="B63"/>
      <c r="C63"/>
      <c r="D63"/>
      <c r="E63"/>
    </row>
    <row r="64" spans="1:6" ht="27.75" customHeight="1" thickBot="1">
      <c r="A64" s="3043" t="s">
        <v>1241</v>
      </c>
      <c r="B64" s="3044" t="s">
        <v>1204</v>
      </c>
      <c r="C64" s="3044" t="s">
        <v>1204</v>
      </c>
      <c r="D64" s="3044" t="s">
        <v>1204</v>
      </c>
      <c r="E64" s="3044" t="s">
        <v>1204</v>
      </c>
      <c r="F64" s="3045" t="s">
        <v>1205</v>
      </c>
    </row>
    <row r="65" spans="1:6" ht="22.5" customHeight="1" thickBot="1">
      <c r="A65" s="3041" t="s">
        <v>1206</v>
      </c>
      <c r="B65" s="3046"/>
      <c r="C65" s="3046"/>
      <c r="D65" s="3046"/>
      <c r="E65" s="3047"/>
      <c r="F65" s="3047">
        <f>SUM(B65:E65)</f>
        <v>0</v>
      </c>
    </row>
    <row r="67" spans="1:6">
      <c r="A67" s="3042" t="s">
        <v>1237</v>
      </c>
    </row>
    <row r="68" spans="1:6" ht="15.75" thickBot="1"/>
    <row r="69" spans="1:6" ht="27" customHeight="1">
      <c r="A69" s="3083" t="s">
        <v>1239</v>
      </c>
      <c r="B69" s="3084"/>
      <c r="C69" s="3085"/>
    </row>
    <row r="70" spans="1:6">
      <c r="A70" s="3086"/>
      <c r="B70" s="3087" t="str">
        <f>"Valoração Pre-Money ( "&amp;Parametros!$H$11&amp;" )"</f>
        <v>Valoração Pre-Money ( € )</v>
      </c>
      <c r="C70" s="3088">
        <f>C16*1000</f>
        <v>0</v>
      </c>
    </row>
    <row r="71" spans="1:6">
      <c r="A71" s="3086"/>
      <c r="B71" s="3087"/>
      <c r="C71" s="3088"/>
    </row>
    <row r="72" spans="1:6">
      <c r="A72" s="3086"/>
      <c r="B72" s="3087" t="str">
        <f>"Inversão prevista ( "&amp;Parametros!$H$11&amp;" )"</f>
        <v>Inversão prevista ( € )</v>
      </c>
      <c r="C72" s="3088">
        <f>Finançamento!D14</f>
        <v>3000</v>
      </c>
    </row>
    <row r="73" spans="1:6">
      <c r="A73" s="3086"/>
      <c r="B73" s="3087" t="s">
        <v>1238</v>
      </c>
      <c r="C73" s="3089">
        <f>IFERROR(C72/(C70+C72),"-")</f>
        <v>1</v>
      </c>
    </row>
    <row r="74" spans="1:6">
      <c r="A74" s="3086"/>
      <c r="B74" s="3087"/>
      <c r="C74" s="3088"/>
    </row>
    <row r="75" spans="1:6" ht="15.75" thickBot="1">
      <c r="A75" s="3090"/>
      <c r="B75" s="3091" t="str">
        <f>"Valoração Post-Money ( "&amp;Parametros!$H$11&amp;" )"</f>
        <v>Valoração Post-Money ( € )</v>
      </c>
      <c r="C75" s="3092">
        <f>C70+C72</f>
        <v>3000</v>
      </c>
    </row>
  </sheetData>
  <sheetProtection sheet="1" objects="1" scenarios="1"/>
  <mergeCells count="3">
    <mergeCell ref="A20:A21"/>
    <mergeCell ref="A35:A36"/>
    <mergeCell ref="A48:A49"/>
  </mergeCells>
  <dataValidations count="1">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1" xr:uid="{00000000-0002-0000-4C00-000000000000}"/>
  </dataValidations>
  <pageMargins left="0.7" right="0.7" top="0.75" bottom="0.75" header="0.3" footer="0.3"/>
  <pageSetup paperSize="9" scale="5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9"/>
  <sheetViews>
    <sheetView workbookViewId="0"/>
  </sheetViews>
  <sheetFormatPr baseColWidth="10" defaultRowHeight="15.75"/>
  <cols>
    <col min="1" max="1" width="37.5" style="1" customWidth="1"/>
    <col min="2" max="2" width="9.75" style="1" customWidth="1"/>
    <col min="3" max="6" width="9.75" customWidth="1"/>
  </cols>
  <sheetData>
    <row r="1" spans="1:7" ht="22.5">
      <c r="A1" s="417" t="s">
        <v>517</v>
      </c>
    </row>
    <row r="2" spans="1:7" ht="22.5">
      <c r="A2" s="417" t="str">
        <f>'Dados Básicos'!B9</f>
        <v>WWW, S.L.</v>
      </c>
    </row>
    <row r="3" spans="1:7" ht="22.5">
      <c r="A3" s="417"/>
    </row>
    <row r="4" spans="1:7" ht="16.5" thickBot="1"/>
    <row r="5" spans="1:7" ht="30.75" customHeight="1" thickBot="1">
      <c r="A5" s="1638" t="s">
        <v>500</v>
      </c>
      <c r="B5" s="1639" t="str">
        <f t="array" ref="B5:F5">anni</f>
        <v>Ano 0:  2026</v>
      </c>
      <c r="C5" s="568" t="str">
        <v>Ano 1:  2027</v>
      </c>
      <c r="D5" s="568" t="str">
        <v>Ano 2:  2028</v>
      </c>
      <c r="E5" s="568" t="str">
        <v>Ano 3:  2029</v>
      </c>
      <c r="F5" s="568" t="str">
        <v>Ano 4:  2030</v>
      </c>
    </row>
    <row r="6" spans="1:7" ht="16.5" thickBot="1"/>
    <row r="7" spans="1:7" ht="32.25" customHeight="1" thickBot="1">
      <c r="A7" s="1656" t="s">
        <v>501</v>
      </c>
      <c r="B7" s="2755" t="str">
        <f t="array" ref="B7:F7">B$5:F$5</f>
        <v>Ano 0:  2026</v>
      </c>
      <c r="C7" s="2755" t="str">
        <v>Ano 1:  2027</v>
      </c>
      <c r="D7" s="2755" t="str">
        <v>Ano 2:  2028</v>
      </c>
      <c r="E7" s="2755" t="str">
        <v>Ano 3:  2029</v>
      </c>
      <c r="F7" s="2755" t="str">
        <v>Ano 4:  2030</v>
      </c>
    </row>
    <row r="8" spans="1:7" ht="18">
      <c r="A8" s="2317" t="s">
        <v>413</v>
      </c>
      <c r="B8" s="2431">
        <f>IF(isoc&lt;&gt;0,'Dados Básicos'!C79,0)*IF(Parametros!$C$46&gt;0,0,1)</f>
        <v>350</v>
      </c>
      <c r="C8" s="2431">
        <v>0</v>
      </c>
      <c r="D8" s="2431">
        <v>0</v>
      </c>
      <c r="E8" s="2431">
        <v>0</v>
      </c>
      <c r="F8" s="2432">
        <v>0</v>
      </c>
      <c r="G8" s="2448" t="s">
        <v>309</v>
      </c>
    </row>
    <row r="9" spans="1:7" ht="18">
      <c r="A9" s="2317" t="s">
        <v>502</v>
      </c>
      <c r="B9" s="2431">
        <f>IF(isoc&lt;&gt;0,'Dados Básicos'!C80,0)*IF(Parametros!$C$46&gt;0,0,1)</f>
        <v>35</v>
      </c>
      <c r="C9" s="2431">
        <v>0</v>
      </c>
      <c r="D9" s="2431">
        <v>0</v>
      </c>
      <c r="E9" s="2431">
        <v>0</v>
      </c>
      <c r="F9" s="2432">
        <v>0</v>
      </c>
      <c r="G9" s="2448" t="s">
        <v>310</v>
      </c>
    </row>
    <row r="10" spans="1:7" ht="18">
      <c r="A10" s="2317" t="s">
        <v>503</v>
      </c>
      <c r="B10" s="2431">
        <f>IF(isoc&lt;&gt;0,'Dados Básicos'!C81,0)*IF(Parametros!$C$46&gt;0,0,1)</f>
        <v>250</v>
      </c>
      <c r="C10" s="2431">
        <v>0</v>
      </c>
      <c r="D10" s="2431">
        <v>0</v>
      </c>
      <c r="E10" s="2431">
        <v>0</v>
      </c>
      <c r="F10" s="2432">
        <v>0</v>
      </c>
      <c r="G10" s="2448" t="s">
        <v>311</v>
      </c>
    </row>
    <row r="11" spans="1:7" ht="18.75" thickBot="1">
      <c r="A11" s="2308" t="s">
        <v>504</v>
      </c>
      <c r="B11" s="1642">
        <f>IF(OR(irpf&lt;&gt;0,MAX('Inv. Iniciais ANC'!C1:C63)&gt;0),0,ITP*('Finançamento Inicial'!C8+'Finançamento Inicial'!C7))*IF(Parametros!$C$46&gt;0,0,1)</f>
        <v>30</v>
      </c>
      <c r="C11" s="1642">
        <f t="array" ref="C11:F11">IF(irpf&lt;&gt;0,0,ITP*Finançamento!E14:H14)</f>
        <v>0</v>
      </c>
      <c r="D11" s="1642">
        <v>0</v>
      </c>
      <c r="E11" s="1642">
        <v>0</v>
      </c>
      <c r="F11" s="1643">
        <v>0</v>
      </c>
      <c r="G11" s="2448" t="s">
        <v>312</v>
      </c>
    </row>
    <row r="12" spans="1:7" ht="16.5" thickBot="1">
      <c r="A12" s="1644" t="str">
        <f>+A7</f>
        <v>Despesas de Constituição</v>
      </c>
      <c r="B12" s="1645">
        <f>SUM(B7:B11)</f>
        <v>665</v>
      </c>
      <c r="C12" s="1645">
        <f>SUM(C7:C11)</f>
        <v>0</v>
      </c>
      <c r="D12" s="1645">
        <f>SUM(D7:D11)</f>
        <v>0</v>
      </c>
      <c r="E12" s="1645">
        <f>SUM(E7:E11)</f>
        <v>0</v>
      </c>
      <c r="F12" s="1646">
        <f>SUM(F7:F11)</f>
        <v>0</v>
      </c>
      <c r="G12" s="2003">
        <f>MAX(B12:F12)</f>
        <v>665</v>
      </c>
    </row>
    <row r="13" spans="1:7" ht="16.5" thickBot="1"/>
    <row r="14" spans="1:7" ht="31.5" customHeight="1" thickBot="1">
      <c r="A14" s="1656" t="s">
        <v>505</v>
      </c>
      <c r="B14" s="2755" t="str">
        <f t="array" ref="B14:F14">B$5:F$5</f>
        <v>Ano 0:  2026</v>
      </c>
      <c r="C14" s="2755" t="str">
        <v>Ano 1:  2027</v>
      </c>
      <c r="D14" s="2755" t="str">
        <v>Ano 2:  2028</v>
      </c>
      <c r="E14" s="2755" t="str">
        <v>Ano 3:  2029</v>
      </c>
      <c r="F14" s="2755" t="str">
        <v>Ano 4:  2030</v>
      </c>
    </row>
    <row r="15" spans="1:7">
      <c r="A15" s="2317" t="s">
        <v>506</v>
      </c>
      <c r="B15" s="2433">
        <v>0</v>
      </c>
      <c r="C15" s="2433">
        <v>0</v>
      </c>
      <c r="D15" s="2433">
        <v>0</v>
      </c>
      <c r="E15" s="2433">
        <v>0</v>
      </c>
      <c r="F15" s="2434">
        <v>0</v>
      </c>
    </row>
    <row r="16" spans="1:7">
      <c r="A16" s="2317" t="s">
        <v>507</v>
      </c>
      <c r="B16" s="2433">
        <v>0</v>
      </c>
      <c r="C16" s="2433">
        <v>0</v>
      </c>
      <c r="D16" s="2433">
        <v>0</v>
      </c>
      <c r="E16" s="2433">
        <v>0</v>
      </c>
      <c r="F16" s="2434">
        <v>0</v>
      </c>
    </row>
    <row r="17" spans="1:7">
      <c r="A17" s="2318" t="s">
        <v>508</v>
      </c>
      <c r="B17" s="2435">
        <v>0</v>
      </c>
      <c r="C17" s="2435">
        <v>0</v>
      </c>
      <c r="D17" s="2435">
        <v>0</v>
      </c>
      <c r="E17" s="2435">
        <v>0</v>
      </c>
      <c r="F17" s="2436">
        <v>0</v>
      </c>
    </row>
    <row r="18" spans="1:7">
      <c r="A18" s="2322" t="s">
        <v>509</v>
      </c>
      <c r="B18" s="2435">
        <v>0</v>
      </c>
      <c r="C18" s="2435">
        <v>0</v>
      </c>
      <c r="D18" s="2435">
        <v>0</v>
      </c>
      <c r="E18" s="2435">
        <v>0</v>
      </c>
      <c r="F18" s="2436">
        <v>0</v>
      </c>
    </row>
    <row r="19" spans="1:7" ht="16.5" thickBot="1">
      <c r="A19" s="2322" t="s">
        <v>510</v>
      </c>
      <c r="B19" s="2437">
        <v>0</v>
      </c>
      <c r="C19" s="2437">
        <v>0</v>
      </c>
      <c r="D19" s="2437">
        <v>0</v>
      </c>
      <c r="E19" s="2437">
        <v>0</v>
      </c>
      <c r="F19" s="2438">
        <v>0</v>
      </c>
    </row>
    <row r="20" spans="1:7" ht="16.5" thickBot="1">
      <c r="A20" s="1644" t="str">
        <f>+A14</f>
        <v>Despesas de Establecimento</v>
      </c>
      <c r="B20" s="1647">
        <f>SUM(B15:B19)</f>
        <v>0</v>
      </c>
      <c r="C20" s="1647">
        <f>SUM(C14:C19)</f>
        <v>0</v>
      </c>
      <c r="D20" s="1647">
        <f>SUM(D14:D19)</f>
        <v>0</v>
      </c>
      <c r="E20" s="1647">
        <f>SUM(E14:E19)</f>
        <v>0</v>
      </c>
      <c r="F20" s="605">
        <f>SUM(F14:F19)</f>
        <v>0</v>
      </c>
      <c r="G20" s="2003">
        <f>MAX(B20:F20)</f>
        <v>0</v>
      </c>
    </row>
    <row r="21" spans="1:7" ht="16.5" thickBot="1">
      <c r="A21" s="1814"/>
      <c r="B21" s="1815"/>
      <c r="C21" s="1813"/>
      <c r="D21" s="1813"/>
      <c r="E21" s="1813"/>
      <c r="F21" s="1813"/>
    </row>
    <row r="22" spans="1:7" ht="18.75" customHeight="1" thickBot="1">
      <c r="A22" s="1656" t="s">
        <v>511</v>
      </c>
      <c r="B22" s="1657" t="s">
        <v>494</v>
      </c>
    </row>
    <row r="23" spans="1:7">
      <c r="A23" s="2319" t="s">
        <v>512</v>
      </c>
      <c r="B23" s="3136">
        <f>('Despesas Fixas Dados'!C32+'Despesas Fixas Dados'!C33)*'Despesas Fixas Dados'!$B$21</f>
        <v>0</v>
      </c>
    </row>
    <row r="24" spans="1:7">
      <c r="A24" s="2320" t="s">
        <v>513</v>
      </c>
      <c r="B24" s="2439">
        <v>0</v>
      </c>
    </row>
    <row r="25" spans="1:7" ht="16.5" thickBot="1">
      <c r="A25" s="2321" t="s">
        <v>307</v>
      </c>
      <c r="B25" s="2408">
        <f>+'Bal. Inicial Previo'!D16+'Bal. Inicial Previo'!D18</f>
        <v>0</v>
      </c>
      <c r="C25" s="2324" t="str">
        <f>IF(consolidacion," (Bal. Previo)","")</f>
        <v/>
      </c>
    </row>
    <row r="26" spans="1:7" ht="16.5" thickBot="1">
      <c r="A26" s="1644" t="s">
        <v>514</v>
      </c>
      <c r="B26" s="1658">
        <f>SUM(B23:B25)</f>
        <v>0</v>
      </c>
    </row>
    <row r="28" spans="1:7">
      <c r="A28" s="2004" t="s">
        <v>515</v>
      </c>
      <c r="B28" s="2004"/>
      <c r="C28" s="2004"/>
      <c r="D28" s="2004"/>
      <c r="E28" s="2004"/>
      <c r="F28" s="2004"/>
    </row>
    <row r="29" spans="1:7">
      <c r="A29" s="2004" t="s">
        <v>1139</v>
      </c>
      <c r="B29" s="2004"/>
      <c r="C29" s="2004"/>
      <c r="D29" s="2004"/>
      <c r="E29" s="2004"/>
      <c r="F29" s="2004"/>
    </row>
  </sheetData>
  <sheetProtection sheet="1" objects="1" scenarios="1"/>
  <phoneticPr fontId="4" type="noConversion"/>
  <conditionalFormatting sqref="A28:F28">
    <cfRule type="expression" dxfId="48" priority="1" stopIfTrue="1">
      <formula>$G$12&lt;&gt;0</formula>
    </cfRule>
  </conditionalFormatting>
  <conditionalFormatting sqref="A29:F29">
    <cfRule type="expression" dxfId="47" priority="3" stopIfTrue="1">
      <formula>$G$20&lt;&gt;0</formula>
    </cfRule>
  </conditionalFormatting>
  <printOptions horizontalCentered="1"/>
  <pageMargins left="0.78740157480314965" right="0.78740157480314965" top="0.51181102362204722" bottom="0.51181102362204722" header="0" footer="0"/>
  <pageSetup paperSize="9" scale="88"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pageSetUpPr fitToPage="1"/>
  </sheetPr>
  <dimension ref="A1:K66"/>
  <sheetViews>
    <sheetView workbookViewId="0"/>
  </sheetViews>
  <sheetFormatPr baseColWidth="10" defaultColWidth="11" defaultRowHeight="15"/>
  <cols>
    <col min="1" max="1" width="39.125" style="21" customWidth="1"/>
    <col min="2" max="2" width="16.25" style="21" customWidth="1"/>
    <col min="3" max="3" width="13.625" style="21" customWidth="1"/>
    <col min="4" max="6" width="13.625" style="22" customWidth="1"/>
    <col min="7" max="7" width="18.75" style="22" customWidth="1"/>
    <col min="8" max="8" width="17.25" style="22" customWidth="1"/>
    <col min="9" max="10" width="15.625" style="20" customWidth="1"/>
    <col min="11" max="16384" width="11" style="21"/>
  </cols>
  <sheetData>
    <row r="1" spans="1:10" ht="27">
      <c r="A1" s="26" t="s">
        <v>516</v>
      </c>
      <c r="B1" s="18"/>
      <c r="C1" s="18"/>
      <c r="D1" s="19"/>
      <c r="E1" s="19"/>
      <c r="F1" s="19"/>
      <c r="G1" s="19"/>
      <c r="H1" s="19"/>
    </row>
    <row r="2" spans="1:10" ht="27">
      <c r="A2" s="26" t="str">
        <f>'Dados Básicos'!B9</f>
        <v>WWW, S.L.</v>
      </c>
      <c r="B2" s="18"/>
      <c r="C2" s="18"/>
      <c r="D2" s="19"/>
      <c r="E2" s="19"/>
      <c r="F2" s="19"/>
      <c r="G2" s="19"/>
      <c r="H2" s="19"/>
    </row>
    <row r="3" spans="1:10" ht="25.5">
      <c r="A3" s="18"/>
      <c r="B3" s="18"/>
      <c r="C3" s="18"/>
      <c r="D3" s="18"/>
      <c r="E3" s="18"/>
      <c r="F3" s="18"/>
      <c r="G3" s="19"/>
      <c r="H3" s="19"/>
    </row>
    <row r="4" spans="1:10" ht="15.75" thickBot="1">
      <c r="F4" s="25"/>
    </row>
    <row r="5" spans="1:10" ht="26.25" thickBot="1">
      <c r="A5" s="2246" t="s">
        <v>518</v>
      </c>
      <c r="B5" s="2207"/>
      <c r="C5" s="2208"/>
      <c r="D5" s="2209"/>
      <c r="E5" s="2211"/>
      <c r="F5" s="20"/>
    </row>
    <row r="6" spans="1:10" ht="20.25" thickBot="1">
      <c r="A6" s="2247"/>
      <c r="B6" s="2248"/>
      <c r="C6" s="2249"/>
      <c r="D6" s="2250"/>
      <c r="E6" s="2251"/>
      <c r="F6" s="20"/>
      <c r="G6" s="2899" t="s">
        <v>1127</v>
      </c>
      <c r="H6" s="2900" t="s">
        <v>19</v>
      </c>
      <c r="I6" s="2901" t="s">
        <v>1128</v>
      </c>
    </row>
    <row r="7" spans="1:10" ht="18" customHeight="1">
      <c r="A7" s="2226" t="s">
        <v>1120</v>
      </c>
      <c r="B7" s="1559">
        <f>SUM(B8:B9)</f>
        <v>0</v>
      </c>
      <c r="C7" s="27"/>
      <c r="D7" s="2445">
        <f ca="1">SUM(B8,B12:B14,B19)+'Inv. Iniciais ANC'!B65-'Inv. Iniciais ANC'!E65
+'Despesas Iniciais'!B12-SUM(Finançamento!D14:D17)</f>
        <v>-2201.65</v>
      </c>
      <c r="E7" s="2227"/>
      <c r="F7" s="20"/>
      <c r="G7" s="2902">
        <f>SUM(G8:G9)</f>
        <v>0</v>
      </c>
      <c r="H7" s="2903">
        <f>SUM(H8:H9)</f>
        <v>0</v>
      </c>
      <c r="I7" s="2904">
        <f>G7+H7</f>
        <v>0</v>
      </c>
    </row>
    <row r="8" spans="1:10" ht="18" customHeight="1">
      <c r="A8" s="2231" t="s">
        <v>519</v>
      </c>
      <c r="B8" s="2420">
        <v>0</v>
      </c>
      <c r="C8" s="27"/>
      <c r="D8" s="20"/>
      <c r="E8" s="2227"/>
      <c r="F8" s="20"/>
      <c r="G8" s="2905">
        <v>0</v>
      </c>
      <c r="H8" s="2906">
        <f>B8</f>
        <v>0</v>
      </c>
      <c r="I8" s="2907">
        <f>G8+H8</f>
        <v>0</v>
      </c>
    </row>
    <row r="9" spans="1:10" ht="18" customHeight="1" thickBot="1">
      <c r="A9" s="2325" t="s">
        <v>520</v>
      </c>
      <c r="B9" s="2412">
        <f>+'Bal. Inicial Previo'!D23</f>
        <v>0</v>
      </c>
      <c r="C9" s="2414" t="str">
        <f>IF(consolidacion," (Bal. Previo)","")</f>
        <v/>
      </c>
      <c r="D9" s="20"/>
      <c r="E9" s="2227"/>
      <c r="F9" s="20"/>
      <c r="G9" s="2905">
        <f>'Bal. Inicial Previo'!D23</f>
        <v>0</v>
      </c>
      <c r="H9" s="2908">
        <v>0</v>
      </c>
      <c r="I9" s="2907">
        <f>G9+H9</f>
        <v>0</v>
      </c>
    </row>
    <row r="10" spans="1:10" ht="15.75" thickBot="1">
      <c r="A10" s="29"/>
      <c r="B10" s="28"/>
      <c r="C10" s="27"/>
      <c r="D10" s="20"/>
      <c r="E10" s="2227"/>
      <c r="F10" s="20"/>
      <c r="G10" s="2909"/>
      <c r="H10" s="2910"/>
      <c r="I10" s="2911"/>
      <c r="J10" s="21"/>
    </row>
    <row r="11" spans="1:10" ht="16.5" customHeight="1">
      <c r="A11" s="2226" t="s">
        <v>521</v>
      </c>
      <c r="B11" s="926">
        <f ca="1">SUM(B12:B16)</f>
        <v>0</v>
      </c>
      <c r="C11" s="179" t="str">
        <f>"taxa "&amp;'Dados Básicos'!$A$28</f>
        <v>taxa IVA</v>
      </c>
      <c r="D11" s="1560" t="s">
        <v>75</v>
      </c>
      <c r="E11" s="2228" t="s">
        <v>74</v>
      </c>
      <c r="G11" s="2902">
        <f ca="1">SUM(G12:G16)</f>
        <v>0</v>
      </c>
      <c r="H11" s="2903">
        <f>SUM(H12:H16)</f>
        <v>0</v>
      </c>
      <c r="I11" s="2904">
        <f t="shared" ref="I11:I16" ca="1" si="0">G11+H11</f>
        <v>0</v>
      </c>
    </row>
    <row r="12" spans="1:10" ht="19.5" customHeight="1">
      <c r="A12" s="2229" t="s">
        <v>522</v>
      </c>
      <c r="B12" s="2423">
        <v>0</v>
      </c>
      <c r="C12" s="2428">
        <f>'Dados Básicos'!$C$29</f>
        <v>0.21</v>
      </c>
      <c r="D12" s="2425">
        <v>0</v>
      </c>
      <c r="E12" s="2230">
        <f t="array" ref="E12:E14">IF(B12:B14*D12:D14&gt;0,D12:D14/B12:B14,0)</f>
        <v>0</v>
      </c>
      <c r="G12" s="2905">
        <v>0</v>
      </c>
      <c r="H12" s="2906">
        <f>+B12</f>
        <v>0</v>
      </c>
      <c r="I12" s="2907">
        <f t="shared" si="0"/>
        <v>0</v>
      </c>
    </row>
    <row r="13" spans="1:10" ht="19.5" customHeight="1">
      <c r="A13" s="2231" t="s">
        <v>523</v>
      </c>
      <c r="B13" s="2424">
        <v>0</v>
      </c>
      <c r="C13" s="2429">
        <v>0.1</v>
      </c>
      <c r="D13" s="2426">
        <v>0</v>
      </c>
      <c r="E13" s="2232">
        <v>0</v>
      </c>
      <c r="G13" s="2905">
        <v>0</v>
      </c>
      <c r="H13" s="2906">
        <f>+B13</f>
        <v>0</v>
      </c>
      <c r="I13" s="2907">
        <f t="shared" si="0"/>
        <v>0</v>
      </c>
    </row>
    <row r="14" spans="1:10" ht="19.5" customHeight="1" thickBot="1">
      <c r="A14" s="2231" t="s">
        <v>593</v>
      </c>
      <c r="B14" s="2424">
        <v>0</v>
      </c>
      <c r="C14" s="2430">
        <v>0.04</v>
      </c>
      <c r="D14" s="2427">
        <v>0</v>
      </c>
      <c r="E14" s="2233">
        <v>0</v>
      </c>
      <c r="G14" s="2905">
        <v>0</v>
      </c>
      <c r="H14" s="2906">
        <f>+B14</f>
        <v>0</v>
      </c>
      <c r="I14" s="2907">
        <f t="shared" si="0"/>
        <v>0</v>
      </c>
    </row>
    <row r="15" spans="1:10" ht="19.5" customHeight="1">
      <c r="A15" s="2234" t="s">
        <v>1140</v>
      </c>
      <c r="B15" s="2410">
        <f ca="1">'Distr CV 0'!B87</f>
        <v>0</v>
      </c>
      <c r="C15" s="2000"/>
      <c r="D15" s="35"/>
      <c r="E15" s="2235"/>
      <c r="G15" s="2905">
        <f ca="1">B15</f>
        <v>0</v>
      </c>
      <c r="H15" s="2908">
        <v>0</v>
      </c>
      <c r="I15" s="2907">
        <f t="shared" ca="1" si="0"/>
        <v>0</v>
      </c>
    </row>
    <row r="16" spans="1:10" ht="20.25" customHeight="1" thickBot="1">
      <c r="A16" s="2326" t="s">
        <v>524</v>
      </c>
      <c r="B16" s="2411">
        <f>+'Bal. Inicial Previo'!D24+'Bal. Inicial Previo'!D30</f>
        <v>0</v>
      </c>
      <c r="C16" s="2323" t="str">
        <f>$C$9</f>
        <v/>
      </c>
      <c r="D16" s="21"/>
      <c r="E16" s="2227"/>
      <c r="F16" s="21"/>
      <c r="G16" s="2905">
        <f>'Bal. Inicial Previo'!D24+'Bal. Inicial Previo'!D30</f>
        <v>0</v>
      </c>
      <c r="H16" s="2908">
        <v>0</v>
      </c>
      <c r="I16" s="2907">
        <f t="shared" si="0"/>
        <v>0</v>
      </c>
      <c r="J16" s="21"/>
    </row>
    <row r="17" spans="1:10" ht="15.75" thickBot="1">
      <c r="A17" s="29"/>
      <c r="B17" s="28"/>
      <c r="C17" s="27"/>
      <c r="D17" s="20"/>
      <c r="E17" s="2227"/>
      <c r="G17" s="2912"/>
      <c r="H17" s="48"/>
      <c r="I17" s="2913"/>
      <c r="J17" s="21"/>
    </row>
    <row r="18" spans="1:10">
      <c r="A18" s="2226" t="s">
        <v>525</v>
      </c>
      <c r="B18" s="926">
        <f ca="1">SUM(B19:B24)-IF(irpf=0,B21,0)</f>
        <v>133.35</v>
      </c>
      <c r="C18" s="27"/>
      <c r="D18" s="20"/>
      <c r="E18" s="2227"/>
      <c r="G18" s="2902">
        <f>SUM(G19:G24)</f>
        <v>0</v>
      </c>
      <c r="H18" s="2903">
        <f ca="1">SUM(H19:H24)</f>
        <v>133.35</v>
      </c>
      <c r="I18" s="2904">
        <f t="shared" ref="I18:I23" ca="1" si="1">G18+H18</f>
        <v>133.35</v>
      </c>
      <c r="J18" s="21"/>
    </row>
    <row r="19" spans="1:10" s="35" customFormat="1" ht="18.75" customHeight="1">
      <c r="A19" s="2237" t="str">
        <f>'Dados Básicos'!A28&amp;" soportado de investimentos iniciais"</f>
        <v>IVA soportado de investimentos iniciais</v>
      </c>
      <c r="B19" s="2019">
        <f t="array" aca="1" ref="B19" ca="1">'Inv. Iniciais ANC'!G65  -Parametros!$F$33*(SUM(Leasing!D5:D5)-SUM(Leasing!D7:D7)*0)
 +Parametros!$F$33*('Despesas Iniciais'!B20+'Despesas Iniciais'!B12-'Despesas Iniciais'!B11)
+SUM((B12:B14-D12:D14)*C12:C14)
+'Distr CV 0'!B106</f>
        <v>133.35</v>
      </c>
      <c r="C19" s="1790" t="str">
        <f ca="1">IF(B19&lt;0,"ERROR: Los Leasing no pueden ser superiores a las inversiones.","")</f>
        <v/>
      </c>
      <c r="D19" s="34"/>
      <c r="E19" s="2238"/>
      <c r="F19" s="33"/>
      <c r="G19" s="2905">
        <v>0</v>
      </c>
      <c r="H19" s="2908">
        <f t="array" aca="1" ref="H19" ca="1">'Inv. Iniciais ANC'!G65 +Parametros!$F$33*('Despesas Iniciais'!B20+'Despesas Iniciais'!B12-'Despesas Iniciais'!B11)
+SUM((B12:B14-D12:D14)*C12:C14)
+'Distr CV 0'!B106</f>
        <v>133.35</v>
      </c>
      <c r="I19" s="2907">
        <f t="shared" ca="1" si="1"/>
        <v>133.35</v>
      </c>
      <c r="J19" s="34"/>
    </row>
    <row r="20" spans="1:10" s="35" customFormat="1" ht="18.75" customHeight="1">
      <c r="A20" s="2328" t="str">
        <f>'Dados Básicos'!A28&amp;" soportado pend. De devolução"</f>
        <v>IVA soportado pend. De devolução</v>
      </c>
      <c r="B20" s="2409">
        <f>'Bal. Inicial Previo'!D29</f>
        <v>0</v>
      </c>
      <c r="C20" s="2323" t="str">
        <f>$C$9</f>
        <v/>
      </c>
      <c r="D20" s="34"/>
      <c r="E20" s="2238"/>
      <c r="F20" s="33"/>
      <c r="G20" s="2905">
        <f>'Bal. Inicial Previo'!D29</f>
        <v>0</v>
      </c>
      <c r="H20" s="2908">
        <v>0</v>
      </c>
      <c r="I20" s="2907">
        <f t="shared" si="1"/>
        <v>0</v>
      </c>
      <c r="J20" s="34"/>
    </row>
    <row r="21" spans="1:10" s="35" customFormat="1" ht="18.75" customHeight="1">
      <c r="A21" s="2327" t="str">
        <f>"A.T. Retenções na fonte do "&amp;'Dados Básicos'!$I$43</f>
        <v>A.T. Retenções na fonte do I.R.S.</v>
      </c>
      <c r="B21" s="2409">
        <f>'Bal. Inicial Previo'!D27</f>
        <v>0</v>
      </c>
      <c r="C21" s="2323" t="str">
        <f>$C$9</f>
        <v/>
      </c>
      <c r="D21" s="34"/>
      <c r="E21" s="2238"/>
      <c r="F21" s="33"/>
      <c r="G21" s="2905">
        <f>'Bal. Inicial Previo'!D27</f>
        <v>0</v>
      </c>
      <c r="H21" s="2908">
        <v>0</v>
      </c>
      <c r="I21" s="2907">
        <f t="shared" si="1"/>
        <v>0</v>
      </c>
      <c r="J21" s="34"/>
    </row>
    <row r="22" spans="1:10" s="35" customFormat="1" ht="18.75" customHeight="1">
      <c r="A22" s="2327" t="str">
        <f>"Pagamentos por conta do "&amp;IF(isoc&lt;&gt;0,'Dados Básicos'!$I$44,'Dados Básicos'!$I$43)</f>
        <v>Pagamentos por conta do I.R.C.</v>
      </c>
      <c r="B22" s="2410">
        <f>'Bal. Inicial Previo'!D28+'Bal. Inicial Previo'!D17</f>
        <v>0</v>
      </c>
      <c r="C22" s="2323" t="str">
        <f>$C$9</f>
        <v/>
      </c>
      <c r="D22" s="34"/>
      <c r="E22" s="2238"/>
      <c r="F22" s="33"/>
      <c r="G22" s="2905">
        <f>'Bal. Inicial Previo'!D28+'Bal. Inicial Previo'!D17</f>
        <v>0</v>
      </c>
      <c r="H22" s="2908">
        <v>0</v>
      </c>
      <c r="I22" s="2907">
        <f t="shared" si="1"/>
        <v>0</v>
      </c>
      <c r="J22" s="34"/>
    </row>
    <row r="23" spans="1:10" s="35" customFormat="1" ht="18.75" customHeight="1">
      <c r="A23" s="2327" t="s">
        <v>526</v>
      </c>
      <c r="B23" s="2410">
        <f>Finançamento!D19+'Bal. Inicial Previo'!D26</f>
        <v>0</v>
      </c>
      <c r="C23" s="2323"/>
      <c r="D23" s="34"/>
      <c r="E23" s="2238"/>
      <c r="F23" s="33"/>
      <c r="G23" s="2914">
        <f>'Bal. Inicial Previo'!D26</f>
        <v>0</v>
      </c>
      <c r="H23" s="2908">
        <f>Finançamento!D19</f>
        <v>0</v>
      </c>
      <c r="I23" s="2907">
        <f t="shared" si="1"/>
        <v>0</v>
      </c>
      <c r="J23" s="34"/>
    </row>
    <row r="24" spans="1:10" s="35" customFormat="1" ht="18.75" customHeight="1" thickBot="1">
      <c r="A24" s="2326" t="s">
        <v>527</v>
      </c>
      <c r="B24" s="2411">
        <f>'Bal. Inicial Previo'!D25</f>
        <v>0</v>
      </c>
      <c r="C24" s="2323" t="str">
        <f>$C$9</f>
        <v/>
      </c>
      <c r="D24" s="34"/>
      <c r="E24" s="2238"/>
      <c r="F24" s="33"/>
      <c r="G24" s="2905">
        <f>'Bal. Inicial Previo'!D25</f>
        <v>0</v>
      </c>
      <c r="H24" s="2908">
        <v>0</v>
      </c>
      <c r="I24" s="2907">
        <f>G24+H24</f>
        <v>0</v>
      </c>
      <c r="J24" s="34"/>
    </row>
    <row r="25" spans="1:10" ht="15.75" thickBot="1">
      <c r="A25" s="29"/>
      <c r="B25" s="28"/>
      <c r="C25" s="27"/>
      <c r="D25" s="20"/>
      <c r="E25" s="2227"/>
      <c r="G25" s="2912"/>
      <c r="H25" s="48"/>
      <c r="I25" s="2913"/>
    </row>
    <row r="26" spans="1:10" ht="17.25" customHeight="1" thickBot="1">
      <c r="A26" s="2239" t="s">
        <v>528</v>
      </c>
      <c r="B26" s="1659">
        <f ca="1">'Finançamento Inicial'!D32-(B7+B11+B18)
-(Amortiçações!B19-Amortiçações!C19)
-'Despesas Iniciais'!B26+'Despesas Iniciais'!B24</f>
        <v>2201.65</v>
      </c>
      <c r="C26" s="27"/>
      <c r="D26" s="20"/>
      <c r="E26" s="2227"/>
      <c r="G26" s="2915">
        <f ca="1">'Finançamento Inicial'!B32-(G7+G11+G18)
-('Bal. Inicial Previo'!D16+'Bal. Inicial Previo'!D18)
-('Bal. Inicial Previo'!D10+'Bal. Inicial Previo'!D12+'Bal. Inicial Previo'!D14)</f>
        <v>0</v>
      </c>
      <c r="H26" s="2915">
        <f ca="1">'Finançamento Inicial'!C32-(H7+H11+H18)
-'Despesas Iniciais'!B23
-(Amortiçações!B19-Amortiçações!C19-Amortiçações!J19)</f>
        <v>2201.65</v>
      </c>
      <c r="I26" s="2916">
        <f ca="1">G26+H26</f>
        <v>2201.65</v>
      </c>
    </row>
    <row r="27" spans="1:10" ht="15.75" thickBot="1">
      <c r="A27" s="2240"/>
      <c r="B27" s="29"/>
      <c r="C27" s="27"/>
      <c r="D27" s="20"/>
      <c r="E27" s="2227"/>
      <c r="G27" s="2912"/>
      <c r="H27" s="48"/>
      <c r="I27" s="2913"/>
    </row>
    <row r="28" spans="1:10" s="35" customFormat="1" ht="20.25" customHeight="1" thickBot="1">
      <c r="A28" s="2241" t="s">
        <v>529</v>
      </c>
      <c r="B28" s="2242">
        <f ca="1">B7+'Investimentos AC'!B11+B18+B26</f>
        <v>2335</v>
      </c>
      <c r="C28" s="2243"/>
      <c r="D28" s="2244"/>
      <c r="E28" s="2245"/>
      <c r="F28" s="33"/>
      <c r="G28" s="2918">
        <f ca="1">G7+G11+G18+G26</f>
        <v>0</v>
      </c>
      <c r="H28" s="2242">
        <f ca="1">H7+H11+H18+H26</f>
        <v>2335</v>
      </c>
      <c r="I28" s="2917">
        <f ca="1">G28+H28</f>
        <v>2335</v>
      </c>
      <c r="J28" s="34"/>
    </row>
    <row r="29" spans="1:10">
      <c r="A29" s="24"/>
      <c r="B29" s="24"/>
      <c r="C29" s="24"/>
      <c r="D29" s="24"/>
    </row>
    <row r="30" spans="1:10" ht="18">
      <c r="A30" s="24"/>
      <c r="B30" s="1768" t="str">
        <f ca="1">IF(C30&lt;&gt;"","Acrescentar finançamento inicial em ","")</f>
        <v/>
      </c>
      <c r="C30" s="1336" t="str">
        <f ca="1">IF(I26-tesoreriasec+Finançamento!D49&lt;-0.5,TEXT(tesoreriasec-I26-Finançamento!D49,"#.##0 €")&amp;" défice Finançamento Inicial","")</f>
        <v/>
      </c>
      <c r="D30" s="24"/>
    </row>
    <row r="31" spans="1:10" ht="18">
      <c r="A31" s="24"/>
      <c r="B31" s="24"/>
      <c r="C31" s="1612" t="str">
        <f ca="1">IF(C30&lt;&gt;"","Tesouraría de seguridade: "&amp;TEXT(tesoreriasec,"#.##0 €")&amp;" mínimo.","")</f>
        <v/>
      </c>
      <c r="D31" s="24"/>
    </row>
    <row r="32" spans="1:10">
      <c r="C32" s="24"/>
      <c r="D32" s="24"/>
    </row>
    <row r="33" spans="1:11" ht="15.75" thickBot="1">
      <c r="A33" s="24"/>
      <c r="B33" s="24"/>
      <c r="C33" s="24"/>
      <c r="D33" s="24"/>
    </row>
    <row r="34" spans="1:11" ht="26.25" thickBot="1">
      <c r="A34" s="2263" t="s">
        <v>150</v>
      </c>
      <c r="B34" s="2264"/>
      <c r="C34" s="2265"/>
      <c r="D34" s="2266"/>
      <c r="E34" s="2267"/>
      <c r="F34" s="2268"/>
      <c r="G34" s="33"/>
      <c r="I34" s="22"/>
      <c r="K34" s="20"/>
    </row>
    <row r="35" spans="1:11" s="35" customFormat="1" ht="38.25" customHeight="1" thickBot="1">
      <c r="A35" s="2184"/>
      <c r="B35" s="2261" t="str">
        <f t="array" ref="B35:F35">anni</f>
        <v>Ano 0:  2026</v>
      </c>
      <c r="C35" s="2261" t="str">
        <v>Ano 1:  2027</v>
      </c>
      <c r="D35" s="2261" t="str">
        <v>Ano 2:  2028</v>
      </c>
      <c r="E35" s="2261" t="str">
        <v>Ano 3:  2029</v>
      </c>
      <c r="F35" s="2262" t="str">
        <v>Ano 4:  2030</v>
      </c>
      <c r="G35" s="33"/>
      <c r="H35" s="33"/>
      <c r="I35" s="34"/>
      <c r="J35" s="34"/>
    </row>
    <row r="36" spans="1:11" s="35" customFormat="1" ht="21" customHeight="1" thickBot="1">
      <c r="A36" s="2252" t="s">
        <v>1111</v>
      </c>
      <c r="B36" s="715">
        <f>B7</f>
        <v>0</v>
      </c>
      <c r="C36" s="2421">
        <v>0</v>
      </c>
      <c r="D36" s="2421">
        <v>0</v>
      </c>
      <c r="E36" s="2421">
        <v>0</v>
      </c>
      <c r="F36" s="2422">
        <v>0</v>
      </c>
      <c r="G36" s="33"/>
      <c r="H36" s="33"/>
      <c r="I36" s="34"/>
      <c r="J36" s="34"/>
    </row>
    <row r="37" spans="1:11" ht="15.75" thickBot="1">
      <c r="A37" s="2254"/>
      <c r="B37" s="823"/>
      <c r="C37" s="680"/>
      <c r="D37" s="680"/>
      <c r="E37" s="680"/>
      <c r="F37" s="2255"/>
    </row>
    <row r="38" spans="1:11" ht="19.5" customHeight="1">
      <c r="A38" s="2256" t="s">
        <v>1114</v>
      </c>
      <c r="B38" s="679"/>
      <c r="C38" s="679"/>
      <c r="D38" s="679"/>
      <c r="E38" s="679"/>
      <c r="F38" s="2257"/>
    </row>
    <row r="39" spans="1:11" s="35" customFormat="1" ht="20.25" customHeight="1">
      <c r="A39" s="2181" t="str">
        <f t="array" ref="A39:A41">A12:A14</f>
        <v>matérias-primas</v>
      </c>
      <c r="B39" s="715">
        <f>B12</f>
        <v>0</v>
      </c>
      <c r="C39" s="686">
        <f>IF(SUM(B$39:B$41)=0,0,('Balanços anuais'!F$15/'Resumo Vendas 5 anos'!B$27)*((12-mes0+1)*'Resumo Vendas 5 anos'!C$27-12*'Resumo Vendas 5 anos'!B$27)*B39/SUM(B$39:B$41)/12)*Parametros!$D$48</f>
        <v>0</v>
      </c>
      <c r="D39" s="686">
        <f>IF(SUM(B$39:C$41)=0,0,('Balanços anuais'!H$15/'Resumo Vendas 5 anos'!C$27)*('Resumo Vendas 5 anos'!E$27-'Resumo Vendas 5 anos'!C$27)*SUM($B39:C39)/SUM(B$39:C$41))*Parametros!$D$48</f>
        <v>0</v>
      </c>
      <c r="E39" s="686">
        <f>IF(SUM(B$39:D$41)=0,0,('Balanços anuais'!J$15/'Resumo Vendas 5 anos'!E$27)*('Resumo Vendas 5 anos'!G$27-'Resumo Vendas 5 anos'!E$27)*SUM($B39:D39)/SUM(B$39:D$41))*Parametros!$D$48</f>
        <v>0</v>
      </c>
      <c r="F39" s="2216">
        <f>IF(SUM(B$39:E$41)=0,0,('Balanços anuais'!L$15/'Resumo Vendas 5 anos'!G$27)*('Resumo Vendas 5 anos'!I$27-'Resumo Vendas 5 anos'!G$27)*SUM($B39:E39)/SUM(B$39:E$41))*Parametros!$D$48</f>
        <v>0</v>
      </c>
      <c r="G39" s="1365"/>
      <c r="H39" s="22"/>
      <c r="I39" s="34"/>
      <c r="J39" s="34"/>
    </row>
    <row r="40" spans="1:11" s="35" customFormat="1" ht="19.5" customHeight="1">
      <c r="A40" s="2181" t="str">
        <v>mercadorias</v>
      </c>
      <c r="B40" s="715">
        <f>B13</f>
        <v>0</v>
      </c>
      <c r="C40" s="686">
        <f>IF(SUM(B$39:B$41)=0,0,('Balanços anuais'!F$15/'Resumo Vendas 5 anos'!B$27)*((12-mes0+1)*'Resumo Vendas 5 anos'!C$27-12*'Resumo Vendas 5 anos'!B$27)*B40/SUM(B$39:B$41)/12)*Parametros!$D$48</f>
        <v>0</v>
      </c>
      <c r="D40" s="686">
        <f>IF(SUM(B$39:C$41)=0,0,('Balanços anuais'!H$15/'Resumo Vendas 5 anos'!C$27)*('Resumo Vendas 5 anos'!E$27-'Resumo Vendas 5 anos'!C$27)*SUM($B40:C40)/SUM(B$39:C$41))*Parametros!$D$48</f>
        <v>0</v>
      </c>
      <c r="E40" s="686">
        <f>IF(SUM(B$39:D$41)=0,0,('Balanços anuais'!J$15/'Resumo Vendas 5 anos'!E$27)*('Resumo Vendas 5 anos'!G$27-'Resumo Vendas 5 anos'!E$27)*SUM($B40:D40)/SUM(B$39:D$41))*Parametros!$D$48</f>
        <v>0</v>
      </c>
      <c r="F40" s="2216">
        <f>IF(SUM(B$39:E$41)=0,0,('Balanços anuais'!L$15/'Resumo Vendas 5 anos'!G$27)*('Resumo Vendas 5 anos'!I$27-'Resumo Vendas 5 anos'!G$27)*SUM($B40:E40)/SUM(B$39:E$41))*Parametros!$D$48</f>
        <v>0</v>
      </c>
      <c r="G40" s="33"/>
      <c r="H40" s="33"/>
      <c r="I40" s="34"/>
      <c r="J40" s="34"/>
    </row>
    <row r="41" spans="1:11" s="35" customFormat="1" ht="19.5" customHeight="1">
      <c r="A41" s="2181" t="str">
        <v>outros aprovisonamentos (embalagems, etc.)</v>
      </c>
      <c r="B41" s="715">
        <f>B14</f>
        <v>0</v>
      </c>
      <c r="C41" s="686">
        <f>IF(SUM(B$39:B$41)=0,0,('Balanços anuais'!F$15/'Resumo Vendas 5 anos'!B$27)*((12-mes0+1)*'Resumo Vendas 5 anos'!C$27-12*'Resumo Vendas 5 anos'!B$27)*B41/SUM(B$39:B$41)/12)*Parametros!$D$48</f>
        <v>0</v>
      </c>
      <c r="D41" s="686">
        <f>IF(SUM(B$39:C$41)=0,0,('Balanços anuais'!H$15/'Resumo Vendas 5 anos'!C$27)*('Resumo Vendas 5 anos'!E$27-'Resumo Vendas 5 anos'!C$27)*SUM($B41:C41)/SUM(B$39:C$41))*Parametros!$D$48</f>
        <v>0</v>
      </c>
      <c r="E41" s="686">
        <f>IF(SUM(B$39:D$41)=0,0,('Balanços anuais'!J$15/'Resumo Vendas 5 anos'!E$27)*('Resumo Vendas 5 anos'!G$27-'Resumo Vendas 5 anos'!E$27)*SUM($B41:D41)/SUM(B$39:D$41))*Parametros!$D$48</f>
        <v>0</v>
      </c>
      <c r="F41" s="2216">
        <f>IF(SUM(B$39:E$41)=0,0,('Balanços anuais'!L$15/'Resumo Vendas 5 anos'!G$27)*('Resumo Vendas 5 anos'!I$27-'Resumo Vendas 5 anos'!G$27)*SUM($B41:E41)/SUM(B$39:E$41))*Parametros!$D$48</f>
        <v>0</v>
      </c>
      <c r="G41" s="33"/>
      <c r="H41" s="33"/>
      <c r="I41" s="34"/>
      <c r="J41" s="34"/>
    </row>
    <row r="42" spans="1:11" s="35" customFormat="1" ht="19.5" customHeight="1">
      <c r="A42" s="2181" t="s">
        <v>1112</v>
      </c>
      <c r="B42" s="715">
        <f ca="1">B15</f>
        <v>0</v>
      </c>
      <c r="C42" s="681">
        <f ca="1">SUM('Distr CV 1'!B85:M85)-B42</f>
        <v>0</v>
      </c>
      <c r="D42" s="681">
        <f ca="1">SUM('Distr CV 2'!B85:M85)-SUM('Distr CV 1'!B85:M85)</f>
        <v>0</v>
      </c>
      <c r="E42" s="681">
        <f ca="1">SUM('Distr CV 3'!B85:M85)-SUM('Distr CV 2'!B85:M85)</f>
        <v>0</v>
      </c>
      <c r="F42" s="2253">
        <f ca="1">SUM('Distr CV 4'!B85:M85)-SUM('Distr CV 3'!B85:M85)</f>
        <v>0</v>
      </c>
      <c r="G42" s="33"/>
      <c r="H42" s="33"/>
      <c r="I42" s="34"/>
      <c r="J42" s="34"/>
    </row>
    <row r="43" spans="1:11" s="35" customFormat="1" ht="19.5" customHeight="1">
      <c r="A43" s="2181" t="str">
        <f>'Dados Básicos'!A28&amp;" de inversiones ativos corrientes"</f>
        <v>IVA de inversiones ativos corrientes</v>
      </c>
      <c r="B43" s="715">
        <f t="array" ref="B43">+SUM(B12:B14*$C$12:$C$14)-SUM(D12:D14*$C$12:$C$14)</f>
        <v>0</v>
      </c>
      <c r="C43" s="745">
        <f t="array" ref="C43">SUM(C39:C41*$C$12:$C$14)</f>
        <v>0</v>
      </c>
      <c r="D43" s="745">
        <f t="array" ref="D43">SUM(D39:D41*$C$12:$C$14)</f>
        <v>0</v>
      </c>
      <c r="E43" s="745">
        <f t="array" ref="E43">SUM(E39:E41*$C$12:$C$14)</f>
        <v>0</v>
      </c>
      <c r="F43" s="745">
        <f t="array" ref="F43">SUM(F39:F41*$C$12:$C$14)</f>
        <v>0</v>
      </c>
      <c r="G43" s="33"/>
      <c r="H43" s="33"/>
      <c r="I43" s="34"/>
      <c r="J43" s="34"/>
    </row>
    <row r="44" spans="1:11" s="35" customFormat="1" ht="19.5" customHeight="1">
      <c r="A44" s="2189" t="str">
        <f>'Dados Básicos'!$A$28&amp;" soportado de inversiones"</f>
        <v>IVA soportado de inversiones</v>
      </c>
      <c r="B44" s="715">
        <f ca="1">B19</f>
        <v>133.35</v>
      </c>
      <c r="C44" s="715">
        <f t="array" ref="C44:F44">Parametros!$F$33*('Inv. Adicionais ANC'!C10:F10+'Inv. Adicionais ANC'!C20:F20+'Inv. Adicionais ANC'!C26:F26+'Inv. Adicionais ANC'!C31:F31+'Inv. Adicionais ANC'!C37:F37+'Inv. Adicionais ANC'!C43:F43+'Inv. Adicionais ANC'!C50:F50+'Inv. Adicionais ANC'!C55:F55+'Inv. Adicionais ANC'!C63:F63+'Despesas Iniciais'!C20:F20+'Despesas Iniciais'!C12:F20-'Despesas Iniciais'!C11:F20)
-Parametros!$F$33*(Leasing!E5:H5-Leasing!E7:H7*0)</f>
        <v>0</v>
      </c>
      <c r="D44" s="715">
        <v>0</v>
      </c>
      <c r="E44" s="715">
        <v>0</v>
      </c>
      <c r="F44" s="2213">
        <v>0</v>
      </c>
      <c r="G44" s="33"/>
      <c r="H44" s="33"/>
      <c r="I44" s="34"/>
      <c r="J44" s="34"/>
    </row>
    <row r="45" spans="1:11" s="35" customFormat="1" ht="19.5" customHeight="1" thickBot="1">
      <c r="A45" s="2236" t="s">
        <v>1113</v>
      </c>
      <c r="B45" s="824">
        <f>+SUM(B7,B16,B20:B24)</f>
        <v>0</v>
      </c>
      <c r="C45" s="824"/>
      <c r="D45" s="824"/>
      <c r="E45" s="824"/>
      <c r="F45" s="2219"/>
      <c r="G45" s="33"/>
      <c r="H45" s="33"/>
      <c r="I45" s="34"/>
      <c r="J45" s="34"/>
    </row>
    <row r="46" spans="1:11" s="35" customFormat="1" ht="26.25" customHeight="1" thickBot="1">
      <c r="A46" s="2258" t="s">
        <v>612</v>
      </c>
      <c r="B46" s="2259">
        <f ca="1">B36+SUM(B39:B44)</f>
        <v>133.35</v>
      </c>
      <c r="C46" s="2259">
        <f ca="1">C36+SUM(C39:C44)</f>
        <v>0</v>
      </c>
      <c r="D46" s="2259">
        <f ca="1">D36+SUM(D39:D44)</f>
        <v>0</v>
      </c>
      <c r="E46" s="2259">
        <f ca="1">E36+SUM(E39:E44)</f>
        <v>0</v>
      </c>
      <c r="F46" s="2260">
        <f ca="1">F36+SUM(F39:F44)</f>
        <v>0</v>
      </c>
      <c r="G46" s="33"/>
      <c r="H46" s="33"/>
      <c r="I46" s="34"/>
      <c r="J46" s="34"/>
    </row>
    <row r="47" spans="1:11" s="35" customFormat="1">
      <c r="D47" s="33"/>
      <c r="E47" s="33"/>
      <c r="F47" s="33"/>
      <c r="G47" s="33"/>
      <c r="H47" s="33"/>
      <c r="I47" s="34"/>
      <c r="J47" s="34"/>
    </row>
    <row r="48" spans="1:11" s="35" customFormat="1" ht="23.25" customHeight="1">
      <c r="A48" s="1333" t="s">
        <v>957</v>
      </c>
      <c r="B48" s="1334">
        <f t="array" ref="B48:F48" ca="1">Finançamento!D27:H27</f>
        <v>1201.6500000000001</v>
      </c>
      <c r="C48" s="1334">
        <f ca="1"/>
        <v>-15126.963843636366</v>
      </c>
      <c r="D48" s="1334">
        <f ca="1"/>
        <v>-23005.309287336371</v>
      </c>
      <c r="E48" s="1334">
        <f ca="1"/>
        <v>-30873.669101798463</v>
      </c>
      <c r="F48" s="1334">
        <f ca="1"/>
        <v>-38711.768984771967</v>
      </c>
      <c r="G48" s="1335">
        <f ca="1">MIN(B48:F48)-tesoreriasec</f>
        <v>-39711.768984771967</v>
      </c>
      <c r="H48" s="33"/>
      <c r="I48" s="34"/>
      <c r="J48" s="34"/>
    </row>
    <row r="49" spans="1:10" s="35" customFormat="1">
      <c r="F49" s="33"/>
      <c r="G49" s="33"/>
      <c r="H49" s="33"/>
      <c r="I49" s="34"/>
      <c r="J49" s="34"/>
    </row>
    <row r="63" spans="1:10">
      <c r="A63" s="1831" t="str">
        <f>'Dados Básicos'!A51</f>
        <v>Tipo normal</v>
      </c>
      <c r="B63" s="2001">
        <f>'Dados Básicos'!B51</f>
        <v>0.23</v>
      </c>
    </row>
    <row r="64" spans="1:10">
      <c r="A64" s="1831" t="str">
        <f>'Dados Básicos'!A52</f>
        <v>Tipo reducido</v>
      </c>
      <c r="B64" s="2001">
        <f>'Dados Básicos'!B52</f>
        <v>0.13</v>
      </c>
    </row>
    <row r="65" spans="1:2">
      <c r="A65" s="1831" t="str">
        <f>'Dados Básicos'!A53</f>
        <v>Tipo superreducido</v>
      </c>
      <c r="B65" s="2001">
        <f>'Dados Básicos'!B53</f>
        <v>0.06</v>
      </c>
    </row>
    <row r="66" spans="1:2">
      <c r="A66" s="1831" t="str">
        <f>'Dados Básicos'!A54</f>
        <v>Tipo especial</v>
      </c>
      <c r="B66" s="2001">
        <f>'Dados Básicos'!B54</f>
        <v>0</v>
      </c>
    </row>
  </sheetData>
  <sheetProtection sheet="1" objects="1" scenarios="1"/>
  <phoneticPr fontId="4" type="noConversion"/>
  <conditionalFormatting sqref="A48">
    <cfRule type="expression" dxfId="46" priority="3" stopIfTrue="1">
      <formula>$G$48&lt;0.5</formula>
    </cfRule>
  </conditionalFormatting>
  <conditionalFormatting sqref="B48:F48">
    <cfRule type="cellIs" dxfId="45" priority="1" stopIfTrue="1" operator="lessThan">
      <formula>0</formula>
    </cfRule>
    <cfRule type="expression" dxfId="44" priority="2" stopIfTrue="1">
      <formula>$G$48&lt;0</formula>
    </cfRule>
  </conditionalFormatting>
  <dataValidations xWindow="394" yWindow="538" count="3">
    <dataValidation type="custom" allowBlank="1" showInputMessage="1" showErrorMessage="1" error="La aportación en especie no puede ser superior al importe." sqref="D12:D15" xr:uid="{00000000-0002-0000-0800-000000000000}">
      <formula1>OR(AND(D12&lt;=B12,D12&gt;0),D12=0)</formula1>
    </dataValidation>
    <dataValidation type="list" allowBlank="1" showInputMessage="1" showErrorMessage="1" sqref="C12:C14" xr:uid="{00000000-0002-0000-0800-000001000000}">
      <formula1>$B$63:$B$66</formula1>
    </dataValidation>
    <dataValidation type="decimal" operator="greaterThanOrEqual" allowBlank="1" showInputMessage="1" showErrorMessage="1" sqref="B12:B16 B20:B24" xr:uid="{00000000-0002-0000-0800-000002000000}">
      <formula1>0</formula1>
    </dataValidation>
  </dataValidations>
  <printOptions horizontalCentered="1"/>
  <pageMargins left="0.78740157480314965" right="0.65" top="0.74" bottom="0.47244094488188981" header="0.27559055118110237" footer="0.31496062992125984"/>
  <pageSetup paperSize="9" scale="74" orientation="portrait" horizontalDpi="300" verticalDpi="300" r:id="rId1"/>
  <headerFooter alignWithMargins="0">
    <oddFooter>&amp;C&amp;"Tahoma,Normal"&amp;10&amp;A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79</vt:i4>
      </vt:variant>
      <vt:variant>
        <vt:lpstr>Rangos con nombre</vt:lpstr>
      </vt:variant>
      <vt:variant>
        <vt:i4>65</vt:i4>
      </vt:variant>
    </vt:vector>
  </HeadingPairs>
  <TitlesOfParts>
    <vt:vector size="144" baseType="lpstr">
      <vt:lpstr>Índice</vt:lpstr>
      <vt:lpstr>Condições de Uso</vt:lpstr>
      <vt:lpstr>Dados Básicos</vt:lpstr>
      <vt:lpstr>Parametros</vt:lpstr>
      <vt:lpstr>Bal. Inicial Previo</vt:lpstr>
      <vt:lpstr>Inv. Iniciais ANC</vt:lpstr>
      <vt:lpstr>Inv. Adicionais ANC</vt:lpstr>
      <vt:lpstr>Despesas Iniciais</vt:lpstr>
      <vt:lpstr>Investimentos AC</vt:lpstr>
      <vt:lpstr>Finançamento</vt:lpstr>
      <vt:lpstr>Finançamento Inicial</vt:lpstr>
      <vt:lpstr>Empréstimos</vt:lpstr>
      <vt:lpstr>Leasing</vt:lpstr>
      <vt:lpstr>Renting</vt:lpstr>
      <vt:lpstr>Quadro Pessoal</vt:lpstr>
      <vt:lpstr>RR.HH.</vt:lpstr>
      <vt:lpstr>Despesas de Marketing</vt:lpstr>
      <vt:lpstr>Despesas Fixas Dados</vt:lpstr>
      <vt:lpstr>Preços-CV</vt:lpstr>
      <vt:lpstr>Pol. Cobranças e Pagamentos</vt:lpstr>
      <vt:lpstr>Estimações Vendas</vt:lpstr>
      <vt:lpstr>Prev.Vendas 0</vt:lpstr>
      <vt:lpstr>Prev.Vendas 1</vt:lpstr>
      <vt:lpstr>Prev.Vendas 2</vt:lpstr>
      <vt:lpstr>Prev.Vendas 3</vt:lpstr>
      <vt:lpstr>Prev.Vendas 4</vt:lpstr>
      <vt:lpstr>Produção</vt:lpstr>
      <vt:lpstr>Distr CV 0</vt:lpstr>
      <vt:lpstr>Distr CV 1</vt:lpstr>
      <vt:lpstr>Distr CV 2</vt:lpstr>
      <vt:lpstr>Distr CV 3</vt:lpstr>
      <vt:lpstr>Distr CV 4</vt:lpstr>
      <vt:lpstr>Distr CV 5</vt:lpstr>
      <vt:lpstr>Resumo Vendas 5 anos</vt:lpstr>
      <vt:lpstr>PyG 0</vt:lpstr>
      <vt:lpstr>PyG 1</vt:lpstr>
      <vt:lpstr>PyG 2</vt:lpstr>
      <vt:lpstr>PyG 3</vt:lpstr>
      <vt:lpstr>PyG 4</vt:lpstr>
      <vt:lpstr>Bal. Inicial Previo 00</vt:lpstr>
      <vt:lpstr>Balanços anuais</vt:lpstr>
      <vt:lpstr>Balancços anuais (2)</vt:lpstr>
      <vt:lpstr>PPeGG anuais</vt:lpstr>
      <vt:lpstr>IRC Coletivas</vt:lpstr>
      <vt:lpstr>IRS Singulares</vt:lpstr>
      <vt:lpstr>Receitas e pagamentos 0</vt:lpstr>
      <vt:lpstr>Receitas e pagamentos 1</vt:lpstr>
      <vt:lpstr>Receitas e pagamentos 2</vt:lpstr>
      <vt:lpstr>Receitas e pagamentos 3</vt:lpstr>
      <vt:lpstr>Receitas e pagamentos 4</vt:lpstr>
      <vt:lpstr>Seguridade Sócial</vt:lpstr>
      <vt:lpstr>Ret IRS</vt:lpstr>
      <vt:lpstr>G.F. 0</vt:lpstr>
      <vt:lpstr>G.F. 1</vt:lpstr>
      <vt:lpstr>G.F. 2</vt:lpstr>
      <vt:lpstr>G.F. 3</vt:lpstr>
      <vt:lpstr>G.F. 4</vt:lpstr>
      <vt:lpstr>IVA 0</vt:lpstr>
      <vt:lpstr>IVA 1</vt:lpstr>
      <vt:lpstr>IVA 2</vt:lpstr>
      <vt:lpstr>IVA 3</vt:lpstr>
      <vt:lpstr>IVA 4</vt:lpstr>
      <vt:lpstr>Resumo Despesas Fixas</vt:lpstr>
      <vt:lpstr>Amortiçações</vt:lpstr>
      <vt:lpstr>Despesas Financeiras</vt:lpstr>
      <vt:lpstr>Tesorería 0</vt:lpstr>
      <vt:lpstr>Tesorería 1</vt:lpstr>
      <vt:lpstr>Tesorería 2</vt:lpstr>
      <vt:lpstr>Tesorería 3</vt:lpstr>
      <vt:lpstr>Tesorería 4</vt:lpstr>
      <vt:lpstr>Otros cobros y pagos</vt:lpstr>
      <vt:lpstr>Resumo Tesourarias</vt:lpstr>
      <vt:lpstr>P. Equilíbrio</vt:lpstr>
      <vt:lpstr>Ratios Básicos</vt:lpstr>
      <vt:lpstr>Viabilidad</vt:lpstr>
      <vt:lpstr>Valoração da Empresa</vt:lpstr>
      <vt:lpstr>Dados Evaluação</vt:lpstr>
      <vt:lpstr>Quadros Plano de Negócio</vt:lpstr>
      <vt:lpstr>Ficha Investidores</vt:lpstr>
      <vt:lpstr>aa</vt:lpstr>
      <vt:lpstr>anni</vt:lpstr>
      <vt:lpstr>annivert</vt:lpstr>
      <vt:lpstr>Amortiçações!Área_de_impresión</vt:lpstr>
      <vt:lpstr>'Balancços anuais (2)'!Área_de_impresión</vt:lpstr>
      <vt:lpstr>'Balanços anuais'!Área_de_impresión</vt:lpstr>
      <vt:lpstr>'Condições de Uso'!Área_de_impresión</vt:lpstr>
      <vt:lpstr>'Dados Básicos'!Área_de_impresión</vt:lpstr>
      <vt:lpstr>'Dados Evaluação'!Área_de_impresión</vt:lpstr>
      <vt:lpstr>'Despesas Iniciais'!Área_de_impresión</vt:lpstr>
      <vt:lpstr>Empréstimos!Área_de_impresión</vt:lpstr>
      <vt:lpstr>'Estimações Vendas'!Área_de_impresión</vt:lpstr>
      <vt:lpstr>'Ficha Investidores'!Área_de_impresión</vt:lpstr>
      <vt:lpstr>Finançamento!Área_de_impresión</vt:lpstr>
      <vt:lpstr>'Finançamento Inicial'!Área_de_impresión</vt:lpstr>
      <vt:lpstr>Índice!Área_de_impresión</vt:lpstr>
      <vt:lpstr>'Inv. Iniciais ANC'!Área_de_impresión</vt:lpstr>
      <vt:lpstr>'Investimentos AC'!Área_de_impresión</vt:lpstr>
      <vt:lpstr>'IRS Singulares'!Área_de_impresión</vt:lpstr>
      <vt:lpstr>Leasing!Área_de_impresión</vt:lpstr>
      <vt:lpstr>'P. Equilíbrio'!Área_de_impresión</vt:lpstr>
      <vt:lpstr>Parametros!Área_de_impresión</vt:lpstr>
      <vt:lpstr>'Pol. Cobranças e Pagamentos'!Área_de_impresión</vt:lpstr>
      <vt:lpstr>'Preços-CV'!Área_de_impresión</vt:lpstr>
      <vt:lpstr>'Quadro Pessoal'!Área_de_impresión</vt:lpstr>
      <vt:lpstr>'Ratios Básicos'!Área_de_impresión</vt:lpstr>
      <vt:lpstr>'Receitas e pagamentos 0'!Área_de_impresión</vt:lpstr>
      <vt:lpstr>'Receitas e pagamentos 1'!Área_de_impresión</vt:lpstr>
      <vt:lpstr>'Receitas e pagamentos 2'!Área_de_impresión</vt:lpstr>
      <vt:lpstr>'Receitas e pagamentos 3'!Área_de_impresión</vt:lpstr>
      <vt:lpstr>'Receitas e pagamentos 4'!Área_de_impresión</vt:lpstr>
      <vt:lpstr>Renting!Área_de_impresión</vt:lpstr>
      <vt:lpstr>'Resumo Tesourarias'!Área_de_impresión</vt:lpstr>
      <vt:lpstr>'Resumo Vendas 5 anos'!Área_de_impresión</vt:lpstr>
      <vt:lpstr>RR.HH.!Área_de_impresión</vt:lpstr>
      <vt:lpstr>'Valoração da Empresa'!Área_de_impresión</vt:lpstr>
      <vt:lpstr>catlaborales</vt:lpstr>
      <vt:lpstr>consolidacion</vt:lpstr>
      <vt:lpstr>euro</vt:lpstr>
      <vt:lpstr>finTemporada</vt:lpstr>
      <vt:lpstr>inflacion</vt:lpstr>
      <vt:lpstr>inicioTemporada</vt:lpstr>
      <vt:lpstr>inv_propia</vt:lpstr>
      <vt:lpstr>irpf</vt:lpstr>
      <vt:lpstr>isoc</vt:lpstr>
      <vt:lpstr>ITP</vt:lpstr>
      <vt:lpstr>IVAcc</vt:lpstr>
      <vt:lpstr>IVAdev</vt:lpstr>
      <vt:lpstr>IVAmensual</vt:lpstr>
      <vt:lpstr>mes0</vt:lpstr>
      <vt:lpstr>meses</vt:lpstr>
      <vt:lpstr>mesesrampainicial</vt:lpstr>
      <vt:lpstr>Moneda</vt:lpstr>
      <vt:lpstr>morisidad</vt:lpstr>
      <vt:lpstr>periodicidad</vt:lpstr>
      <vt:lpstr>productos</vt:lpstr>
      <vt:lpstr>recmorosos</vt:lpstr>
      <vt:lpstr>resprevio</vt:lpstr>
      <vt:lpstr>ret_irpf</vt:lpstr>
      <vt:lpstr>tesoreriasec</vt:lpstr>
      <vt:lpstr>'Despesas Financeiras'!Títulos_a_imprimir</vt:lpstr>
      <vt:lpstr>'Otros cobros y pagos'!Títulos_a_imprimir</vt:lpstr>
      <vt:lpstr>'Pol. Cobranças e Pagamentos'!Títulos_a_imprimir</vt:lpstr>
      <vt:lpstr>'Quadro Pessoal'!Títulos_a_imprimir</vt:lpstr>
      <vt:lpstr>version</vt:lpstr>
    </vt:vector>
  </TitlesOfParts>
  <Company>Área de PYMES - Escuela de Organización Industrial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Financiero Previsional</dc:title>
  <dc:creator>Miguel Martínez</dc:creator>
  <cp:lastModifiedBy>Miguel Martínez Prieto</cp:lastModifiedBy>
  <cp:lastPrinted>2024-08-05T10:43:25Z</cp:lastPrinted>
  <dcterms:created xsi:type="dcterms:W3CDTF">1999-05-11T12:09:08Z</dcterms:created>
  <dcterms:modified xsi:type="dcterms:W3CDTF">2026-07-28T19:51:06Z</dcterms:modified>
</cp:coreProperties>
</file>